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babicheva\United Nations Development Programme\GF.UNDP.KG Public - Documents\General\CCM Dashboard\HIV-TB\"/>
    </mc:Choice>
  </mc:AlternateContent>
  <bookViews>
    <workbookView xWindow="0" yWindow="0" windowWidth="28800" windowHeight="11730" tabRatio="793" activeTab="8"/>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данных'!$A$76:$G$163</definedName>
    <definedName name="PrintF">Финансирование!$A$2:$M$31</definedName>
    <definedName name="PrintGD">'Сведения о гранте'!$A$2:$J$13</definedName>
    <definedName name="PrintM" localSheetId="8">Действия!$A$2:$L$6</definedName>
    <definedName name="PrintM">Управление!$A$2:$M$68</definedName>
    <definedName name="PrintP">Программа!$A$2:$P$56</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Программа!$A$1:$Q$55</definedName>
    <definedName name="_xlnm.Print_Area" localSheetId="5">Управление!$A$1:$M$54</definedName>
    <definedName name="_xlnm.Print_Area" localSheetId="4">Финансирование!$A$2:$M$31</definedName>
  </definedNames>
  <calcPr calcId="162913"/>
</workbook>
</file>

<file path=xl/calcChain.xml><?xml version="1.0" encoding="utf-8"?>
<calcChain xmlns="http://schemas.openxmlformats.org/spreadsheetml/2006/main">
  <c r="K53" i="35" l="1"/>
  <c r="K50" i="35" l="1"/>
  <c r="C115" i="29" l="1"/>
  <c r="C114" i="29"/>
  <c r="K51" i="35" l="1"/>
  <c r="K52" i="35"/>
  <c r="F137" i="29" l="1"/>
  <c r="D135" i="29"/>
  <c r="G133" i="29"/>
  <c r="F25" i="37" l="1"/>
  <c r="H195" i="29" l="1"/>
  <c r="H196" i="29"/>
  <c r="H197" i="29"/>
  <c r="H198" i="29"/>
  <c r="H199" i="29"/>
  <c r="H200" i="29"/>
  <c r="G200" i="29"/>
  <c r="G199" i="29"/>
  <c r="G198" i="29"/>
  <c r="G197" i="29"/>
  <c r="G196" i="29"/>
  <c r="G195" i="29"/>
  <c r="C116" i="29" l="1"/>
  <c r="F116" i="29" l="1"/>
  <c r="F115" i="29"/>
  <c r="F114" i="29"/>
  <c r="D125" i="29"/>
  <c r="F125" i="29" s="1"/>
  <c r="H125" i="29" s="1"/>
  <c r="M57" i="35"/>
  <c r="F139" i="29"/>
  <c r="H139" i="29" s="1"/>
  <c r="F140" i="29"/>
  <c r="H140" i="29" s="1"/>
  <c r="D138" i="29"/>
  <c r="F144" i="29"/>
  <c r="H144" i="29" s="1"/>
  <c r="J144" i="29" s="1"/>
  <c r="X34" i="37"/>
  <c r="W34" i="37"/>
  <c r="V34" i="37"/>
  <c r="U34" i="37"/>
  <c r="T34" i="37"/>
  <c r="M51" i="35"/>
  <c r="M52" i="35"/>
  <c r="M53" i="35"/>
  <c r="M50" i="35"/>
  <c r="H137" i="29"/>
  <c r="D123" i="29"/>
  <c r="F123" i="29"/>
  <c r="H123" i="29" s="1"/>
  <c r="D124" i="29"/>
  <c r="F124" i="29" s="1"/>
  <c r="H124" i="29" s="1"/>
  <c r="D126" i="29"/>
  <c r="F126" i="29" s="1"/>
  <c r="H126" i="29" s="1"/>
  <c r="D127" i="29"/>
  <c r="F127" i="29" s="1"/>
  <c r="H127" i="29" s="1"/>
  <c r="D128" i="29"/>
  <c r="F128" i="29" s="1"/>
  <c r="H128" i="29" s="1"/>
  <c r="D129" i="29"/>
  <c r="F129" i="29" s="1"/>
  <c r="H129" i="29" s="1"/>
  <c r="D130" i="29"/>
  <c r="F130" i="29" s="1"/>
  <c r="H130" i="29" s="1"/>
  <c r="D131" i="29"/>
  <c r="F131" i="29" s="1"/>
  <c r="H131" i="29" s="1"/>
  <c r="D132" i="29"/>
  <c r="F132" i="29" s="1"/>
  <c r="H132" i="29" s="1"/>
  <c r="D133" i="29"/>
  <c r="F133" i="29" s="1"/>
  <c r="H133" i="29" s="1"/>
  <c r="D134" i="29"/>
  <c r="F134" i="29" s="1"/>
  <c r="H134" i="29" s="1"/>
  <c r="F135" i="29"/>
  <c r="H135" i="29" s="1"/>
  <c r="D136" i="29"/>
  <c r="F136" i="29" s="1"/>
  <c r="H136" i="29" s="1"/>
  <c r="M71" i="35"/>
  <c r="M70" i="35"/>
  <c r="M69" i="35"/>
  <c r="F157" i="29"/>
  <c r="H157" i="29" s="1"/>
  <c r="J157" i="29" s="1"/>
  <c r="E115" i="29"/>
  <c r="M56" i="35"/>
  <c r="M58" i="35"/>
  <c r="M59" i="35"/>
  <c r="M60" i="35"/>
  <c r="M61" i="35"/>
  <c r="M62" i="35"/>
  <c r="M63" i="35"/>
  <c r="M64" i="35"/>
  <c r="M65" i="35"/>
  <c r="M66" i="35"/>
  <c r="M67" i="35"/>
  <c r="M68" i="35"/>
  <c r="M72" i="35"/>
  <c r="M54" i="35"/>
  <c r="M55" i="35"/>
  <c r="B52" i="37"/>
  <c r="F158" i="29"/>
  <c r="H158" i="29" s="1"/>
  <c r="J158" i="29" s="1"/>
  <c r="F142" i="29"/>
  <c r="H142" i="29" s="1"/>
  <c r="J142" i="29" s="1"/>
  <c r="F143" i="29"/>
  <c r="H143" i="29" s="1"/>
  <c r="J143" i="29" s="1"/>
  <c r="F145" i="29"/>
  <c r="H145" i="29" s="1"/>
  <c r="J145" i="29" s="1"/>
  <c r="F146" i="29"/>
  <c r="H146" i="29" s="1"/>
  <c r="J146" i="29" s="1"/>
  <c r="F147" i="29"/>
  <c r="H147" i="29" s="1"/>
  <c r="J147" i="29" s="1"/>
  <c r="F148" i="29"/>
  <c r="H148" i="29" s="1"/>
  <c r="J148" i="29" s="1"/>
  <c r="F149" i="29"/>
  <c r="H149" i="29" s="1"/>
  <c r="J149" i="29" s="1"/>
  <c r="F150" i="29"/>
  <c r="H150" i="29"/>
  <c r="J150" i="29" s="1"/>
  <c r="F151" i="29"/>
  <c r="H151" i="29" s="1"/>
  <c r="J151" i="29" s="1"/>
  <c r="F152" i="29"/>
  <c r="H152" i="29" s="1"/>
  <c r="J152" i="29" s="1"/>
  <c r="F153" i="29"/>
  <c r="H153" i="29" s="1"/>
  <c r="J153" i="29" s="1"/>
  <c r="F154" i="29"/>
  <c r="H154" i="29" s="1"/>
  <c r="J154" i="29" s="1"/>
  <c r="F155" i="29"/>
  <c r="H155" i="29" s="1"/>
  <c r="J155" i="29" s="1"/>
  <c r="F156" i="29"/>
  <c r="H156" i="29" s="1"/>
  <c r="J156" i="29" s="1"/>
  <c r="F141" i="29"/>
  <c r="H141" i="29"/>
  <c r="J141" i="29" s="1"/>
  <c r="B28" i="35"/>
  <c r="B50" i="37"/>
  <c r="B51" i="37"/>
  <c r="B53" i="37"/>
  <c r="B54" i="37"/>
  <c r="B55" i="37"/>
  <c r="D105" i="29"/>
  <c r="D106" i="29"/>
  <c r="D104"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I54" i="35"/>
  <c r="I32" i="35"/>
  <c r="D90" i="29"/>
  <c r="E199" i="29"/>
  <c r="D199" i="29"/>
  <c r="A199" i="29"/>
  <c r="E197" i="29"/>
  <c r="D197" i="29"/>
  <c r="A197" i="29"/>
  <c r="E195" i="29"/>
  <c r="D195" i="29"/>
  <c r="A195" i="29"/>
  <c r="H203" i="29"/>
  <c r="G223" i="29"/>
  <c r="H223" i="29"/>
  <c r="I223" i="29"/>
  <c r="J223" i="29"/>
  <c r="K223" i="29"/>
  <c r="L223" i="29"/>
  <c r="M223" i="29"/>
  <c r="N223" i="29"/>
  <c r="O223" i="29"/>
  <c r="P223" i="29"/>
  <c r="Q223" i="29"/>
  <c r="A224" i="29"/>
  <c r="D224" i="29"/>
  <c r="E224" i="29"/>
  <c r="G224" i="29"/>
  <c r="H224" i="29"/>
  <c r="I224" i="29"/>
  <c r="J224" i="29"/>
  <c r="K224" i="29"/>
  <c r="L224" i="29"/>
  <c r="M224" i="29"/>
  <c r="N224" i="29"/>
  <c r="O224" i="29"/>
  <c r="P224" i="29"/>
  <c r="Q224" i="29"/>
  <c r="G225" i="29"/>
  <c r="H225" i="29"/>
  <c r="I225" i="29"/>
  <c r="J225" i="29"/>
  <c r="K225" i="29"/>
  <c r="L225" i="29"/>
  <c r="M225" i="29"/>
  <c r="N225" i="29"/>
  <c r="O225" i="29"/>
  <c r="P225" i="29"/>
  <c r="Q225" i="29"/>
  <c r="A226" i="29"/>
  <c r="D226" i="29"/>
  <c r="E226" i="29"/>
  <c r="G226" i="29"/>
  <c r="H226" i="29"/>
  <c r="I226" i="29"/>
  <c r="J226" i="29"/>
  <c r="K226" i="29"/>
  <c r="L226" i="29"/>
  <c r="M226" i="29"/>
  <c r="N226" i="29"/>
  <c r="O226" i="29"/>
  <c r="P226" i="29"/>
  <c r="Q226" i="29"/>
  <c r="G227" i="29"/>
  <c r="H227" i="29"/>
  <c r="I227" i="29"/>
  <c r="J227" i="29"/>
  <c r="K227" i="29"/>
  <c r="L227" i="29"/>
  <c r="M227" i="29"/>
  <c r="N227" i="29"/>
  <c r="O227" i="29"/>
  <c r="P227" i="29"/>
  <c r="Q227" i="29"/>
  <c r="A228" i="29"/>
  <c r="D228" i="29"/>
  <c r="E228" i="29"/>
  <c r="G228" i="29"/>
  <c r="H228" i="29"/>
  <c r="I228" i="29"/>
  <c r="J228" i="29"/>
  <c r="K228" i="29"/>
  <c r="L228" i="29"/>
  <c r="M228" i="29"/>
  <c r="N228" i="29"/>
  <c r="O228" i="29"/>
  <c r="P228" i="29"/>
  <c r="Q228" i="29"/>
  <c r="G229" i="29"/>
  <c r="H229" i="29"/>
  <c r="I229" i="29"/>
  <c r="J229" i="29"/>
  <c r="K229" i="29"/>
  <c r="L229" i="29"/>
  <c r="M229" i="29"/>
  <c r="N229" i="29"/>
  <c r="O229" i="29"/>
  <c r="P229" i="29"/>
  <c r="Q229" i="29"/>
  <c r="F83" i="29"/>
  <c r="F84" i="29"/>
  <c r="E116" i="29"/>
  <c r="B33" i="29"/>
  <c r="Q29" i="29"/>
  <c r="B34" i="29"/>
  <c r="C34" i="29"/>
  <c r="D34" i="29"/>
  <c r="E34" i="29"/>
  <c r="B56" i="29"/>
  <c r="E56" i="29" s="1"/>
  <c r="C56" i="29"/>
  <c r="I27" i="47"/>
  <c r="I28" i="47"/>
  <c r="G29" i="47"/>
  <c r="G31" i="47"/>
  <c r="G27" i="47"/>
  <c r="G28" i="47"/>
  <c r="G26" i="47"/>
  <c r="F20" i="47"/>
  <c r="G19" i="47"/>
  <c r="G18" i="47"/>
  <c r="D22" i="47"/>
  <c r="E19" i="47"/>
  <c r="E20" i="47"/>
  <c r="E18" i="47"/>
  <c r="F14" i="47"/>
  <c r="E14" i="47"/>
  <c r="K10" i="47"/>
  <c r="J10" i="47"/>
  <c r="C14" i="47"/>
  <c r="D13" i="47"/>
  <c r="D12" i="47"/>
  <c r="D11" i="47"/>
  <c r="D6" i="47"/>
  <c r="C6" i="47"/>
  <c r="D64" i="29"/>
  <c r="D63" i="29"/>
  <c r="D62" i="29"/>
  <c r="D61" i="29"/>
  <c r="H164"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40" i="35"/>
  <c r="J3" i="39"/>
  <c r="L3" i="39"/>
  <c r="B4" i="39"/>
  <c r="E4" i="39"/>
  <c r="J4" i="39"/>
  <c r="L4" i="39"/>
  <c r="K5" i="39"/>
  <c r="L5" i="39"/>
  <c r="L3" i="42"/>
  <c r="M3" i="42"/>
  <c r="B4" i="42"/>
  <c r="E4" i="42"/>
  <c r="L4" i="42"/>
  <c r="M4" i="42"/>
  <c r="L5" i="42"/>
  <c r="M5" i="42"/>
  <c r="D14" i="42"/>
  <c r="O3" i="37"/>
  <c r="Q3" i="37"/>
  <c r="B4" i="37"/>
  <c r="E4" i="37"/>
  <c r="P4" i="37"/>
  <c r="Q4" i="37"/>
  <c r="D5" i="37"/>
  <c r="P5" i="37"/>
  <c r="Q5" i="37"/>
  <c r="B36" i="37"/>
  <c r="F36" i="37"/>
  <c r="L36" i="37"/>
  <c r="T51" i="37"/>
  <c r="U51" i="37"/>
  <c r="T52" i="37"/>
  <c r="U52"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2" i="29"/>
  <c r="B10" i="45"/>
  <c r="B11" i="45"/>
  <c r="B19" i="45"/>
  <c r="B20" i="45"/>
  <c r="B21" i="45"/>
  <c r="B22" i="45"/>
  <c r="B25" i="45"/>
  <c r="H4" i="1"/>
  <c r="I35" i="29"/>
  <c r="G35" i="29"/>
  <c r="Q35" i="29"/>
  <c r="J35" i="29"/>
  <c r="Q33" i="29"/>
  <c r="Q34" i="29"/>
  <c r="B35" i="29"/>
  <c r="Q58" i="29"/>
  <c r="L35" i="29"/>
  <c r="P60" i="29"/>
  <c r="C33" i="29"/>
  <c r="Q30" i="29" s="1"/>
  <c r="D14" i="47"/>
  <c r="F22" i="47"/>
  <c r="AF25" i="37"/>
  <c r="AC25" i="37"/>
  <c r="AB25" i="37"/>
  <c r="AE25" i="37"/>
  <c r="AD25" i="37"/>
  <c r="AE26" i="37"/>
  <c r="AD26" i="37"/>
  <c r="AF26" i="37"/>
  <c r="AC26" i="37"/>
  <c r="AB26" i="37"/>
  <c r="D33" i="29"/>
  <c r="D35" i="29" s="1"/>
  <c r="E33" i="29"/>
  <c r="Q32" i="29" s="1"/>
  <c r="Q31" i="29"/>
  <c r="J136" i="29" l="1"/>
  <c r="M45" i="35"/>
  <c r="J135" i="29"/>
  <c r="M44" i="35"/>
  <c r="J133" i="29"/>
  <c r="M42" i="35"/>
  <c r="J132" i="29"/>
  <c r="M41" i="35"/>
  <c r="J131" i="29"/>
  <c r="M40" i="35"/>
  <c r="J130" i="29"/>
  <c r="M39" i="35"/>
  <c r="J129" i="29"/>
  <c r="M38" i="35"/>
  <c r="J128" i="29"/>
  <c r="M37" i="35"/>
  <c r="J127" i="29"/>
  <c r="M36" i="35"/>
  <c r="J126" i="29"/>
  <c r="M35" i="35"/>
  <c r="J124" i="29"/>
  <c r="M33" i="35"/>
  <c r="J123" i="29"/>
  <c r="M32" i="35"/>
  <c r="J137" i="29"/>
  <c r="M46" i="35"/>
  <c r="F138" i="29"/>
  <c r="H138" i="29" s="1"/>
  <c r="J140" i="29"/>
  <c r="M49" i="35"/>
  <c r="J139" i="29"/>
  <c r="M48" i="35"/>
  <c r="J125" i="29"/>
  <c r="M34" i="35"/>
  <c r="J138" i="29"/>
  <c r="M47" i="35"/>
  <c r="J134" i="29"/>
  <c r="M43" i="35"/>
  <c r="E35" i="29"/>
  <c r="B8" i="30"/>
  <c r="B18" i="35"/>
  <c r="J8" i="30"/>
  <c r="C35" i="29"/>
  <c r="I28" i="35"/>
  <c r="B7" i="35"/>
  <c r="J22" i="30"/>
  <c r="I18" i="35"/>
  <c r="B22" i="30"/>
  <c r="I7" i="35"/>
</calcChain>
</file>

<file path=xl/comments1.xml><?xml version="1.0" encoding="utf-8"?>
<comments xmlns="http://schemas.openxmlformats.org/spreadsheetml/2006/main">
  <authors>
    <author>mgleixner</author>
    <author>molszak</author>
  </authors>
  <commentList>
    <comment ref="A30" authorId="0" shapeId="0">
      <text>
        <r>
          <rPr>
            <sz val="8"/>
            <color indexed="81"/>
            <rFont val="Tahoma"/>
            <family val="2"/>
          </rPr>
          <t>To define your periods (eg. P1, P2, P3 etc or P9, P10, P11 etc) you need to unprotect the cells.</t>
        </r>
      </text>
    </comment>
    <comment ref="A81" authorId="1" shapeId="0">
      <text>
        <r>
          <rPr>
            <b/>
            <sz val="8"/>
            <color indexed="81"/>
            <rFont val="Tahoma"/>
            <family val="2"/>
          </rPr>
          <t xml:space="preserve">If data are not available, do not enter zeros; rather, leave the cells in the table blank. </t>
        </r>
      </text>
    </comment>
    <comment ref="A82" authorId="1" shapeId="0">
      <text>
        <r>
          <rPr>
            <b/>
            <sz val="8"/>
            <color indexed="81"/>
            <rFont val="Tahoma"/>
            <family val="2"/>
          </rPr>
          <t>If data are not available, do not enter zeros; rather, leave the cells in this table blank.</t>
        </r>
      </text>
    </comment>
    <comment ref="A83" authorId="1" shapeId="0">
      <text>
        <r>
          <rPr>
            <b/>
            <sz val="8"/>
            <color indexed="81"/>
            <rFont val="Tahoma"/>
            <family val="2"/>
          </rPr>
          <t xml:space="preserve">If data are not available, do not enter zeros; rather, leave the cells in the table blank. </t>
        </r>
      </text>
    </comment>
    <comment ref="A84" authorId="1"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92" authorId="0" shapeId="0">
      <text>
        <r>
          <rPr>
            <sz val="8"/>
            <color indexed="81"/>
            <rFont val="Tahoma"/>
            <family val="2"/>
          </rPr>
          <t xml:space="preserve">If data are not available, do not enter zeros; rather, leave the cells in this table blank. </t>
        </r>
      </text>
    </comment>
    <comment ref="A110" authorId="0" shapeId="0">
      <text>
        <r>
          <rPr>
            <sz val="8"/>
            <color indexed="81"/>
            <rFont val="Tahoma"/>
            <family val="2"/>
          </rPr>
          <t>To define your periods (eg. P1, P2, P3 etc or P9, P10, P11 etc) you need to unprotect the cells.</t>
        </r>
      </text>
    </comment>
  </commentList>
</comments>
</file>

<file path=xl/comments2.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<sst xmlns="http://schemas.openxmlformats.org/spreadsheetml/2006/main" count="1043" uniqueCount="707">
  <si>
    <t>V1.0</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</si>
  <si>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</si>
  <si>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</si>
  <si>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</si>
  <si>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</si>
  <si>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</si>
  <si>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</si>
  <si>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</si>
  <si>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</si>
  <si>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</si>
  <si>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</si>
  <si>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</si>
  <si>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</si>
  <si>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</si>
  <si>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</si>
  <si>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</si>
  <si>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</si>
  <si>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</si>
  <si>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</si>
  <si>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</si>
  <si>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</si>
  <si>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</si>
  <si>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</si>
  <si>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</si>
  <si>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</si>
  <si>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</si>
  <si>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</si>
  <si>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</si>
  <si>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</si>
  <si>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</si>
  <si>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</si>
  <si>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</si>
  <si>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</si>
  <si>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</si>
  <si>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</si>
  <si>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</si>
  <si>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</si>
  <si>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</si>
  <si>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Программные показатели (Система оценки результатов реализации)</t>
  </si>
  <si>
    <t>Показатель по ВИЧ /СПИД</t>
  </si>
  <si>
    <t>Определение (на основании Плана мониторинга и оценки)</t>
  </si>
  <si>
    <t>Процент ЛУИН, охваченных программами по профилактике ВИЧ</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</si>
  <si>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</si>
  <si>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</si>
  <si>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</si>
  <si>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Процент взрослых и детей, получающих в настоящее время антиретровирусную терапию, от оценочного числа всех взрослых и детей, живущих с ВИЧ</t>
  </si>
  <si>
    <t>Все лица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</si>
  <si>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t>
  </si>
  <si>
    <t>Данные РЦ СПИД, ЭС.</t>
  </si>
  <si>
    <t>Процент ЛЖВ, получающих АРТ и достигших неопределяемую вирусную нагрузку (т.е. ≤1000 копий)</t>
  </si>
  <si>
    <t>Индикатор отражает процент ЛЖВ, получающих АРТ и достигших неопределяемую вирусную нагрузку из общего числа ЛЖВ, находящихся на АРТ на конец отчетного периода. </t>
  </si>
  <si>
    <t xml:space="preserve">Индикатор кумулятивный за год, состоит их двух частей. Числитель: Число ЛЖВ, получающих АРТ и достигших неопределяемую вирусную нагрузку, знаменатель: общее число ЛЖВ, находящихся на АРТ на конец отчетного периода. </t>
  </si>
  <si>
    <t>Процент ЛУИН получающих ОЗТ, которые находятся на лечении не менее 6 месяцев после начала лечения </t>
  </si>
  <si>
    <t>Индикатор отражает приверженность/удержание на опиоидной заместительной терапии и охватывает и гражданский, пенитенциарный системы (по стране).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</si>
  <si>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</si>
  <si>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Данные РЦН, ЭРЗПТ</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</si>
  <si>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</si>
  <si>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</si>
  <si>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</si>
  <si>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</si>
  <si>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</si>
  <si>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</si>
  <si>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</si>
  <si>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</si>
  <si>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</si>
  <si>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</si>
  <si>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</si>
  <si>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</si>
  <si>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</si>
  <si>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</si>
  <si>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</si>
  <si>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</si>
  <si>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</si>
  <si>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</si>
  <si>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</si>
  <si>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</si>
  <si>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(включая ППМР), у которых ТБ статус  оценивался в отчетном периоде, из числа доступных</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</si>
  <si>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</si>
  <si>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</si>
  <si>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Процент ВИЧ-положительных новых и рецидивирующих больных туберкулезом, получающих АРТ во время лечения ТБ</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</si>
  <si>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</si>
  <si>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 xml:space="preserve">Не кумулятивный. Числитель: Число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Знаменатель: Число ВИЧ-положительных новых и рецидивирующих больных туберкулезом, зарегистрированных за отчетный период. </t>
  </si>
  <si>
    <t>Данные РЦ СПИД, программа ЭС.</t>
  </si>
  <si>
    <t>Процент ВИЧ-положительных беременных женщин, получивших АРТ во время беременности</t>
  </si>
  <si>
    <t>Индикатор отражает процент беременных женщин с положительным статусом ВИЧ, которые родили и получили АРТ в период риска ПМР среди общего числа ВИЧ- положительных беременных, родивших за отчетный период.</t>
  </si>
  <si>
    <t>Кумулятивно за год. 
Числитель: Число ВИЧ-положительных беременных женщин, которые родили и получили АРТ в период риска ПМР.
Знаменатель: Число ВИЧ-положительных беременных, фактически родивших в течение отчетного периода.</t>
  </si>
  <si>
    <t>Данные РЦ СПИД, программа ЭС, Спектрум.</t>
  </si>
  <si>
    <t>Показатель по ТБ</t>
  </si>
  <si>
    <t>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t>
  </si>
  <si>
    <t xml:space="preserve">Количество всех форм ТБ случаев (бактериологически подтвержденных и клинически диагностированных) зарегистрированных национальными организациями здравоохранения в течение отчетного периода. Включает новые случаи и рецидивы. </t>
  </si>
  <si>
    <t>Измеряется в абсолютных числах  на основании ежеквартальных статистических данных РЦИиЭ НЦФ.</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</si>
  <si>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</si>
  <si>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</si>
  <si>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    Абсолютное количество бактериологически подтвержденных случаев ЛУ РУ ТБ и/или МЛУ/ШЛУ, зарегистрированных за отчетный период.                                      
</t>
  </si>
  <si>
    <t>Отчетный инструмент  относится к форме ТБ 06 У, табл. 1. </t>
  </si>
  <si>
    <t>MDR TB-3: Количество случаев с РУ/МЛУ ТБ, начавших лечение препаратами второго ряда</t>
  </si>
  <si>
    <t>Индикатор включает абсолютное число лабораторно-подтвержденных случаев РУ/МЛУ/ШЛУ ТБ, взятых на лечение преапаратами второго ряда в отчетный период</t>
  </si>
  <si>
    <t>База данных МЛУ-ТБ НЦФ РЦИиЭ</t>
  </si>
  <si>
    <t>MDR TB-7: Процент подтвержденных МЛУ-ТБ случаев, протестированных на чувствительность к фторхинолонам и инъекционным препаратам второго ряда</t>
  </si>
  <si>
    <t>Измеряется количество подтвержденных РУ/МЛУ ТБ случаев, протестированных на чувствительность к любым фторхинолонам и любым инъекционным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</si>
  <si>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чувствительность к фторхинолонам и инъекционным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</si>
  <si>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</si>
  <si>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MDR TB-8: Количество случаев ШЛУ ТБ, взятых на лечение</t>
  </si>
  <si>
    <t>Количество зарегистрипрованных  подтвержденных случаев ШЛУ ТБ, которые начали  назначенное ШЛУ лечение в течение отчетного периода.</t>
  </si>
  <si>
    <t>Измеряется в абсолютных числах  на основании ежеквартальных статистических данных РЦИиЭ НЦФ.</t>
  </si>
  <si>
    <t>TB/HIV-5: Процент зарегистрированных пациентов  (новых случаев и рецидивов), которые имеют задокументированный статус ВИЧ</t>
  </si>
  <si>
    <t>Количество новых случаев и рецидивов, зарегистрированный в отченный период, у которых имеется задокументированный ВИЧ статус</t>
  </si>
  <si>
    <t xml:space="preserve">Числитель: Количество пациентов (новые случаи и рецидивы), зарегистрированные в отчетный период, у которых имеется результат теста на ВМЧ (положительный или отрицательный), записанный в ТБ регистре. Знаменатель: Количество пациентов (новые случаи и рецидивы), зарегистированные в ТБ регистре в течение отчетного периода.  </t>
  </si>
  <si>
    <t>Отчетный инструмент  относится к форме ТБ 06 У, табл. 4. </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</si>
  <si>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</si>
  <si>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</si>
  <si>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</si>
  <si>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</si>
  <si>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</si>
  <si>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</si>
  <si>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</si>
  <si>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</si>
  <si>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</si>
  <si>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</si>
  <si>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</si>
  <si>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</si>
  <si>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</si>
  <si>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Основной реципиент:</t>
  </si>
  <si>
    <t>ПРООН</t>
  </si>
  <si>
    <t>Раунд:</t>
  </si>
  <si>
    <t>Фаза:</t>
  </si>
  <si>
    <t>Дата начала (дд/ммм/гг):</t>
  </si>
  <si>
    <t>Местный агент Фонда:</t>
  </si>
  <si>
    <t>UNOPS</t>
  </si>
  <si>
    <t>Последняя оценка:</t>
  </si>
  <si>
    <t>A1</t>
  </si>
  <si>
    <t>Менеджер портфолио Фонда:</t>
  </si>
  <si>
    <t>Алексей Бобрик</t>
  </si>
  <si>
    <t>Период предоставления отчетной информации</t>
  </si>
  <si>
    <t>Отчетный период</t>
  </si>
  <si>
    <t>P2</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</si>
  <si>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</si>
  <si>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</si>
  <si>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</si>
  <si>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</si>
  <si>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</si>
  <si>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</si>
  <si>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</si>
  <si>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</si>
  <si>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</si>
  <si>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</si>
  <si>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</si>
  <si>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</si>
  <si>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</si>
  <si>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</si>
  <si>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P1</t>
  </si>
  <si>
    <t>P3</t>
  </si>
  <si>
    <t>P4</t>
  </si>
  <si>
    <t>P5</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</si>
  <si>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</si>
  <si>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</si>
  <si>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</si>
  <si>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</si>
  <si>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</si>
  <si>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</si>
  <si>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</si>
  <si>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</si>
  <si>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</si>
  <si>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</si>
  <si>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</si>
  <si>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</si>
  <si>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</si>
  <si>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Профилактика - Работники секс-бизнеса и их клиенты</t>
  </si>
  <si>
    <t>Данная задача включает бюджет на:- закупки  женских 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отчетный период было израсходовано 101% выделенного бюджета согласно фактическим потребностям. Незначительное превышение бюджета вызвано оплатой в текущем отчетном периоде финансовые обязательства с 2018 г, в основном,  по закупкам на 7 497$.</t>
  </si>
  <si>
    <t>Профилактика - ПИН и их партнеры</t>
  </si>
  <si>
    <t>Данная задача включает бюджет на:- закупки метадона, налоксона, шприцов, мужских презервативов, тестов, антисептических салфеток, пластиковых стаканов,  а также соответствующие затраты на управление поставками, ремонт ОЗТ,  целевые расходы СП (РЦН и НПО, работающие в данном направлении), включая з/п социальных и аутрич работников. За весь период было израсходовано 144% выделенного бюджета согласно фактическим потребностям. Перерасход бюджета текущего отчетного периода вызван оплатой в данном семестре финансовых обязательств 2018 года, которые относятся к закупкам лекарственных препаратов на общую сумму 288 935$.</t>
  </si>
  <si>
    <t>Профилактика - Другие уязвимые группы населения </t>
  </si>
  <si>
    <t xml:space="preserve"> -   </t>
  </si>
  <si>
    <t>Данная задача включает бюджет на:- закупки  тестов,  а также соответствующие затраты на управление поставками.  В данном семестре была произведена оплата финансовых обязательств 2018 года, которые относятся к закупкам лекарственных препаратов на общую сумму 678$.</t>
  </si>
  <si>
    <t>ППМР</t>
  </si>
  <si>
    <t>Данная задача включает бюджет на:- закупки Антиретровирусных препаратов,  тест-наборы,  а также соответствующие затраты на управление поставками. В данном семестре была произведена оплата финансовых обязательств 2018 года, которые относятся к закупкам лекарственных препаратов на общую сумму 15 884$.</t>
  </si>
  <si>
    <t xml:space="preserve">Лечение, уход и поддержка </t>
  </si>
  <si>
    <t xml:space="preserve">Данная задача включает бюджет на:- закупки Антиретровирусных препаратов, Тестирование на ВИЧ CD4 расходные материалы / тест-наборы: расходные материалы- вирусологическое тестирование на ВИЧ / тест-наборы,  а также соответствующие затраты на управление поставками,  целевые расходы СП (РЦ «СПИД» и региональные центры по борьбе со СПИДом, и 7 НПО, включая з/п социальных и аутрич работников и мед.технического персонала, транспортировку биологических образцов, Поддержку  оплаты стимулов ЛЖВ за приверженность к АРТ. За отчетный период было израсходовано 73%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562 573$, с учетом которых освоение будет 166% в рамках данной задачи. </t>
  </si>
  <si>
    <t>ТБ/ВИЧ</t>
  </si>
  <si>
    <t xml:space="preserve"> -     </t>
  </si>
  <si>
    <t>Данная задача включает бюджет на:- закупки на Pyrodoxine,  а также соответствующие затраты на управление поставками. На конец отчетного периода имеются финансовые обязательства по закупкам на 11 433$ за счет бюджета 2018 г и семестра июль-декабрь 2019 г.</t>
  </si>
  <si>
    <t>МЛУ-ТБ</t>
  </si>
  <si>
    <t xml:space="preserve">Данная задача включает бюджет на:- закупки на  ПТП, лабораторные реагенты, шприцы, респираторы, картриджы для Xpert, GeneXpert,  а также соответствующие затраты на управление поставками, Услуги томографии и диагностика больных туберкулезом; Ежегодный операционный взнос в комитет Green Light; з/п отдела логистики по транспортировки мокроты, з/п психологов для пациентов, целевые расходы СП на базе НПО, транпсортировку мокроты, моивационные выплаты пациентам, соблюдающим лечение, МиО визиты и тренингы по Базе Данных по ТБ. За отчетный период было израсходовано 98% выделенного бюджета согласно фактическим потребностям. </t>
  </si>
  <si>
    <t>Укрепление систем сообществ</t>
  </si>
  <si>
    <t>Данная задача включает бюджет на  целевые расходы СП- 2-х национальных сетей по ТБ и ВИЧ:  транспортные расходы, связанные с МиО визитами;  зарплата сотрудникам программ. За отчетный период было израсходовано 154% выделенного бюджета согласно фактическим потребностям суб-получателей для реализации проектных мероприятий.</t>
  </si>
  <si>
    <t>УC3 - Информационные системы здравоохранения и МиО</t>
  </si>
  <si>
    <t xml:space="preserve">Данная задача включает бюджет на:  целевые расходы СП ( РЦН, центров по борьбе со СПИДом, ТБ центры), включая оплату специалистов по контролю качества лабораторных услуг, технических специалистов НТП по реализации гранта ГФ; специалистов по по мониторингу и оценке для обеспечения верификации данных; МиО визиты центров по борьбе со СПИДом. За отчетный период было израсходовано 72% выделенного бюджета согласно фактическим потребностям суб-получателей для реализации проектных мероприятий. </t>
  </si>
  <si>
    <t>Управление программой</t>
  </si>
  <si>
    <t xml:space="preserve">Данная задача включает бюджет в основном на административные расходы СП и ОП в рамках реализации проекта, ежегодный аудит СП, модернизация Базы Данных по ТБ, техническую поддержку СП в виде наемных консультантов, закуп USB модемов и расходы на мобильный интернет для Базы Данных по ТБ, содержание камер наблюдения для РЦН, ежегодные встречи СП по компоненту ТБ, тренинги по адвокации и правам человека, МиО визиты СП, а также административные расходы в рамках Matching Funds (MF). За отчетный период было израсходовано 76% выделенного бюджета. </t>
  </si>
  <si>
    <t xml:space="preserve">Профилактика - заключенные </t>
  </si>
  <si>
    <t>Данная задача включает бюджет на:- закупки  тестов, антисептических салфеток, а также соответствующие затраты на управление поставками- целевые расходы РЦН, включая з/п социальных и аутрич работников 13 ПОШ в тюрьмах, расходы с МиО визитами. За отчетный период было израсходовано 337% выделенного бюджета согласно фактическим потребностям. Перерасход бюджета текущего отчетного периода вызван оплатой в данном семестре финансовых обязательств 2018 года, которые относятся к закупкам лекарственных препаратов на общую сумму 25 278$.</t>
  </si>
  <si>
    <t>Профилактика - МСМ и трансгендерные лица</t>
  </si>
  <si>
    <t>Данная задача включает бюджет на:- закупки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весь период было израсходовано 119% выделенного бюджета согласно фактическим потребностям. Перерасход бюджета текущего отчетного периода вызван оплатой в данном семестре финансовых обязательств 2018 года, которые относятся к закупкам лекарственных препаратов на общую сумму 24 619$.</t>
  </si>
  <si>
    <t>Устранение правовых барьеров к доступу</t>
  </si>
  <si>
    <t>Данная задача включает бюджет на: мероприятия по Matching Funds, которые были перенесы на 2019, - целевые расходы по Проекту «Уличные юристы»,  на базе НПО - оплата аутрич-работников, обучения аутрич-работников и регулярных рабочих встреч с консультантами:- форумы  для общин (ЛЖВ, ПИН,СР, МСМ); За отчетный период было израсходовано 45% выделенного бюджета согласно фактическим потребностям. При этом на конец отчетного периода имеются финансовые обязательства на 37 083$, с учетом которых освоение будет 58% в рамках данной задачи.</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</si>
  <si>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</si>
  <si>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</si>
  <si>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</si>
  <si>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</si>
  <si>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</si>
  <si>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</si>
  <si>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</si>
  <si>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</si>
  <si>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</si>
  <si>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</si>
  <si>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</si>
  <si>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</si>
  <si>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</si>
  <si>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</si>
  <si>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</si>
  <si>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</si>
  <si>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</si>
  <si>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</si>
  <si>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</si>
  <si>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</si>
  <si>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</si>
  <si>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</si>
  <si>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</si>
  <si>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</si>
  <si>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</si>
  <si>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</si>
  <si>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</si>
  <si>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</si>
  <si>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</si>
  <si>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</si>
  <si>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</si>
  <si>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</si>
  <si>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</si>
  <si>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</si>
  <si>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General (both components)</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</si>
  <si>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</si>
  <si>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</si>
  <si>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</si>
  <si>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</si>
  <si>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</si>
  <si>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</si>
  <si>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</si>
  <si>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</si>
  <si>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</si>
  <si>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</si>
  <si>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</si>
  <si>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</si>
  <si>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</si>
  <si>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</si>
  <si>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</si>
  <si>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</si>
  <si>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</si>
  <si>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</si>
  <si>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</si>
  <si>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</si>
  <si>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</si>
  <si>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</si>
  <si>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</si>
  <si>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</si>
  <si>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</si>
  <si>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</si>
  <si>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</si>
  <si>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</si>
  <si>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</si>
  <si>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</si>
  <si>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</si>
  <si>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</si>
  <si>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</si>
  <si>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</si>
  <si>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</si>
  <si>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ВИЧ / СПИД</t>
  </si>
  <si>
    <t>3TC 150 mg</t>
  </si>
  <si>
    <t>ABC 300 mg</t>
  </si>
  <si>
    <t>AZT 300 mg</t>
  </si>
  <si>
    <t>FDC (AZT+3TC) 300/150 mg</t>
  </si>
  <si>
    <t>EFV 200</t>
  </si>
  <si>
    <t>EFV 600</t>
  </si>
  <si>
    <t>LPV/r 200/50 mg</t>
  </si>
  <si>
    <t>NVP 200</t>
  </si>
  <si>
    <t>TDF 300 mg</t>
  </si>
  <si>
    <t>FDC (TDF/FTC) 300/200 mg</t>
  </si>
  <si>
    <t>FDC  (TDF/FTC/EFV) 300/200/600 mg</t>
  </si>
  <si>
    <t>FDC (ABC/3TC) 600/300 mg</t>
  </si>
  <si>
    <t>FDC (ABC/3TC) 60/30 mg</t>
  </si>
  <si>
    <t>NVP 50</t>
  </si>
  <si>
    <t>LPV/r_сироп_80</t>
  </si>
  <si>
    <t>FDC (AZT+3TC) 60/30</t>
  </si>
  <si>
    <t>DTG 50 mg</t>
  </si>
  <si>
    <t>ATV/r 300mg</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</si>
  <si>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</si>
  <si>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</si>
  <si>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</si>
  <si>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</si>
  <si>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</si>
  <si>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</si>
  <si>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</si>
  <si>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</si>
  <si>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</si>
  <si>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</si>
  <si>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</si>
  <si>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</si>
  <si>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</si>
  <si>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</si>
  <si>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</si>
  <si>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</si>
  <si>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</si>
  <si>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</si>
  <si>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</si>
  <si>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</si>
  <si>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Код</t>
  </si>
  <si>
    <t>Связаны напрямую?</t>
  </si>
  <si>
    <t>Топ 10</t>
  </si>
  <si>
    <t>с текущим грантом</t>
  </si>
  <si>
    <t>Целевой показатель</t>
  </si>
  <si>
    <t>Достигнуто </t>
  </si>
  <si>
    <t>Процент ЛЖВ, получающих АРТ и достигших неопределяемую вирусную нагрузку (т.е. ≤1000 копий)</t>
  </si>
  <si>
    <t>Ч:150
З:250
%:60</t>
  </si>
  <si>
    <t>Ч:160
З:255
%:62,7</t>
  </si>
  <si>
    <t>Ч:77
З:140
%:55</t>
  </si>
  <si>
    <t>Ч:56
З:99
%:56,6</t>
  </si>
  <si>
    <t>Ч: 2800
З: 8300
%: 33.7</t>
  </si>
  <si>
    <t>Ч: 2975
З: 8300
%: 35,8</t>
  </si>
  <si>
    <t>Ч: 2865
З: 8690
%: 32.9</t>
  </si>
  <si>
    <t>Ч: 2404
З: 7592
%: 31,7</t>
  </si>
  <si>
    <t>Ч:4970
З: 7103
%: 69.9</t>
  </si>
  <si>
    <t>Ч:5148
З: 7103
%: 72,4</t>
  </si>
  <si>
    <t>Ч:4359
З: 7103
%: 61.4</t>
  </si>
  <si>
    <t>Ч:3604
З: 7103
%: 50,7</t>
  </si>
  <si>
    <t xml:space="preserve"> Топ 10</t>
  </si>
  <si>
    <t>Ч: 6700
З: 11692
%: 57.3</t>
  </si>
  <si>
    <t>Ч: 7980
З: 11692
%: 68,2</t>
  </si>
  <si>
    <t>Ч: 8503
З: 11692
%:72.7</t>
  </si>
  <si>
    <t>Ч: 9606
З: 11692
%:82,1</t>
  </si>
  <si>
    <t>Ч: 7313
З: 25000
%: 29.2</t>
  </si>
  <si>
    <t>Ч: 7875
З: 25000
%: 31,5</t>
  </si>
  <si>
    <t>Ч: 8576
З: 25000
%: 34.3</t>
  </si>
  <si>
    <t>Ч: 8464
З: 25000
%: 33,9</t>
  </si>
  <si>
    <t>Ч:2237
З: 7103
%: 31.5</t>
  </si>
  <si>
    <t>Ч:2395
З: 7103
%: 33.7</t>
  </si>
  <si>
    <t>Ч:2218
З: 7103
%: 31.2</t>
  </si>
  <si>
    <t>Ч:1969
З: 7103
%: 27,7</t>
  </si>
  <si>
    <t>Ч: 2793
З: 11692
%: 23.8</t>
  </si>
  <si>
    <t>Ч: 4165
З: 11692
%: 35,6</t>
  </si>
  <si>
    <t>Ч: 3419
З: 11692
%: 29.2</t>
  </si>
  <si>
    <t>Ч: 4420
З: 11692
%: 37,8</t>
  </si>
  <si>
    <t>Процент ЛЖВ (включая ППМР), у которых ТБ статус оценивался в отчетном периоде, из числа доступных</t>
  </si>
  <si>
    <t xml:space="preserve"> с текущим грантом</t>
  </si>
  <si>
    <t>Таблица обновляется автоматически. Данные в эти ячейки не вводятся</t>
  </si>
  <si>
    <t>Информация о программе: ТБ</t>
  </si>
  <si>
    <t>Р1</t>
  </si>
  <si>
    <t>Р2</t>
  </si>
  <si>
    <t>да</t>
  </si>
  <si>
    <t>Достигнуто</t>
  </si>
  <si>
    <t xml:space="preserve">MDR TB-2: Количество бактериологически подтвержденных зарегистрированных ЛУ-ТБ случаев (РУ-ТБ и/или МЛУ-ТБ)		</t>
  </si>
  <si>
    <t xml:space="preserve">MDR TB-3: Количество случаев с РУ/МЛУ ТБ, начавших лечение препаратами второго ряда		</t>
  </si>
  <si>
    <t xml:space="preserve">MDR TB-8: Количество случаев ШЛУ ТБ, взятых на лечение		</t>
  </si>
  <si>
    <t xml:space="preserve">Процент и количество пациентов с симптомами или подозрениями на ТБ, обследованных методом Xpert MTB/RIF и подтвержденным активным ТБ  </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</si>
  <si>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</si>
  <si>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</si>
  <si>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</si>
  <si>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</si>
  <si>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</si>
  <si>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</si>
  <si>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</si>
  <si>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</si>
  <si>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</si>
  <si>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</si>
  <si>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</si>
  <si>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ГФ в январе и апреле 2019 г. произвел выплату двумя траншами на общую сумму 3 078 027$, что в сумме с выплатами в 2018 составляет сумму всего бюджета за июль 2018-июнь 2019</t>
  </si>
  <si>
    <t xml:space="preserve">В отчетном периоде ГФ произвел выплату в полном объеме бюджета отчетного периода.
Расходы ОП составили 7 370 949$,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30 июня 2019 в  3 972 818$. Итого за весь период гранта было освоено 208% выделлных средств на ОП. В текущем периоде ПРООН произвел выплаты 33 СП  в срок на общую сумму в 967 7503$ по запросу от СП в рамках 39 подписанных Соглашений и бюджетов.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</si>
  <si>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</si>
  <si>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 xml:space="preserve">В отчетном периоде ОП подготовил и направил ИОР/ЗПС в ГФ и офис МАФ в установленные сроки. Платеж от ГФ на отчетный период был получен  в январе и апреле 2019 согласно графика платежей ГФ. </t>
  </si>
  <si>
    <t>Совокупный бюджет</t>
  </si>
  <si>
    <t>Совокупные расходы</t>
  </si>
  <si>
    <t>Показатели по управлению</t>
  </si>
  <si>
    <t xml:space="preserve">По обоим компонентам предварительных условий (ПУ) нет согласно письму от ГФ по результатам работы за 1-е полугодие 2018 года.  </t>
  </si>
  <si>
    <t>По компоненту ВИЧ -  реализацию программы осуществляли всего 22 Суб-получателя в рамках 28 СП-Соглашений, По всем Соглашениям СП получали финансирование. 
По компоненту ТБ: По грантовому соглашению в рамках ТБ компонента планировалось три СП: НЦФ, под управлением которого должны были  работать все ОЦБТ и ГСИН, 1 НПО по предоставлению лечения на дому и 1 Национальная Сеть по ТБ. По запросу НЦФ,  было принято решение заключить прямые соглашения со всеми областными центрами по борьбе с туберкулезом, таким образом вместо 1 СР фактически вовлечены 9 центров по борьбе с ТБ.В отчетном периоде  в реализацию гранта былои вовлечены 2 неправительственные организации.  По всем Соглашениям СП получали финансирование.</t>
  </si>
  <si>
    <t>Комментарии по ВИЧ:</t>
  </si>
  <si>
    <t>По компоненту ВИЧ -  28 из 28 ожидаемых программных отчетов СП были получены своевременно,  они  были проверены, доработаны СП и приняты в установленные сроки.
По компоненту   ТБ: Все 11 СП представили программные отчеты согласно установленным срокам,были проверены, доработаны СП и приняты в установленные сроки. </t>
  </si>
  <si>
    <t>Медикаменты и ИМН закуплены согласно потребности на 2019 год. В расчетах потребности учтены текущий запас, ожидаемые поставки и наличие бюджета</t>
  </si>
  <si>
    <t>Комментарии по ТБ:</t>
  </si>
  <si>
    <t xml:space="preserve">Запас ПТП 2-го ряда составляет в среднем от 2-20 месяцев, за исключением некоторых препаратов. Ситуация большого запаса и наоборот меньше 2 месяцев, связано с переходным периодом на новые режимы, согласно новым рекомендациям ВОЗ. Согласно, плану перехода использование Амикацина постепенно будет увеличиваться, после того как капреомицин и канамицин уйдет из схем лечения, а также ежемесячный расход деламанида будет увеличиваться, так как закуплен для 84 пациента, с ежемесячным набором по 7 больных в месяц. 
Препараты, запас у которых меньше 2-х месяцев: Этамбутол, Изониазид, Клофаземин и Имипенем/Циластатин - плановая поставка препаратов покроет потребность на 2019 год.
</t>
  </si>
  <si>
    <t>Представленная информация по АРВ препаратам отражает ситуацию на 30/06/19 (Данные Электронной базы слежения за случаями ВИЧ и данным РЦ СПИД) данные по пациентам согласно Клиническому протоколу. Запасы отслеживаются, критических ситуаций с запасами не наблюдается. Но принимая во внимание изменение клинического протокола на основании последних рекомендации ВОЗ будут преобладать схемы на основе Долутегравира и схемы с монопрепаратами (отдельными постепенно не будут использоваться). Препаратов с запасом  свыше 10 месяцев срок годности приемлемый и будет использован до истечения срока годности. Касательно препаратов и тест систем  с уровнем запаса менее 3х месяцев, плановая поставка препаратов покроет потребность на 2019 год. Относительно экспресс тестирования, тест исследования покроют потребности на 2020 с увеличением количества  протестированных среди ключевых групп по сравнению с 2018 годом.</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</si>
  <si>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</si>
  <si>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</si>
  <si>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</si>
  <si>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</si>
  <si>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ATV 300mg</t>
  </si>
  <si>
    <t>Метадон</t>
  </si>
  <si>
    <t>Картриджи (CD 4)</t>
  </si>
  <si>
    <t>Картриджи (Вирусная нагрузка)</t>
  </si>
  <si>
    <t>Экспресс тестирование (по околодесновой жидкости)</t>
  </si>
  <si>
    <t>Capreomycin  1000mg  Порошок для инъекций</t>
  </si>
  <si>
    <t>Kanamycin  1000mg  Порошок для инъекций</t>
  </si>
  <si>
    <t>P-aminosalicylate sodium salt  4000mg  Powder/Sachet</t>
  </si>
  <si>
    <t>Genexpert картриджи</t>
  </si>
  <si>
    <t>Raiting</t>
  </si>
  <si>
    <t>Valor</t>
  </si>
  <si>
    <t>Программные показатели по ВИЧ/СПИД</t>
  </si>
  <si>
    <t>Процент ЛУИН, охваченных программами по  профилактике ВИЧ</t>
  </si>
  <si>
    <t>Комментрии:</t>
  </si>
  <si>
    <t xml:space="preserve">В отчетный период услуги получили  15 835 ЛУИН , из них 1 437 в ГСИН. Из общего числа охваченных клиентов – 1 964 женщины. В начале 2019 г. Вступил в силу Закон о пробации, в силу которого 308 клиентов ПОШ  были освобождены из мест лишения свободы. Всего за отчетный период было роздано 2 080 897 шприцев и 331 536 презервативов, что в среднем сотавляет 131 шприц и 21 презерватив на одного клиента. </t>
  </si>
  <si>
    <t>В соответствии с официальными данными, представленными Центром СПИД Республики на 30 июня 2019 г., 3 762 ЛЖВ получают АРВ лечение. В это число входят 3 324 взрослых (из них: мужчин - 1786, женщин – 1 538) и 438 детей (из них: дев. -179, мал. -259).</t>
  </si>
  <si>
    <t>Данный показатель является годовым. На 31 декабря 2018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68.5 % (2545/3718). 					Следующие результаты по данному индикатору будут представлены в отчете за 2 полугодие 2019 г.</t>
  </si>
  <si>
    <t>Показатели</t>
  </si>
  <si>
    <t>0% - 59%</t>
  </si>
  <si>
    <t>60% - 89%</t>
  </si>
  <si>
    <t>&gt; 90%</t>
  </si>
  <si>
    <t>Замечания</t>
  </si>
  <si>
    <t>min</t>
  </si>
  <si>
    <t>Ч: 16875
З: 25 000
%: 68</t>
  </si>
  <si>
    <t>Ч: 15835
З: 25 000
%: 64</t>
  </si>
  <si>
    <t>max</t>
  </si>
  <si>
    <t>Ч: 5123
З: 8500
%: 61</t>
  </si>
  <si>
    <t>Ч: 3762
З: 8500
%: 45</t>
  </si>
  <si>
    <t>Rating</t>
  </si>
  <si>
    <t>Данный показатель является годовым. На 31 декабря 2018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68.5 % (2545/3718).      Следующие результаты по данному индикатору будут представлены в отчете за 2 полугодие 2019 г.</t>
  </si>
  <si>
    <t xml:space="preserve">За предыдущий отчетный период (июль-декабрь 2018) 99 ЛУИН вошли в программу и из них 56 находились на лечении не менее 6 месяцев после начала лечения, что составило 57%. 
Из тех, кто не смог удержаться в течение 6 месяцев: умер -5; перешел на другой сайт и не дошел- 5;  добровольное досрочное – 29, попал в заключение – 1, планово завершил – 1, исключен - 1.
Согласно данным, полученным из ЭРЗПТ, в отчетном периоде получали ОЗТ- 1 192 ЛУИН, а по состоянию на 30 июня 2019 г. - 1 043 ЛУИН фактически получали ОЗТ (сайты РЦН, ГСИН и CDC). Одним из значительных достижений программы ОЗТ в текущем отчетном периоде является то, что 33% стабильных клиентов ОЗТ (241 клиент из 725 по состоянию на 30 июня 2018 года) получали метадон на руки на  3-5 дней.
</t>
  </si>
  <si>
    <t>За отчетный период 2 404 заключенных (из них женщин- 94), прошли тестирование на ВИЧ и знают свои результаты из общего количества 7 592 заключенных, что составило 32%.</t>
  </si>
  <si>
    <t xml:space="preserve">Пять НПО  в г.  Бишкек, Ош, Джалал-Абад,  Кызыл-Кия, Чолпон-Ата, Каракол, Талас, Балыкчы и в Джалал-Абадской, Ошской, Чуйской, Иссык-Кульской, Нарынской и Таласской областях реализуют программы профилактики ВИЧ среди данной уязвимой группы. В этот период 3 604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Из них 22 СР идентифицировали себя ка ТГ.  В отчетный период 660 СР прошли диагностику на ИППП.  542861 презерватива было роздано СР, таким образом каждый СР получил 150 презервативов в отчетном периоде.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 с большим охватом.  Несмотря на проводимые обучающие и адвокационные мероприятия, ситуация не улучшается.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В результате, доступ к СР ограничен в этих двух больших городах.
</t>
  </si>
  <si>
    <t>Три НПО осуществляли программы профилактики ВИЧ среди МСМ в г. Бишкек, Ош, Джалал-Абад, Талас  и в Чуйской, Ошской и Иссык-Кульской областях. 9 606 МСМ были охвачены минимальным пакетом услуг. Диагностику на ИППП прошли- 107 МСМ. 409 065 презервативов было распространено, таким образом каждый клиент получил 43 презерватива за отчетный период.</t>
  </si>
  <si>
    <t xml:space="preserve">За отчетный период 8464 ЛУИН, включая ЛУИН заключенных и ОЗТ клиентов прошли тестирование на ВИЧ и знают свои результаты. Из них 97.5% (8252/8464) прошли экспресс тестирование. 
</t>
  </si>
  <si>
    <t xml:space="preserve">За отчетный период 1969 СР прошли тестирование на ВИЧ и знают свои результаты. Все прошли экспресс тестирование. 
</t>
  </si>
  <si>
    <t xml:space="preserve">За отчетный период 4420 МСМ прошли тестирование на ВИЧ и знают свои результаты. Все клиенты  (100 %) прошли экспресс тестирование на базе НПО. </t>
  </si>
  <si>
    <t>Из 3764 ЛЖВ (3340 взрослых и 424 детей), вовлеченных в уход по ВИЧ , ТБ статус был оценен у 3626 ЛЖВ (3202 взрослых и 424 детей)  во время отчетного периода, согласно национальному протоколу по ВИЧ. Данные предоставлены РЦ СПИД.</t>
  </si>
  <si>
    <t xml:space="preserve">Из 72 ВИЧ-инфицированных больных ТБ, 66 пациентов получали комбинированную антиретровирусную терапию в соответствии с национально утвержденными протоколами лечения, и которые начали получать лечение ТБ (в соответствии с руководящими принципами национальной программы по ТБ) в течение отчетного периода. </t>
  </si>
  <si>
    <t xml:space="preserve">Данный показатель является годовым. Cогласно данным РЦ СПИД в 2018 году общее число беременных женщин с ВИЧ, родивших -136. Из них 133 женщин получили АРТ в целях профилактики вертикальной передачи ВИЧ.    Следующие результаты по данному индикатору будут представлены в отчете за 2 полугодие 2019 г. </t>
  </si>
  <si>
    <t>Программные показатели по ТБ</t>
  </si>
  <si>
    <t xml:space="preserve">В течение последних лет наблюдается устойчивое снижение числа зарегистрированных случаев ТБ. При этом следует отметить, что несоблюдение диагностического алгоритма и отсутсвие мероприятий по активному выявлению случаев на ПМСП, приводит не только к снижению числа зарегистрированных случаев, но и к снижению числа обследованных на ТБ,  </t>
  </si>
  <si>
    <t xml:space="preserve">В течение отчетного периода выявление и регистрация РУ/МЛУ ТБ проводилась на рутинной основе, дополнительные мероприятия по активному выявлению случаев не проводились. </t>
  </si>
  <si>
    <t xml:space="preserve">Охват лечением среди РУ/МЛУ больных составил 95%, что является хорошим показателем. Некоторые пациенты с РУ/МЛУ/ШЛУ, имевшие неудачные эпизоды лечения в прошлом, отказываются от лечения. С ними проводится мотивационная работа со стороны врачей и кейс-менеджеров, которые с июля 2019 года финансируются за счет средств ПРООН.  </t>
  </si>
  <si>
    <t>Замечания и комментарии</t>
  </si>
  <si>
    <t>3023</t>
  </si>
  <si>
    <t xml:space="preserve">Данные получены от Национальной Противотуберкулезной Программы и включают данные пенитенциарной системы. Общее число зарегистрированных случаев (новых и рецидивов) в 4 кв. 2018-1 кв. 2019 года составило 3023, включая 2456  новых случаев (81%) и 567 (19%) рецидивов.   Из них 121 зарегистрированы в пенитенциарном секторе, и 2902 - в гражданскеом секторе. Количество зарегистрированных ТБ случаев постоянно снижается в последние годы. Согласно отчетам суб-получателей, это происходит по двум причинам: (1) в связи с сокращением ТБ коек, число необоснованных госпитализаций (когда пациенты в прошлом болевшие ТБ, регистрируются как рецидивы и получают "санаторное" лечение: доля рецидивов, зарегистрированных в 2018 году снизилась на 17% по сравнению с 2016 годом, в то время как доля новых зарегистрированных случаев снизилась только на 7%; (2) низкая настроженность ПМСП: диагностический алгоритм не выполняется в полной мере, мероприятия по активному выявлению случаев не проводятся. ПРООН неоднократно рекомендовала улучшить выполнение диагностического алгортма на уровне ПМСП (рекомендации были включены в Письма по управлению Грантом /Соглашением); согласно последнией информации, рекомендации находятся на стадии выполнения.      </t>
  </si>
  <si>
    <t>709</t>
  </si>
  <si>
    <t xml:space="preserve">В период 4 кв. 2018 г.-1 кв.2019 г., Национальная Противотуберкулезная Программа зарегистрировала 709 РУ/МЛУ/ШЛУ случаев вместо планируемых 720. По сравнению с целевым показателем, индиатор выполнен на 98%. 51 из 709 случаев РУ/МЛУ были выявлены в пенитенциарной системе и 658 - в гражданском секторе. </t>
  </si>
  <si>
    <t>В течение отчетного периода 687 РУ/МЛУ случаев были взяты на лечение, включая 674 бактериологически подтвержденных и 13 клинически диагностированных. Таким образом, целевой показатель достигнут на 94%. Это число включае 50 случаев из пенитенциарной системы и 624 случая из гражданского сектора. Из 709 случаев РУ/МЛУ случаев, которые зарегистрированы в отчетный период, на лечение взяты 95% (674), охват лечением в этом отчетном периоде выше по сравнению с предыдущим . Разница объясняется за счет ранее леченых случаев ТБ, которые были обнаружены во время мероприятий по активному выявлению случаев. Т.к. некоторые из этих пациментов имеют неблагоприятные исходы лечения в прошлом, часть из них отказывается от лечения. Врачи-фтизиатры на местах и кейс-менеджеры продолжают их мотивировать на лечение.</t>
  </si>
  <si>
    <t>65%</t>
  </si>
  <si>
    <t xml:space="preserve">Среди 709  зарегистрированных случаев РУ/МЛУ, 464 случаев были протестированы на чувствительность к препаратам второго ряда (фторхинолоны и инъекционные препараты) - 65%.  Индикатор выполнен на 109%. Согласно рекомендациям ПРООН, НЦФ улучшил качество записей в ТБ-регистре: перекрестная сверка  между лабораторным регистром и записей в картах пациентов проводится на ежеквартальной основе. 77% МЛУ случаев имеют результат ТЛЧ к ПВР (453 из 586 ), в то время как только 9% РУ случаев имеют ТЛЧ к ПВР (11 out of 123). Главной причиной, влияющий на выполнение этого индикатора, является нарушение диагностического алгоритма на уровне ПМСП. </t>
  </si>
  <si>
    <t>54</t>
  </si>
  <si>
    <t xml:space="preserve">Доступность новых препаратов и индивидуальных режимов вносит вклад в улучшение охвата ШЛУ пациентов лечением ТБ: начиная с 2017 года число ШЛУ случаев, взятых на лечение, имеет тенденцию к увеличению. НТП сообщает о 54 случаев ШЛУ ТБ, взятых на лечение в период с 4 кв 2018 г. по 1 кв 2019 г..   </t>
  </si>
  <si>
    <t>91%</t>
  </si>
  <si>
    <t>92%</t>
  </si>
  <si>
    <t xml:space="preserve">Тестирование на ВИЧ доступно по всей стране. В течение отчетного периода 92% зарегистрированных пациентов в 4 кв.2018-1 кв.2019 г. были протестированы на ВИЧ (2786 из 3023 новых случаев и рецидивов). Согласно клиническому руководству, все ТБ пациенты должны быть протестированы на ВИЧ. </t>
  </si>
  <si>
    <t>Рекомендации</t>
  </si>
  <si>
    <t>Осваиваются ли все средства и расходуются ли они согласно бюджету?</t>
  </si>
  <si>
    <t>Заключительные комментарии</t>
  </si>
  <si>
    <t>F1</t>
  </si>
  <si>
    <t>F2</t>
  </si>
  <si>
    <t>F3</t>
  </si>
  <si>
    <t>F4</t>
  </si>
  <si>
    <t>Осуществляются ли закупки и набор персонала согласно графику?</t>
  </si>
  <si>
    <t>M1</t>
  </si>
  <si>
    <t>M2</t>
  </si>
  <si>
    <t>M3</t>
  </si>
  <si>
    <t>M4</t>
  </si>
  <si>
    <t>M5</t>
  </si>
  <si>
    <t>M6</t>
  </si>
  <si>
    <t>Достигаются ли технические целевые показатели?</t>
  </si>
  <si>
    <t>Программа</t>
  </si>
  <si>
    <t>P1 - тенденция</t>
  </si>
  <si>
    <t>P2 - тенденция</t>
  </si>
  <si>
    <t>P3 - тенденция</t>
  </si>
  <si>
    <t>Решения и действия</t>
  </si>
  <si>
    <t>Какой общий статус реализации этого гранта?</t>
  </si>
  <si>
    <t>Основные рекомендации Комитета по надзору</t>
  </si>
  <si>
    <t>Решение СКК</t>
  </si>
  <si>
    <t>Срок</t>
  </si>
  <si>
    <t>Ответственное лицо</t>
  </si>
  <si>
    <t>Запланированные действия/Предыдущий период</t>
  </si>
  <si>
    <t>Каково общее состояние действий, осуществленных за предыдущий период?</t>
  </si>
  <si>
    <t>Предпринятые действия</t>
  </si>
  <si>
    <t>Дата</t>
  </si>
  <si>
    <t>Предыдущий отчетный период</t>
  </si>
  <si>
    <t>Set-up = List of validation for Grant Detail page</t>
  </si>
  <si>
    <t>Component</t>
  </si>
  <si>
    <t>Currency</t>
  </si>
  <si>
    <t>Round</t>
  </si>
  <si>
    <t>Phase</t>
  </si>
  <si>
    <t>Period</t>
  </si>
  <si>
    <t>LFA</t>
  </si>
  <si>
    <t>Medicaments</t>
  </si>
  <si>
    <t>Countries</t>
  </si>
  <si>
    <t>Пожалуйста выберите</t>
  </si>
  <si>
    <t>Раунд 1</t>
  </si>
  <si>
    <t>Фаза 1</t>
  </si>
  <si>
    <t>CA (Crown Agents)</t>
  </si>
  <si>
    <t>Изониазид</t>
  </si>
  <si>
    <t>Афганистан</t>
  </si>
  <si>
    <t>МАЛЯРИЯ</t>
  </si>
  <si>
    <t>€</t>
  </si>
  <si>
    <t>Раунд 2</t>
  </si>
  <si>
    <t>Фаза 2</t>
  </si>
  <si>
    <t>A2</t>
  </si>
  <si>
    <t>DEL (Deloitte)</t>
  </si>
  <si>
    <t>Этамбутол</t>
  </si>
  <si>
    <t>Албания</t>
  </si>
  <si>
    <t>Раунд 3</t>
  </si>
  <si>
    <t>RCC</t>
  </si>
  <si>
    <t>B1</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</si>
  <si>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</si>
  <si>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</si>
  <si>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</si>
  <si>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</si>
  <si>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</si>
  <si>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</si>
  <si>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</si>
  <si>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</si>
  <si>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</si>
  <si>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</si>
  <si>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</si>
  <si>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</si>
  <si>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</si>
  <si>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</si>
  <si>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</si>
  <si>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</si>
  <si>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</si>
  <si>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</si>
  <si>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</si>
  <si>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</si>
  <si>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</si>
  <si>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</si>
  <si>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</si>
  <si>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</si>
  <si>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</si>
  <si>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</si>
  <si>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</si>
  <si>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</si>
  <si>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</si>
  <si>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</si>
  <si>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</si>
  <si>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</si>
  <si>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</si>
  <si>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</si>
  <si>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</si>
  <si>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</si>
  <si>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</si>
  <si>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</si>
  <si>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</si>
  <si>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</si>
  <si>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</si>
  <si>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</si>
  <si>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</si>
  <si>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</si>
  <si>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</si>
  <si>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</si>
  <si>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</si>
  <si>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</si>
  <si>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</si>
  <si>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</si>
  <si>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</si>
  <si>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</si>
  <si>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</si>
  <si>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</si>
  <si>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</si>
  <si>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</si>
  <si>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</si>
  <si>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</si>
  <si>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</si>
  <si>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</si>
  <si>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</si>
  <si>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</si>
  <si>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</si>
  <si>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</si>
  <si>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</si>
  <si>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</si>
  <si>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</si>
  <si>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</si>
  <si>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</si>
  <si>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</si>
  <si>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</si>
  <si>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</si>
  <si>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</si>
  <si>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</si>
  <si>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</si>
  <si>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</si>
  <si>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</si>
  <si>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</si>
  <si>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</si>
  <si>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</si>
  <si>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</si>
  <si>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</si>
  <si>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</si>
  <si>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</si>
  <si>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</si>
  <si>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</si>
  <si>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</si>
  <si>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</si>
  <si>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</si>
  <si>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</si>
  <si>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</si>
  <si>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</si>
  <si>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</si>
  <si>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</si>
  <si>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</si>
  <si>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</si>
  <si>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</si>
  <si>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</si>
  <si>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</si>
  <si>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</si>
  <si>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</si>
  <si>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</si>
  <si>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</si>
  <si>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</si>
  <si>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</si>
  <si>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</si>
  <si>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</si>
  <si>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</si>
  <si>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</si>
  <si>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</si>
  <si>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</si>
  <si>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</si>
  <si>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</si>
  <si>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</si>
  <si>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</si>
  <si>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</si>
  <si>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</si>
  <si>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</si>
  <si>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</si>
  <si>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</si>
  <si>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</si>
  <si>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</si>
  <si>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</si>
  <si>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</si>
  <si>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</si>
  <si>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</si>
  <si>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</si>
  <si>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</si>
  <si>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</si>
  <si>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</si>
  <si>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</si>
  <si>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</si>
  <si>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</si>
  <si>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</si>
  <si>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</si>
  <si>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</si>
  <si>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</si>
  <si>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</si>
  <si>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</si>
  <si>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</si>
  <si>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</si>
  <si>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</si>
  <si>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</si>
  <si>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</si>
  <si>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</si>
  <si>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</si>
  <si>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</si>
  <si>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</si>
  <si>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</si>
  <si>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</si>
  <si>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</si>
  <si>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</si>
  <si>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</si>
  <si>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</si>
  <si>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</si>
  <si>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</si>
  <si>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</si>
  <si>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</si>
  <si>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</si>
  <si>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</si>
  <si>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</si>
  <si>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</si>
  <si>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</si>
  <si>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</si>
  <si>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</si>
  <si>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</si>
  <si>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</si>
  <si>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</si>
  <si>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</si>
  <si>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</si>
  <si>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</si>
  <si>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</si>
  <si>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</si>
  <si>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</si>
  <si>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</si>
  <si>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</si>
  <si>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</si>
  <si>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</si>
  <si>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</si>
  <si>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</si>
  <si>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</si>
  <si>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</si>
  <si>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</si>
  <si>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</si>
  <si>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</si>
  <si>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</si>
  <si>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</si>
  <si>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</si>
  <si>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</si>
  <si>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</si>
  <si>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</si>
  <si>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</si>
  <si>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</si>
  <si>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</si>
  <si>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</si>
  <si>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</si>
  <si>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</si>
  <si>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</si>
  <si>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</si>
  <si>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</si>
  <si>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</si>
  <si>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1 Budget</t>
  </si>
  <si>
    <t>1 Expenditures</t>
  </si>
  <si>
    <t>Budget</t>
  </si>
  <si>
    <t>Expenditures</t>
  </si>
  <si>
    <t>PR</t>
  </si>
  <si>
    <t>SR</t>
  </si>
  <si>
    <t>Общий итог</t>
  </si>
  <si>
    <t>Cummulative/EFR</t>
  </si>
  <si>
    <t>Last/DB</t>
  </si>
  <si>
    <t>PUDR</t>
  </si>
  <si>
    <t>По ВИЧ\ТБ  гранту всего 22  штатных позиции, из них 4 - по компоненту ВИЧ,  2 - по компоненту ТБ.,  оставшиеся  16   относятся к обоим компонентам.   22 штатных позиции заполнены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</si>
</sst>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 _₽_-;\-* #,##0.00\ _₽_-;_-* &quot;-&quot;??\ _₽_-;_-@_-"/>
    <numFmt numFmtId="164" formatCode="_(* #,##0.00_);_(* \(#,##0.00\);_(* &quot;-&quot;??_);_(@_)"/>
    <numFmt numFmtId="165" formatCode="_-* #,##0.00_р_._-;\-* #,##0.00_р_._-;_-* &quot;-&quot;??_р_.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_-;\-* #,##0.00_-;_-* &quot;-&quot;??_-;_-@_-"/>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79">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sz val="9"/>
      <color indexed="8"/>
      <name val="Calibri"/>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
      <sz val="11"/>
      <color rgb="FFFF0000"/>
      <name val="Calibri"/>
      <family val="2"/>
    </font>
    <font>
      <sz val="8"/>
      <color rgb="FF000000"/>
      <name val="Calibri"/>
      <family val="2"/>
    </font>
    <font>
      <sz val="10"/>
      <color rgb="FF0D0D0D"/>
      <name val="Calibri"/>
      <family val="2"/>
    </font>
  </fonts>
  <fills count="5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indexed="43"/>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indexed="64"/>
      </patternFill>
    </fill>
  </fills>
  <borders count="2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2" fillId="0" borderId="4" applyNumberFormat="0" applyFill="0" applyAlignment="0" applyProtection="0"/>
    <xf numFmtId="0" fontId="73"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17" fillId="0" borderId="0"/>
    <xf numFmtId="164" fontId="117" fillId="0" borderId="0"/>
    <xf numFmtId="164" fontId="117" fillId="0" borderId="0"/>
    <xf numFmtId="164" fontId="117"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17"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17" fillId="0" borderId="9" applyNumberFormat="0" applyFill="0" applyAlignment="0" applyProtection="0"/>
    <xf numFmtId="0" fontId="74"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17" fillId="0" borderId="0"/>
    <xf numFmtId="0" fontId="139" fillId="0" borderId="0"/>
    <xf numFmtId="0" fontId="140" fillId="0" borderId="0"/>
    <xf numFmtId="9" fontId="2" fillId="0" borderId="0" applyFont="0" applyFill="0" applyBorder="0" applyAlignment="0" applyProtection="0"/>
    <xf numFmtId="9" fontId="140" fillId="0" borderId="0" applyFont="0" applyFill="0" applyBorder="0" applyAlignment="0" applyProtection="0"/>
    <xf numFmtId="176" fontId="140" fillId="0" borderId="0" applyFont="0" applyFill="0" applyBorder="0" applyAlignment="0" applyProtection="0"/>
    <xf numFmtId="3" fontId="141" fillId="44" borderId="0">
      <alignment horizontal="center"/>
    </xf>
    <xf numFmtId="9" fontId="141" fillId="44" borderId="0">
      <alignment horizontal="center"/>
    </xf>
    <xf numFmtId="3" fontId="142" fillId="0" borderId="0">
      <alignment horizontal="center" vertical="center"/>
      <protection locked="0"/>
    </xf>
    <xf numFmtId="175" fontId="142" fillId="0" borderId="0">
      <alignment horizontal="center" vertical="center"/>
      <protection locked="0"/>
    </xf>
    <xf numFmtId="49" fontId="143" fillId="0" borderId="0">
      <alignment horizontal="left"/>
    </xf>
    <xf numFmtId="0" fontId="144" fillId="0" borderId="0" applyNumberFormat="0" applyFill="0" applyBorder="0" applyAlignment="0" applyProtection="0"/>
    <xf numFmtId="0" fontId="2" fillId="0" borderId="0"/>
    <xf numFmtId="0" fontId="145" fillId="0" borderId="0"/>
    <xf numFmtId="0" fontId="140" fillId="0" borderId="0"/>
    <xf numFmtId="0" fontId="140" fillId="0" borderId="0"/>
    <xf numFmtId="0" fontId="140" fillId="0" borderId="0"/>
    <xf numFmtId="0" fontId="134" fillId="0" borderId="0"/>
    <xf numFmtId="0" fontId="134" fillId="0" borderId="0"/>
    <xf numFmtId="165" fontId="146" fillId="0" borderId="0" applyFont="0" applyFill="0" applyBorder="0" applyAlignment="0" applyProtection="0"/>
    <xf numFmtId="9" fontId="146" fillId="0" borderId="0" applyFont="0" applyFill="0" applyBorder="0" applyAlignment="0" applyProtection="0"/>
    <xf numFmtId="0" fontId="149" fillId="0" borderId="0"/>
    <xf numFmtId="43" fontId="149" fillId="0" borderId="0" applyFont="0" applyFill="0" applyBorder="0" applyAlignment="0" applyProtection="0"/>
    <xf numFmtId="176" fontId="146" fillId="0" borderId="0" applyFont="0" applyFill="0" applyBorder="0" applyAlignment="0" applyProtection="0"/>
    <xf numFmtId="43" fontId="140" fillId="0" borderId="0" applyFont="0" applyFill="0" applyBorder="0" applyAlignment="0" applyProtection="0"/>
    <xf numFmtId="9" fontId="146" fillId="0" borderId="0" applyFont="0" applyFill="0" applyBorder="0" applyAlignment="0" applyProtection="0"/>
    <xf numFmtId="178" fontId="141" fillId="0" borderId="259">
      <alignment horizontal="center" vertical="center"/>
    </xf>
    <xf numFmtId="179" fontId="151" fillId="0" borderId="0">
      <protection locked="0"/>
    </xf>
    <xf numFmtId="179" fontId="107" fillId="0" borderId="0">
      <alignment horizontal="center" vertical="center"/>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129" fillId="45" borderId="0" applyNumberFormat="0" applyBorder="0" applyAlignment="0" applyProtection="0"/>
    <xf numFmtId="179" fontId="129" fillId="6" borderId="0" applyNumberFormat="0" applyBorder="0" applyAlignment="0" applyProtection="0"/>
    <xf numFmtId="179" fontId="129" fillId="7" borderId="0" applyNumberFormat="0" applyBorder="0" applyAlignment="0" applyProtection="0"/>
    <xf numFmtId="179" fontId="129" fillId="46" borderId="0" applyNumberFormat="0" applyBorder="0" applyAlignment="0" applyProtection="0"/>
    <xf numFmtId="179" fontId="129" fillId="5" borderId="0" applyNumberFormat="0" applyBorder="0" applyAlignment="0" applyProtection="0"/>
    <xf numFmtId="179" fontId="129" fillId="3" borderId="0" applyNumberFormat="0" applyBorder="0" applyAlignment="0" applyProtection="0"/>
    <xf numFmtId="179" fontId="129" fillId="11" borderId="0" applyNumberFormat="0" applyBorder="0" applyAlignment="0" applyProtection="0"/>
    <xf numFmtId="179" fontId="129" fillId="9" borderId="0" applyNumberFormat="0" applyBorder="0" applyAlignment="0" applyProtection="0"/>
    <xf numFmtId="179" fontId="129" fillId="47" borderId="0" applyNumberFormat="0" applyBorder="0" applyAlignment="0" applyProtection="0"/>
    <xf numFmtId="179" fontId="129" fillId="46" borderId="0" applyNumberFormat="0" applyBorder="0" applyAlignment="0" applyProtection="0"/>
    <xf numFmtId="179" fontId="129" fillId="11" borderId="0" applyNumberFormat="0" applyBorder="0" applyAlignment="0" applyProtection="0"/>
    <xf numFmtId="179" fontId="129" fillId="48" borderId="0" applyNumberFormat="0" applyBorder="0" applyAlignment="0" applyProtection="0"/>
    <xf numFmtId="179" fontId="154" fillId="49" borderId="0" applyNumberFormat="0" applyBorder="0" applyAlignment="0" applyProtection="0"/>
    <xf numFmtId="179" fontId="154" fillId="9" borderId="0" applyNumberFormat="0" applyBorder="0" applyAlignment="0" applyProtection="0"/>
    <xf numFmtId="179" fontId="154" fillId="47"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51" borderId="0" applyNumberFormat="0" applyBorder="0" applyAlignment="0" applyProtection="0"/>
    <xf numFmtId="0" fontId="148" fillId="0" borderId="0" applyNumberFormat="0" applyFill="0" applyBorder="0" applyAlignment="0" applyProtection="0">
      <alignment vertical="top"/>
      <protection locked="0"/>
    </xf>
    <xf numFmtId="176" fontId="140" fillId="0" borderId="0" applyFont="0" applyFill="0" applyBorder="0" applyAlignment="0" applyProtection="0"/>
    <xf numFmtId="43" fontId="129" fillId="0" borderId="0" applyFont="0" applyFill="0" applyBorder="0" applyAlignment="0" applyProtection="0"/>
    <xf numFmtId="180" fontId="140" fillId="0" borderId="0" applyFont="0" applyFill="0" applyBorder="0" applyAlignment="0" applyProtection="0"/>
    <xf numFmtId="179" fontId="144" fillId="0" borderId="0" applyNumberFormat="0" applyFill="0" applyBorder="0" applyAlignment="0" applyProtection="0">
      <alignment vertical="top"/>
      <protection locked="0"/>
    </xf>
    <xf numFmtId="0" fontId="155" fillId="0" borderId="0"/>
    <xf numFmtId="0" fontId="156" fillId="0" borderId="0" applyNumberFormat="0" applyFill="0" applyBorder="0" applyAlignment="0" applyProtection="0">
      <alignment vertical="top"/>
      <protection locked="0"/>
    </xf>
    <xf numFmtId="0" fontId="140" fillId="7" borderId="10" applyBorder="0">
      <alignment vertical="top"/>
    </xf>
    <xf numFmtId="179" fontId="141" fillId="0" borderId="0"/>
    <xf numFmtId="0" fontId="146" fillId="0" borderId="0"/>
    <xf numFmtId="0" fontId="140" fillId="0" borderId="0"/>
    <xf numFmtId="0" fontId="146" fillId="0" borderId="0"/>
    <xf numFmtId="179" fontId="140" fillId="0" borderId="0"/>
    <xf numFmtId="0" fontId="146" fillId="0" borderId="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57" fillId="0" borderId="0" applyFont="0" applyFill="0" applyBorder="0" applyAlignment="0" applyProtection="0"/>
    <xf numFmtId="0" fontId="150" fillId="8" borderId="41">
      <alignment horizontal="centerContinuous"/>
    </xf>
    <xf numFmtId="49" fontId="147" fillId="52" borderId="10">
      <alignment horizontal="center" vertical="center" wrapText="1"/>
    </xf>
    <xf numFmtId="179" fontId="154" fillId="53" borderId="0" applyNumberFormat="0" applyBorder="0" applyAlignment="0" applyProtection="0"/>
    <xf numFmtId="179" fontId="154" fillId="13" borderId="0" applyNumberFormat="0" applyBorder="0" applyAlignment="0" applyProtection="0"/>
    <xf numFmtId="179" fontId="154" fillId="15"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14" borderId="0" applyNumberFormat="0" applyBorder="0" applyAlignment="0" applyProtection="0"/>
    <xf numFmtId="179" fontId="158" fillId="3" borderId="1" applyNumberFormat="0" applyAlignment="0" applyProtection="0"/>
    <xf numFmtId="179" fontId="159" fillId="8" borderId="8" applyNumberFormat="0" applyAlignment="0" applyProtection="0"/>
    <xf numFmtId="179" fontId="160" fillId="8" borderId="1" applyNumberFormat="0" applyAlignment="0" applyProtection="0"/>
    <xf numFmtId="0" fontId="14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79" fontId="162" fillId="0" borderId="260" applyNumberFormat="0" applyFill="0" applyAlignment="0" applyProtection="0"/>
    <xf numFmtId="179" fontId="163" fillId="0" borderId="5" applyNumberFormat="0" applyFill="0" applyAlignment="0" applyProtection="0"/>
    <xf numFmtId="179" fontId="164" fillId="0" borderId="9" applyNumberFormat="0" applyFill="0" applyAlignment="0" applyProtection="0"/>
    <xf numFmtId="179" fontId="164" fillId="0" borderId="0" applyNumberFormat="0" applyFill="0" applyBorder="0" applyAlignment="0" applyProtection="0"/>
    <xf numFmtId="179" fontId="138" fillId="0" borderId="261" applyNumberFormat="0" applyFill="0" applyAlignment="0" applyProtection="0"/>
    <xf numFmtId="179" fontId="165" fillId="18" borderId="2" applyNumberFormat="0" applyAlignment="0" applyProtection="0"/>
    <xf numFmtId="179" fontId="166" fillId="0" borderId="0" applyNumberFormat="0" applyFill="0" applyBorder="0" applyAlignment="0" applyProtection="0"/>
    <xf numFmtId="179" fontId="167" fillId="10" borderId="0" applyNumberFormat="0" applyBorder="0" applyAlignment="0" applyProtection="0"/>
    <xf numFmtId="0" fontId="139" fillId="0" borderId="0"/>
    <xf numFmtId="0" fontId="146" fillId="0" borderId="0"/>
    <xf numFmtId="0" fontId="140" fillId="0" borderId="0"/>
    <xf numFmtId="0" fontId="129" fillId="0" borderId="0"/>
    <xf numFmtId="0" fontId="129" fillId="0" borderId="0"/>
    <xf numFmtId="0" fontId="140" fillId="0" borderId="0"/>
    <xf numFmtId="0" fontId="139" fillId="0" borderId="0"/>
    <xf numFmtId="179" fontId="168" fillId="6" borderId="0" applyNumberFormat="0" applyBorder="0" applyAlignment="0" applyProtection="0"/>
    <xf numFmtId="179" fontId="169" fillId="0" borderId="0" applyNumberFormat="0" applyFill="0" applyBorder="0" applyAlignment="0" applyProtection="0"/>
    <xf numFmtId="179" fontId="140" fillId="4" borderId="7" applyNumberFormat="0" applyFont="0" applyAlignment="0" applyProtection="0"/>
    <xf numFmtId="9" fontId="139" fillId="0" borderId="0" applyFont="0" applyFill="0" applyBorder="0" applyAlignment="0" applyProtection="0"/>
    <xf numFmtId="179" fontId="170" fillId="0" borderId="3" applyNumberFormat="0" applyFill="0" applyAlignment="0" applyProtection="0"/>
    <xf numFmtId="179" fontId="171" fillId="0" borderId="0" applyNumberFormat="0" applyFill="0" applyBorder="0" applyAlignment="0" applyProtection="0"/>
    <xf numFmtId="43" fontId="140" fillId="0" borderId="0" applyFont="0" applyFill="0" applyBorder="0" applyAlignment="0" applyProtection="0"/>
    <xf numFmtId="43" fontId="146" fillId="0" borderId="0" applyFont="0" applyFill="0" applyBorder="0" applyAlignment="0" applyProtection="0"/>
    <xf numFmtId="177" fontId="140" fillId="0" borderId="0" applyFont="0" applyFill="0" applyBorder="0" applyAlignment="0" applyProtection="0"/>
    <xf numFmtId="169" fontId="140" fillId="0" borderId="0" applyFont="0" applyFill="0" applyBorder="0" applyAlignment="0" applyProtection="0"/>
    <xf numFmtId="165" fontId="139" fillId="0" borderId="0" applyFont="0" applyFill="0" applyBorder="0" applyAlignment="0" applyProtection="0"/>
    <xf numFmtId="165" fontId="140" fillId="0" borderId="0" applyFont="0" applyFill="0" applyBorder="0" applyAlignment="0" applyProtection="0"/>
    <xf numFmtId="179" fontId="172" fillId="7" borderId="0" applyNumberFormat="0" applyBorder="0" applyAlignment="0" applyProtection="0"/>
    <xf numFmtId="181" fontId="172" fillId="7" borderId="0" applyNumberFormat="0" applyBorder="0" applyAlignment="0" applyProtection="0"/>
    <xf numFmtId="0" fontId="20" fillId="0" borderId="0"/>
    <xf numFmtId="0" fontId="173" fillId="0" borderId="0" applyFill="0" applyBorder="0" applyProtection="0">
      <alignment horizontal="left"/>
    </xf>
  </cellStyleXfs>
  <cellXfs count="1248">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17" fillId="0" borderId="0" xfId="48" applyProtection="1"/>
    <xf numFmtId="164" fontId="15" fillId="0" borderId="0" xfId="48" applyFont="1" applyProtection="1"/>
    <xf numFmtId="0" fontId="18" fillId="0" borderId="0" xfId="48" applyNumberFormat="1" applyFont="1" applyBorder="1" applyProtection="1"/>
    <xf numFmtId="164" fontId="117" fillId="0" borderId="0" xfId="50" applyProtection="1"/>
    <xf numFmtId="164" fontId="117" fillId="0" borderId="0" xfId="50" applyFill="1" applyBorder="1" applyAlignment="1" applyProtection="1">
      <alignment horizontal="left"/>
    </xf>
    <xf numFmtId="0" fontId="0" fillId="0" borderId="0" xfId="0" applyFill="1" applyBorder="1" applyProtection="1"/>
    <xf numFmtId="164" fontId="117"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7"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17" fillId="0" borderId="0" xfId="59"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17"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19" borderId="10" xfId="0" applyFont="1" applyFill="1" applyBorder="1" applyAlignment="1" applyProtection="1">
      <alignment horizontal="center"/>
    </xf>
    <xf numFmtId="0" fontId="70"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14" fillId="0" borderId="0" xfId="0" applyFont="1"/>
    <xf numFmtId="0" fontId="45" fillId="0" borderId="0" xfId="0" applyFont="1" applyFill="1"/>
    <xf numFmtId="0" fontId="77" fillId="19" borderId="12" xfId="0" applyFont="1" applyFill="1" applyBorder="1" applyAlignment="1">
      <alignment vertical="center"/>
    </xf>
    <xf numFmtId="0" fontId="75" fillId="0" borderId="0"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0" fillId="20" borderId="0" xfId="0" applyNumberFormat="1" applyFont="1" applyFill="1" applyBorder="1" applyAlignment="1">
      <alignment horizontal="center"/>
    </xf>
    <xf numFmtId="0" fontId="80" fillId="0" borderId="0" xfId="0" applyFont="1" applyFill="1" applyBorder="1" applyAlignment="1" applyProtection="1">
      <alignment horizontal="left"/>
    </xf>
    <xf numFmtId="0" fontId="81"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17" fillId="0" borderId="14" xfId="59" applyFill="1" applyBorder="1" applyAlignment="1" applyProtection="1">
      <alignment vertical="center"/>
    </xf>
    <xf numFmtId="164" fontId="31" fillId="0" borderId="0" xfId="59" applyFont="1" applyBorder="1" applyAlignment="1" applyProtection="1"/>
    <xf numFmtId="164" fontId="117"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167" fontId="28" fillId="0" borderId="0" xfId="62" applyNumberFormat="1" applyFont="1" applyAlignment="1" applyProtection="1">
      <alignment horizontal="left"/>
    </xf>
    <xf numFmtId="15" fontId="28" fillId="0" borderId="0" xfId="0" applyNumberFormat="1" applyFont="1" applyAlignment="1" applyProtection="1">
      <alignment horizontal="lef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7"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8"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70"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9"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1"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7" fontId="6" fillId="0" borderId="0" xfId="62" applyNumberFormat="1" applyFont="1" applyFill="1" applyBorder="1" applyAlignment="1" applyProtection="1">
      <protection locked="0"/>
    </xf>
    <xf numFmtId="167" fontId="6" fillId="0" borderId="0" xfId="62" applyNumberFormat="1" applyFont="1" applyFill="1" applyBorder="1" applyProtection="1">
      <protection locked="0"/>
    </xf>
    <xf numFmtId="0" fontId="15" fillId="20" borderId="0" xfId="0" applyFont="1" applyFill="1"/>
    <xf numFmtId="166" fontId="15" fillId="20" borderId="0" xfId="0" applyNumberFormat="1" applyFont="1" applyFill="1"/>
    <xf numFmtId="167" fontId="15" fillId="20" borderId="0" xfId="0" applyNumberFormat="1" applyFont="1" applyFill="1"/>
    <xf numFmtId="3" fontId="15" fillId="20" borderId="0" xfId="0" applyNumberFormat="1" applyFont="1" applyFill="1" applyProtection="1"/>
    <xf numFmtId="166"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2" fillId="0" borderId="0" xfId="0" applyFont="1"/>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8" fillId="0" borderId="0" xfId="0" applyNumberFormat="1" applyFont="1"/>
    <xf numFmtId="0" fontId="88"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17"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7" fillId="0" borderId="42" xfId="0" applyFont="1" applyBorder="1" applyAlignment="1">
      <alignment horizontal="justify" vertical="center" wrapText="1"/>
    </xf>
    <xf numFmtId="164" fontId="89" fillId="0" borderId="25" xfId="59" applyFont="1" applyFill="1" applyBorder="1" applyAlignment="1" applyProtection="1"/>
    <xf numFmtId="164" fontId="9" fillId="0" borderId="25" xfId="59" applyFont="1" applyFill="1" applyBorder="1" applyAlignment="1" applyProtection="1">
      <alignment vertical="center"/>
    </xf>
    <xf numFmtId="0" fontId="86" fillId="0" borderId="41" xfId="0" applyFont="1" applyBorder="1" applyAlignment="1">
      <alignment vertical="center" wrapText="1"/>
    </xf>
    <xf numFmtId="0" fontId="2" fillId="0" borderId="44" xfId="0" applyFont="1" applyFill="1" applyBorder="1" applyAlignment="1" applyProtection="1">
      <alignment horizontal="center"/>
    </xf>
    <xf numFmtId="0" fontId="1" fillId="0" borderId="0" xfId="0" applyFont="1"/>
    <xf numFmtId="164" fontId="91" fillId="0" borderId="25" xfId="59" applyFont="1" applyFill="1" applyBorder="1" applyAlignment="1" applyProtection="1">
      <alignment vertical="center"/>
    </xf>
    <xf numFmtId="0" fontId="90"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7" fontId="0" fillId="0" borderId="0" xfId="0" applyNumberFormat="1" applyProtection="1"/>
    <xf numFmtId="0" fontId="94" fillId="0" borderId="0" xfId="0" applyFont="1" applyFill="1" applyBorder="1" applyAlignment="1" applyProtection="1">
      <alignment horizontal="right"/>
    </xf>
    <xf numFmtId="164" fontId="95" fillId="0" borderId="14" xfId="59" applyFont="1" applyFill="1" applyBorder="1" applyAlignment="1" applyProtection="1">
      <alignment horizontal="left" vertical="center"/>
    </xf>
    <xf numFmtId="0" fontId="94" fillId="0" borderId="0" xfId="0" applyFont="1" applyBorder="1" applyProtection="1"/>
    <xf numFmtId="3" fontId="6" fillId="0" borderId="0" xfId="0" applyNumberFormat="1" applyFont="1" applyAlignment="1" applyProtection="1">
      <alignment horizontal="right"/>
    </xf>
    <xf numFmtId="0" fontId="97"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1" fillId="0" borderId="0" xfId="38" applyFont="1" applyFill="1" applyAlignment="1" applyProtection="1">
      <alignment vertical="center"/>
    </xf>
    <xf numFmtId="0" fontId="0" fillId="0" borderId="0" xfId="0" applyBorder="1" applyAlignment="1" applyProtection="1"/>
    <xf numFmtId="3" fontId="0" fillId="0" borderId="0" xfId="0" applyNumberFormat="1" applyFill="1" applyProtection="1"/>
    <xf numFmtId="0" fontId="0" fillId="0" borderId="0" xfId="0" applyFill="1" applyBorder="1" applyProtection="1">
      <protection locked="0"/>
    </xf>
    <xf numFmtId="0" fontId="6" fillId="0" borderId="0" xfId="0" applyFont="1" applyFill="1" applyBorder="1" applyAlignment="1" applyProtection="1">
      <protection locked="0"/>
    </xf>
    <xf numFmtId="0" fontId="98" fillId="0" borderId="0" xfId="0" applyFont="1" applyFill="1" applyBorder="1" applyAlignment="1" applyProtection="1">
      <alignment horizontal="left"/>
      <protection locked="0"/>
    </xf>
    <xf numFmtId="0" fontId="9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99" fillId="0" borderId="37" xfId="0" applyNumberFormat="1" applyFont="1" applyFill="1" applyBorder="1" applyAlignment="1" applyProtection="1">
      <alignment horizontal="center" wrapText="1"/>
    </xf>
    <xf numFmtId="15" fontId="99"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3" fontId="2" fillId="23" borderId="10" xfId="0" applyNumberFormat="1" applyFont="1" applyFill="1" applyBorder="1" applyAlignment="1" applyProtection="1">
      <alignment horizontal="right" vertical="center"/>
      <protection locked="0"/>
    </xf>
    <xf numFmtId="0" fontId="75" fillId="0" borderId="55" xfId="0" applyFont="1" applyFill="1" applyBorder="1" applyAlignment="1" applyProtection="1">
      <alignment horizontal="center" vertical="center"/>
    </xf>
    <xf numFmtId="0" fontId="24" fillId="0" borderId="0" xfId="0" applyFont="1" applyProtection="1"/>
    <xf numFmtId="164" fontId="99" fillId="0" borderId="0" xfId="0" applyNumberFormat="1" applyFont="1" applyBorder="1" applyAlignment="1" applyProtection="1">
      <alignment vertical="center" wrapText="1"/>
    </xf>
    <xf numFmtId="0" fontId="99"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88"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2"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19" borderId="59" xfId="0" applyNumberFormat="1" applyFont="1" applyFill="1" applyBorder="1" applyAlignment="1" applyProtection="1">
      <alignment horizontal="center"/>
      <protection locked="0"/>
    </xf>
    <xf numFmtId="166" fontId="32" fillId="19" borderId="60" xfId="0" applyNumberFormat="1" applyFont="1" applyFill="1" applyBorder="1" applyAlignment="1" applyProtection="1">
      <alignment horizontal="center"/>
      <protection locked="0"/>
    </xf>
    <xf numFmtId="166" fontId="32" fillId="19" borderId="61" xfId="0" applyNumberFormat="1" applyFont="1" applyFill="1" applyBorder="1" applyAlignment="1" applyProtection="1">
      <alignment horizontal="center"/>
      <protection locked="0"/>
    </xf>
    <xf numFmtId="166"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6"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0" fontId="0" fillId="0" borderId="72" xfId="0" applyNumberFormat="1" applyFill="1" applyBorder="1"/>
    <xf numFmtId="49" fontId="82"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5" fillId="0" borderId="74" xfId="0" applyFont="1" applyFill="1" applyBorder="1" applyAlignment="1" applyProtection="1">
      <alignment horizontal="center" vertical="center" wrapText="1"/>
    </xf>
    <xf numFmtId="0" fontId="75" fillId="0" borderId="75" xfId="0" applyFont="1" applyFill="1" applyBorder="1" applyAlignment="1" applyProtection="1">
      <alignment horizontal="center"/>
    </xf>
    <xf numFmtId="0" fontId="75" fillId="0" borderId="76" xfId="0" applyFont="1" applyFill="1" applyBorder="1" applyAlignment="1" applyProtection="1">
      <alignment horizontal="center"/>
    </xf>
    <xf numFmtId="0" fontId="75" fillId="0" borderId="77"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vertical="center"/>
    </xf>
    <xf numFmtId="0" fontId="75" fillId="0" borderId="79" xfId="0" applyNumberFormat="1" applyFont="1" applyFill="1" applyBorder="1" applyAlignment="1" applyProtection="1">
      <alignment horizontal="center" vertical="center"/>
    </xf>
    <xf numFmtId="0" fontId="79" fillId="0" borderId="80" xfId="0" applyNumberFormat="1" applyFont="1" applyFill="1" applyBorder="1" applyAlignment="1" applyProtection="1">
      <alignment horizontal="center" vertical="center"/>
    </xf>
    <xf numFmtId="0" fontId="79" fillId="0" borderId="81" xfId="0" applyNumberFormat="1" applyFont="1" applyFill="1" applyBorder="1" applyAlignment="1" applyProtection="1">
      <alignment horizontal="center" vertical="center"/>
    </xf>
    <xf numFmtId="0" fontId="79"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5"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3"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0" fillId="0" borderId="0" xfId="0" applyAlignment="1">
      <alignment vertical="center" wrapText="1"/>
    </xf>
    <xf numFmtId="164" fontId="28" fillId="0" borderId="0" xfId="0" applyNumberFormat="1" applyFont="1" applyAlignment="1">
      <alignment horizontal="right" vertical="center" wrapText="1"/>
    </xf>
    <xf numFmtId="0" fontId="33" fillId="0" borderId="0" xfId="0" applyFont="1" applyAlignment="1"/>
    <xf numFmtId="0" fontId="30" fillId="0" borderId="0" xfId="0" applyFont="1" applyFill="1" applyBorder="1" applyAlignment="1" applyProtection="1">
      <alignment horizontal="left" wrapText="1"/>
      <protection locked="0"/>
    </xf>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13" fillId="0" borderId="0" xfId="0" applyNumberFormat="1" applyFont="1" applyAlignment="1" applyProtection="1">
      <alignment horizontal="right"/>
    </xf>
    <xf numFmtId="164" fontId="113" fillId="0" borderId="0" xfId="0" applyNumberFormat="1" applyFont="1" applyAlignment="1">
      <alignment horizontal="right"/>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3" fontId="2" fillId="28"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0" fontId="79" fillId="0" borderId="93" xfId="0" applyNumberFormat="1" applyFont="1" applyFill="1" applyBorder="1" applyAlignment="1" applyProtection="1">
      <alignment horizontal="center" vertical="center"/>
    </xf>
    <xf numFmtId="0" fontId="35" fillId="0" borderId="10" xfId="0" applyFont="1" applyBorder="1" applyAlignment="1" applyProtection="1">
      <alignment horizontal="center" vertical="center" wrapText="1"/>
    </xf>
    <xf numFmtId="3" fontId="118" fillId="0" borderId="41" xfId="0" applyNumberFormat="1" applyFont="1" applyFill="1" applyBorder="1" applyAlignment="1" applyProtection="1">
      <alignment horizontal="center" vertical="center" wrapText="1"/>
      <protection locked="0"/>
    </xf>
    <xf numFmtId="49" fontId="118" fillId="0" borderId="10" xfId="0" applyNumberFormat="1" applyFont="1" applyFill="1" applyBorder="1" applyAlignment="1" applyProtection="1">
      <alignment horizontal="center" vertical="center"/>
      <protection locked="0"/>
    </xf>
    <xf numFmtId="3" fontId="118" fillId="35" borderId="41" xfId="0" applyNumberFormat="1" applyFont="1" applyFill="1" applyBorder="1" applyAlignment="1" applyProtection="1">
      <alignment horizontal="center" vertical="center" wrapText="1"/>
      <protection locked="0"/>
    </xf>
    <xf numFmtId="49" fontId="118" fillId="35" borderId="41"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protection locked="0"/>
    </xf>
    <xf numFmtId="9" fontId="121"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03" fillId="0" borderId="67" xfId="0" applyNumberFormat="1" applyFont="1" applyFill="1" applyBorder="1" applyAlignment="1" applyProtection="1">
      <alignment wrapText="1"/>
      <protection locked="0"/>
    </xf>
    <xf numFmtId="49" fontId="103"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28" fillId="0" borderId="51" xfId="0" applyFont="1" applyBorder="1"/>
    <xf numFmtId="0" fontId="128" fillId="0" borderId="57" xfId="0" applyFont="1" applyBorder="1"/>
    <xf numFmtId="0" fontId="128"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27" fillId="0" borderId="10" xfId="0" applyNumberFormat="1" applyFont="1" applyFill="1" applyBorder="1" applyAlignment="1" applyProtection="1">
      <alignment wrapText="1"/>
      <protection locked="0"/>
    </xf>
    <xf numFmtId="49" fontId="127" fillId="0" borderId="10" xfId="0" applyNumberFormat="1" applyFont="1" applyFill="1" applyBorder="1" applyAlignment="1" applyProtection="1">
      <protection locked="0"/>
    </xf>
    <xf numFmtId="0" fontId="122" fillId="0" borderId="10" xfId="0" applyFont="1" applyBorder="1" applyAlignment="1" applyProtection="1"/>
    <xf numFmtId="3" fontId="122" fillId="0" borderId="10" xfId="0" applyNumberFormat="1" applyFont="1" applyBorder="1" applyProtection="1"/>
    <xf numFmtId="0" fontId="122"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3" fontId="2" fillId="23" borderId="10" xfId="0" applyNumberFormat="1" applyFont="1" applyFill="1" applyBorder="1" applyAlignment="1" applyProtection="1">
      <alignment vertical="center" wrapText="1"/>
      <protection locked="0"/>
    </xf>
    <xf numFmtId="49" fontId="0" fillId="0" borderId="10" xfId="0" applyNumberFormat="1" applyFill="1" applyBorder="1" applyProtection="1">
      <protection locked="0"/>
    </xf>
    <xf numFmtId="49" fontId="126"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30" fillId="38" borderId="41" xfId="0" applyNumberFormat="1" applyFont="1" applyFill="1" applyBorder="1" applyAlignment="1" applyProtection="1">
      <alignment horizontal="center" vertical="center" wrapText="1"/>
    </xf>
    <xf numFmtId="3" fontId="131" fillId="0" borderId="10" xfId="0" applyNumberFormat="1" applyFont="1" applyFill="1" applyBorder="1" applyAlignment="1" applyProtection="1"/>
    <xf numFmtId="3" fontId="131" fillId="0" borderId="58" xfId="0" applyNumberFormat="1" applyFont="1" applyFill="1" applyBorder="1" applyAlignment="1" applyProtection="1"/>
    <xf numFmtId="3" fontId="131" fillId="26" borderId="59" xfId="0" applyNumberFormat="1" applyFont="1" applyFill="1" applyBorder="1" applyAlignment="1" applyProtection="1">
      <protection locked="0"/>
    </xf>
    <xf numFmtId="4" fontId="131"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9" fontId="118" fillId="0" borderId="41" xfId="0" applyNumberFormat="1" applyFont="1" applyFill="1" applyBorder="1" applyAlignment="1" applyProtection="1">
      <alignment horizontal="center" vertical="center" wrapText="1"/>
      <protection locked="0"/>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67" fontId="1" fillId="26" borderId="241" xfId="62" applyNumberFormat="1" applyFon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164" fontId="132" fillId="0" borderId="25" xfId="59" applyFont="1" applyFill="1" applyBorder="1" applyAlignment="1" applyProtection="1">
      <alignment vertical="center"/>
    </xf>
    <xf numFmtId="164" fontId="133" fillId="0" borderId="25" xfId="59" applyFont="1" applyFill="1" applyBorder="1" applyAlignment="1" applyProtection="1">
      <alignment vertical="center"/>
    </xf>
    <xf numFmtId="0" fontId="133" fillId="0" borderId="25" xfId="0" applyFont="1" applyBorder="1" applyProtection="1"/>
    <xf numFmtId="0" fontId="133" fillId="0" borderId="25" xfId="0" applyFont="1" applyBorder="1"/>
    <xf numFmtId="0" fontId="133" fillId="22" borderId="92" xfId="0" applyFont="1" applyFill="1" applyBorder="1"/>
    <xf numFmtId="0" fontId="134" fillId="0" borderId="10" xfId="0" applyFont="1" applyFill="1" applyBorder="1" applyAlignment="1" applyProtection="1">
      <alignment horizontal="center"/>
    </xf>
    <xf numFmtId="3" fontId="134" fillId="22" borderId="10" xfId="0" applyNumberFormat="1" applyFont="1" applyFill="1" applyBorder="1" applyAlignment="1" applyProtection="1">
      <alignment vertical="center"/>
      <protection locked="0"/>
    </xf>
    <xf numFmtId="3" fontId="134" fillId="22" borderId="10" xfId="0" applyNumberFormat="1" applyFont="1" applyFill="1" applyBorder="1" applyAlignment="1" applyProtection="1">
      <alignment horizontal="right" vertical="center"/>
      <protection locked="0"/>
    </xf>
    <xf numFmtId="3" fontId="134" fillId="22" borderId="10" xfId="0" applyNumberFormat="1" applyFont="1" applyFill="1" applyBorder="1" applyAlignment="1" applyProtection="1">
      <alignment horizontal="right" vertical="center" wrapText="1"/>
      <protection locked="0"/>
    </xf>
    <xf numFmtId="3" fontId="134" fillId="22" borderId="26" xfId="0" applyNumberFormat="1" applyFont="1" applyFill="1" applyBorder="1" applyAlignment="1" applyProtection="1">
      <alignment vertical="center"/>
      <protection locked="0"/>
    </xf>
    <xf numFmtId="0" fontId="134" fillId="24" borderId="10" xfId="0" applyFont="1" applyFill="1" applyBorder="1" applyAlignment="1" applyProtection="1">
      <alignment horizontal="center"/>
    </xf>
    <xf numFmtId="3" fontId="134" fillId="28"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horizontal="right" vertical="center"/>
      <protection locked="0"/>
    </xf>
    <xf numFmtId="3" fontId="134" fillId="23" borderId="10" xfId="0" applyNumberFormat="1" applyFont="1" applyFill="1" applyBorder="1" applyAlignment="1" applyProtection="1">
      <alignment horizontal="right" vertical="center" wrapText="1"/>
      <protection locked="0"/>
    </xf>
    <xf numFmtId="3" fontId="134" fillId="23" borderId="26" xfId="0" applyNumberFormat="1" applyFont="1" applyFill="1" applyBorder="1" applyAlignment="1" applyProtection="1">
      <alignment vertical="center"/>
      <protection locked="0"/>
    </xf>
    <xf numFmtId="1" fontId="134" fillId="22" borderId="10" xfId="0" applyNumberFormat="1" applyFont="1" applyFill="1" applyBorder="1" applyAlignment="1" applyProtection="1">
      <alignment vertical="center"/>
      <protection locked="0"/>
    </xf>
    <xf numFmtId="3" fontId="134" fillId="28" borderId="10" xfId="0" applyNumberFormat="1" applyFont="1" applyFill="1" applyBorder="1" applyAlignment="1" applyProtection="1">
      <alignment horizontal="right" vertical="center"/>
      <protection locked="0"/>
    </xf>
    <xf numFmtId="9" fontId="134" fillId="28" borderId="10" xfId="0" applyNumberFormat="1" applyFont="1" applyFill="1" applyBorder="1" applyAlignment="1" applyProtection="1">
      <alignment horizontal="right" vertical="center"/>
      <protection locked="0"/>
    </xf>
    <xf numFmtId="3" fontId="134" fillId="28" borderId="10" xfId="0" applyNumberFormat="1" applyFont="1" applyFill="1" applyBorder="1" applyAlignment="1" applyProtection="1">
      <alignment horizontal="right" vertical="center" wrapText="1"/>
      <protection locked="0"/>
    </xf>
    <xf numFmtId="3" fontId="134" fillId="28" borderId="26"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horizontal="right" vertical="center"/>
      <protection locked="0"/>
    </xf>
    <xf numFmtId="3" fontId="134" fillId="29" borderId="10" xfId="0" applyNumberFormat="1" applyFont="1" applyFill="1" applyBorder="1" applyAlignment="1" applyProtection="1">
      <alignment horizontal="right" vertical="center" wrapText="1"/>
      <protection locked="0"/>
    </xf>
    <xf numFmtId="3" fontId="134" fillId="29" borderId="26" xfId="0" applyNumberFormat="1" applyFont="1" applyFill="1" applyBorder="1" applyAlignment="1" applyProtection="1">
      <alignment vertical="center"/>
      <protection locked="0"/>
    </xf>
    <xf numFmtId="3" fontId="134" fillId="28" borderId="26" xfId="0" applyNumberFormat="1" applyFont="1" applyFill="1" applyBorder="1" applyAlignment="1" applyProtection="1">
      <alignment horizontal="right" vertical="center"/>
      <protection locked="0"/>
    </xf>
    <xf numFmtId="9" fontId="134" fillId="29" borderId="10" xfId="0" applyNumberFormat="1" applyFont="1" applyFill="1" applyBorder="1" applyAlignment="1" applyProtection="1">
      <alignment horizontal="right" vertical="center"/>
      <protection locked="0"/>
    </xf>
    <xf numFmtId="3" fontId="134" fillId="0" borderId="10" xfId="0" applyNumberFormat="1" applyFont="1" applyFill="1" applyBorder="1" applyAlignment="1" applyProtection="1">
      <alignment vertical="center"/>
    </xf>
    <xf numFmtId="3" fontId="134" fillId="0" borderId="10" xfId="0" applyNumberFormat="1" applyFont="1" applyFill="1" applyBorder="1" applyAlignment="1" applyProtection="1">
      <alignment horizontal="right" vertical="center"/>
    </xf>
    <xf numFmtId="3" fontId="134" fillId="24" borderId="10" xfId="0" applyNumberFormat="1" applyFont="1" applyFill="1" applyBorder="1" applyAlignment="1" applyProtection="1">
      <alignment vertical="center"/>
    </xf>
    <xf numFmtId="3" fontId="134" fillId="24" borderId="10" xfId="0" applyNumberFormat="1" applyFont="1" applyFill="1" applyBorder="1" applyAlignment="1" applyProtection="1">
      <alignment horizontal="right" vertical="center"/>
    </xf>
    <xf numFmtId="0" fontId="134"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22" fillId="0" borderId="0" xfId="0" applyNumberFormat="1" applyFont="1" applyAlignment="1" applyProtection="1">
      <alignment horizontal="center"/>
    </xf>
    <xf numFmtId="9" fontId="136" fillId="27" borderId="10" xfId="61" applyFont="1" applyFill="1" applyBorder="1" applyAlignment="1" applyProtection="1">
      <alignment horizontal="center"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4" fontId="0" fillId="0" borderId="70" xfId="0" applyNumberFormat="1" applyFill="1" applyBorder="1" applyProtection="1"/>
    <xf numFmtId="4" fontId="0" fillId="0" borderId="71" xfId="0" applyNumberFormat="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164" fontId="137"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6" fontId="32" fillId="19" borderId="254"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38" fillId="43" borderId="37" xfId="0" applyFont="1" applyFill="1" applyBorder="1" applyAlignment="1" applyProtection="1">
      <alignment horizontal="center"/>
    </xf>
    <xf numFmtId="0" fontId="138" fillId="0" borderId="36" xfId="0" applyFont="1" applyFill="1" applyBorder="1" applyAlignment="1" applyProtection="1">
      <alignment horizontal="center" wrapText="1"/>
    </xf>
    <xf numFmtId="0" fontId="122" fillId="0" borderId="36" xfId="0" applyFont="1" applyBorder="1" applyAlignment="1">
      <alignment horizontal="center" wrapText="1"/>
    </xf>
    <xf numFmtId="0" fontId="138" fillId="35" borderId="36" xfId="0" applyFont="1" applyFill="1" applyBorder="1" applyAlignment="1">
      <alignment horizontal="center" wrapText="1"/>
    </xf>
    <xf numFmtId="0" fontId="138" fillId="0" borderId="36" xfId="0" applyFont="1" applyBorder="1" applyAlignment="1">
      <alignment horizontal="center" wrapText="1"/>
    </xf>
    <xf numFmtId="0" fontId="122" fillId="0" borderId="36" xfId="0" applyFont="1" applyBorder="1" applyAlignment="1">
      <alignment horizontal="center" vertical="center" wrapText="1"/>
    </xf>
    <xf numFmtId="0" fontId="138"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98" fillId="22" borderId="257" xfId="0" applyFont="1" applyFill="1" applyBorder="1" applyAlignment="1" applyProtection="1">
      <alignment horizontal="right" vertical="top"/>
      <protection locked="0"/>
    </xf>
    <xf numFmtId="0" fontId="98" fillId="22" borderId="258" xfId="0" applyFont="1" applyFill="1" applyBorder="1" applyAlignment="1" applyProtection="1">
      <alignment horizontal="right" vertical="top"/>
      <protection locked="0"/>
    </xf>
    <xf numFmtId="0" fontId="30" fillId="22" borderId="104" xfId="0" applyFont="1" applyFill="1" applyBorder="1" applyAlignment="1" applyProtection="1">
      <alignment horizontal="left" vertical="top"/>
      <protection locked="0"/>
    </xf>
    <xf numFmtId="49" fontId="0" fillId="0" borderId="87" xfId="0" applyNumberFormat="1" applyFill="1" applyBorder="1" applyProtection="1">
      <protection locked="0"/>
    </xf>
    <xf numFmtId="49" fontId="174" fillId="0" borderId="262" xfId="0" applyNumberFormat="1" applyFont="1" applyFill="1" applyBorder="1" applyAlignment="1" applyProtection="1">
      <alignment horizontal="left" vertical="center" wrapText="1"/>
      <protection locked="0"/>
    </xf>
    <xf numFmtId="3" fontId="0" fillId="0" borderId="10" xfId="0" applyNumberFormat="1" applyFont="1" applyBorder="1" applyAlignment="1" applyProtection="1">
      <alignment vertical="center" wrapText="1"/>
    </xf>
    <xf numFmtId="0" fontId="21" fillId="35" borderId="87" xfId="0" applyNumberFormat="1" applyFont="1" applyFill="1" applyBorder="1" applyAlignment="1" applyProtection="1">
      <alignment horizontal="center" vertical="center"/>
      <protection locked="0"/>
    </xf>
    <xf numFmtId="0" fontId="21" fillId="35" borderId="87" xfId="0" applyNumberFormat="1" applyFont="1" applyFill="1" applyBorder="1" applyAlignment="1" applyProtection="1">
      <alignment horizontal="center" vertical="center"/>
    </xf>
    <xf numFmtId="3" fontId="0" fillId="35" borderId="10" xfId="0" applyNumberForma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center"/>
    </xf>
    <xf numFmtId="1" fontId="21" fillId="35" borderId="10" xfId="0" applyNumberFormat="1" applyFont="1" applyFill="1" applyBorder="1" applyAlignment="1" applyProtection="1">
      <alignment horizontal="center" vertical="center"/>
    </xf>
    <xf numFmtId="0" fontId="0" fillId="35" borderId="10" xfId="0" applyNumberFormat="1" applyFill="1" applyBorder="1" applyAlignment="1" applyProtection="1">
      <alignment horizontal="center" vertical="center"/>
      <protection locked="0"/>
    </xf>
    <xf numFmtId="1" fontId="0" fillId="35" borderId="49" xfId="0" applyNumberFormat="1" applyFill="1" applyBorder="1" applyAlignment="1" applyProtection="1">
      <alignment horizontal="center" vertical="center"/>
    </xf>
    <xf numFmtId="0" fontId="21" fillId="35" borderId="10" xfId="0" applyNumberFormat="1" applyFont="1" applyFill="1" applyBorder="1" applyAlignment="1" applyProtection="1">
      <alignment horizontal="center" vertical="center"/>
      <protection locked="0"/>
    </xf>
    <xf numFmtId="0" fontId="21" fillId="35" borderId="10" xfId="0" applyNumberFormat="1" applyFont="1" applyFill="1" applyBorder="1" applyAlignment="1" applyProtection="1">
      <alignment horizontal="center" vertical="center"/>
    </xf>
    <xf numFmtId="49" fontId="21" fillId="36" borderId="10" xfId="0" applyNumberFormat="1" applyFont="1" applyFill="1" applyBorder="1" applyProtection="1">
      <protection locked="0"/>
    </xf>
    <xf numFmtId="0" fontId="175" fillId="36" borderId="87" xfId="0" applyFont="1" applyFill="1" applyBorder="1" applyAlignment="1">
      <alignment horizontal="center" wrapText="1"/>
    </xf>
    <xf numFmtId="0" fontId="133" fillId="36" borderId="10" xfId="0" applyNumberFormat="1" applyFont="1" applyFill="1" applyBorder="1" applyAlignment="1" applyProtection="1">
      <alignment horizontal="center" vertical="center"/>
      <protection locked="0"/>
    </xf>
    <xf numFmtId="0" fontId="21" fillId="36" borderId="10"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center"/>
    </xf>
    <xf numFmtId="1" fontId="21" fillId="36" borderId="10" xfId="0" applyNumberFormat="1" applyFont="1" applyFill="1" applyBorder="1" applyAlignment="1" applyProtection="1">
      <alignment horizontal="center" vertical="center"/>
    </xf>
    <xf numFmtId="0" fontId="21" fillId="36" borderId="10" xfId="0" applyNumberFormat="1" applyFont="1" applyFill="1" applyBorder="1" applyAlignment="1" applyProtection="1">
      <alignment horizontal="center" vertical="center"/>
      <protection locked="0"/>
    </xf>
    <xf numFmtId="1" fontId="21" fillId="36" borderId="49" xfId="0" applyNumberFormat="1" applyFont="1" applyFill="1" applyBorder="1" applyAlignment="1" applyProtection="1">
      <alignment horizontal="center" vertical="center"/>
    </xf>
    <xf numFmtId="49" fontId="21" fillId="36" borderId="10" xfId="0" applyNumberFormat="1" applyFont="1" applyFill="1" applyBorder="1" applyAlignment="1" applyProtection="1">
      <alignment horizontal="left"/>
      <protection locked="0"/>
    </xf>
    <xf numFmtId="0" fontId="129" fillId="36" borderId="87" xfId="0" applyFont="1" applyFill="1" applyBorder="1" applyAlignment="1">
      <alignment horizontal="center" wrapText="1"/>
    </xf>
    <xf numFmtId="0" fontId="133" fillId="36" borderId="10" xfId="0" applyFont="1" applyFill="1" applyBorder="1" applyAlignment="1">
      <alignment horizontal="center" vertical="center"/>
    </xf>
    <xf numFmtId="3" fontId="133" fillId="36" borderId="10" xfId="0" applyNumberFormat="1" applyFont="1" applyFill="1" applyBorder="1" applyAlignment="1">
      <alignment horizontal="center" vertical="center"/>
    </xf>
    <xf numFmtId="0" fontId="94" fillId="0" borderId="0" xfId="0" applyFont="1" applyProtection="1"/>
    <xf numFmtId="164" fontId="1" fillId="0" borderId="14" xfId="59" applyFont="1" applyFill="1" applyBorder="1" applyAlignment="1" applyProtection="1">
      <alignment vertical="center"/>
    </xf>
    <xf numFmtId="164" fontId="80" fillId="0" borderId="14" xfId="59" applyFont="1" applyFill="1" applyBorder="1" applyAlignment="1" applyProtection="1">
      <alignment horizontal="left" vertical="center"/>
    </xf>
    <xf numFmtId="164" fontId="21" fillId="0" borderId="14" xfId="59" applyFont="1" applyFill="1" applyBorder="1" applyAlignment="1" applyProtection="1">
      <alignment vertical="center"/>
    </xf>
    <xf numFmtId="164" fontId="21" fillId="26" borderId="89" xfId="59" applyFont="1" applyFill="1" applyBorder="1" applyAlignment="1" applyProtection="1">
      <alignment vertical="center"/>
    </xf>
    <xf numFmtId="164" fontId="1" fillId="0" borderId="0" xfId="59" applyFont="1" applyFill="1" applyBorder="1" applyAlignment="1" applyProtection="1">
      <alignment vertical="center"/>
    </xf>
    <xf numFmtId="0" fontId="25" fillId="0" borderId="85" xfId="0" applyNumberFormat="1" applyFont="1" applyFill="1" applyBorder="1" applyAlignment="1" applyProtection="1">
      <alignment horizontal="center" vertical="center" wrapText="1"/>
    </xf>
    <xf numFmtId="0" fontId="25" fillId="0" borderId="8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64" fontId="80" fillId="0" borderId="18" xfId="59" applyFont="1" applyFill="1" applyBorder="1" applyAlignment="1" applyProtection="1">
      <alignment vertical="center"/>
    </xf>
    <xf numFmtId="164" fontId="21" fillId="0" borderId="18" xfId="59" applyFont="1" applyFill="1" applyBorder="1" applyAlignment="1" applyProtection="1">
      <alignment vertical="center"/>
    </xf>
    <xf numFmtId="164" fontId="21" fillId="0" borderId="18" xfId="59" applyFont="1" applyFill="1" applyBorder="1" applyAlignment="1" applyProtection="1">
      <alignment horizontal="center" vertical="center"/>
    </xf>
    <xf numFmtId="164" fontId="21" fillId="25" borderId="91" xfId="59" applyFont="1" applyFill="1" applyBorder="1" applyAlignment="1" applyProtection="1">
      <alignment horizontal="center" vertical="center"/>
    </xf>
    <xf numFmtId="0" fontId="1" fillId="0" borderId="0" xfId="0" applyFont="1" applyFill="1" applyBorder="1" applyAlignment="1" applyProtection="1">
      <alignment horizontal="center"/>
    </xf>
    <xf numFmtId="0" fontId="38" fillId="0" borderId="0" xfId="0" applyFont="1" applyFill="1" applyBorder="1" applyAlignment="1" applyProtection="1">
      <alignment horizontal="center" vertical="center"/>
    </xf>
    <xf numFmtId="15" fontId="1" fillId="0" borderId="0" xfId="0" applyNumberFormat="1" applyFont="1" applyFill="1" applyBorder="1" applyAlignment="1" applyProtection="1">
      <alignment horizontal="left"/>
    </xf>
    <xf numFmtId="9" fontId="1" fillId="0" borderId="0" xfId="61" applyFont="1" applyBorder="1" applyProtection="1"/>
    <xf numFmtId="164" fontId="1" fillId="0" borderId="0" xfId="62" applyFont="1" applyFill="1" applyBorder="1" applyProtection="1"/>
    <xf numFmtId="164" fontId="80" fillId="0" borderId="25" xfId="59" applyFont="1" applyFill="1" applyBorder="1" applyAlignment="1" applyProtection="1">
      <alignment vertical="center"/>
    </xf>
    <xf numFmtId="164" fontId="21" fillId="0" borderId="25" xfId="59" applyFont="1" applyFill="1" applyBorder="1" applyAlignment="1" applyProtection="1">
      <alignment vertical="center"/>
    </xf>
    <xf numFmtId="0" fontId="21" fillId="0" borderId="25" xfId="0" applyFont="1" applyBorder="1" applyProtection="1"/>
    <xf numFmtId="0" fontId="21" fillId="0" borderId="25" xfId="0" applyFont="1" applyBorder="1"/>
    <xf numFmtId="0" fontId="21" fillId="22" borderId="92" xfId="0" applyFont="1" applyFill="1" applyBorder="1"/>
    <xf numFmtId="0" fontId="2" fillId="0" borderId="10" xfId="0" applyFont="1" applyFill="1" applyBorder="1" applyAlignment="1" applyProtection="1">
      <alignment horizontal="center"/>
    </xf>
    <xf numFmtId="0" fontId="2" fillId="24" borderId="10" xfId="0" applyFont="1" applyFill="1" applyBorder="1" applyAlignment="1" applyProtection="1">
      <alignment horizontal="center"/>
    </xf>
    <xf numFmtId="3" fontId="2" fillId="0" borderId="10" xfId="0" applyNumberFormat="1" applyFont="1" applyFill="1" applyBorder="1" applyAlignment="1" applyProtection="1">
      <alignment vertical="center"/>
    </xf>
    <xf numFmtId="0" fontId="2" fillId="0" borderId="90" xfId="0" applyFont="1" applyFill="1" applyBorder="1" applyAlignment="1" applyProtection="1">
      <alignment horizontal="center"/>
    </xf>
    <xf numFmtId="3" fontId="2" fillId="24" borderId="10" xfId="0" applyNumberFormat="1" applyFont="1" applyFill="1" applyBorder="1" applyAlignment="1" applyProtection="1">
      <alignment vertical="center"/>
    </xf>
    <xf numFmtId="0" fontId="2" fillId="0" borderId="87" xfId="0" applyFont="1" applyFill="1" applyBorder="1" applyAlignment="1" applyProtection="1">
      <alignment horizontal="center"/>
    </xf>
    <xf numFmtId="9" fontId="2" fillId="0" borderId="10" xfId="0" applyNumberFormat="1" applyFont="1" applyFill="1" applyBorder="1" applyAlignment="1" applyProtection="1">
      <alignment vertical="center"/>
    </xf>
    <xf numFmtId="0" fontId="2" fillId="0" borderId="54" xfId="0" applyFont="1" applyFill="1" applyBorder="1" applyAlignment="1" applyProtection="1">
      <alignment horizontal="center"/>
    </xf>
    <xf numFmtId="3" fontId="2" fillId="0" borderId="54" xfId="0" applyNumberFormat="1" applyFont="1" applyFill="1" applyBorder="1" applyAlignment="1" applyProtection="1">
      <alignment vertical="center"/>
    </xf>
    <xf numFmtId="9" fontId="2" fillId="0" borderId="54" xfId="0" applyNumberFormat="1" applyFont="1" applyFill="1" applyBorder="1" applyAlignment="1" applyProtection="1">
      <alignment vertical="center"/>
    </xf>
    <xf numFmtId="0" fontId="81" fillId="0" borderId="0" xfId="0" applyFont="1" applyFill="1" applyBorder="1" applyProtection="1"/>
    <xf numFmtId="164" fontId="34" fillId="0" borderId="0" xfId="50" applyFont="1" applyFill="1" applyBorder="1" applyProtection="1"/>
    <xf numFmtId="0" fontId="100" fillId="0" borderId="0" xfId="0" applyFont="1" applyAlignment="1"/>
    <xf numFmtId="0" fontId="1" fillId="0" borderId="10" xfId="0" applyFont="1" applyBorder="1"/>
    <xf numFmtId="175" fontId="134" fillId="29" borderId="10" xfId="0" applyNumberFormat="1" applyFont="1" applyFill="1" applyBorder="1" applyAlignment="1" applyProtection="1">
      <alignment horizontal="right" vertical="center" wrapText="1"/>
      <protection locked="0"/>
    </xf>
    <xf numFmtId="175" fontId="134" fillId="0" borderId="10" xfId="0" applyNumberFormat="1" applyFont="1" applyFill="1" applyBorder="1" applyAlignment="1" applyProtection="1">
      <alignment vertical="center"/>
    </xf>
    <xf numFmtId="1" fontId="176" fillId="25" borderId="10" xfId="0" applyNumberFormat="1" applyFont="1" applyFill="1" applyBorder="1" applyAlignment="1" applyProtection="1">
      <alignment horizontal="center"/>
      <protection locked="0"/>
    </xf>
    <xf numFmtId="0" fontId="176" fillId="25" borderId="45" xfId="0" applyNumberFormat="1" applyFont="1" applyFill="1" applyBorder="1" applyAlignment="1" applyProtection="1">
      <alignment horizontal="center"/>
      <protection locked="0"/>
    </xf>
    <xf numFmtId="0" fontId="21" fillId="25" borderId="57" xfId="0" applyNumberFormat="1" applyFont="1" applyFill="1" applyBorder="1" applyAlignment="1" applyProtection="1">
      <alignment horizontal="center"/>
      <protection locked="0"/>
    </xf>
    <xf numFmtId="1" fontId="176" fillId="36" borderId="10" xfId="0" applyNumberFormat="1" applyFont="1" applyFill="1" applyBorder="1" applyAlignment="1" applyProtection="1">
      <alignment horizontal="center"/>
      <protection locked="0"/>
    </xf>
    <xf numFmtId="0" fontId="176" fillId="36" borderId="10" xfId="0" applyNumberFormat="1" applyFont="1" applyFill="1" applyBorder="1" applyAlignment="1" applyProtection="1">
      <alignment horizontal="center"/>
    </xf>
    <xf numFmtId="0" fontId="176" fillId="36" borderId="10" xfId="0" applyNumberFormat="1" applyFont="1" applyFill="1" applyBorder="1" applyAlignment="1" applyProtection="1">
      <alignment horizontal="center"/>
      <protection locked="0"/>
    </xf>
    <xf numFmtId="1" fontId="28" fillId="54" borderId="10" xfId="0" applyNumberFormat="1" applyFont="1" applyFill="1" applyBorder="1"/>
    <xf numFmtId="1" fontId="28" fillId="54" borderId="49" xfId="0" applyNumberFormat="1" applyFont="1" applyFill="1" applyBorder="1"/>
    <xf numFmtId="0" fontId="28" fillId="54" borderId="10" xfId="0" applyFont="1" applyFill="1" applyBorder="1"/>
    <xf numFmtId="1" fontId="28" fillId="55" borderId="10" xfId="0" applyNumberFormat="1" applyFont="1" applyFill="1" applyBorder="1"/>
    <xf numFmtId="1" fontId="28" fillId="55" borderId="90" xfId="0" applyNumberFormat="1" applyFont="1" applyFill="1" applyBorder="1"/>
    <xf numFmtId="3" fontId="134" fillId="22" borderId="10" xfId="0" applyNumberFormat="1" applyFont="1" applyFill="1" applyBorder="1" applyAlignment="1" applyProtection="1">
      <alignment vertical="center" wrapText="1"/>
      <protection locked="0"/>
    </xf>
    <xf numFmtId="0" fontId="98" fillId="36" borderId="87" xfId="0" applyFont="1" applyFill="1" applyBorder="1" applyAlignment="1">
      <alignment horizontal="center" wrapText="1"/>
    </xf>
    <xf numFmtId="0" fontId="21" fillId="36" borderId="87" xfId="0" applyFont="1" applyFill="1" applyBorder="1" applyAlignment="1">
      <alignment horizontal="center" wrapText="1"/>
    </xf>
    <xf numFmtId="3" fontId="21" fillId="36" borderId="10" xfId="0" applyNumberFormat="1" applyFont="1" applyFill="1" applyBorder="1" applyAlignment="1">
      <alignment horizontal="center" vertical="center"/>
    </xf>
    <xf numFmtId="0" fontId="21" fillId="36" borderId="10" xfId="0" applyFont="1" applyFill="1" applyBorder="1" applyAlignment="1">
      <alignment horizontal="center" vertical="center"/>
    </xf>
    <xf numFmtId="0" fontId="21" fillId="0" borderId="0" xfId="0" applyFont="1" applyBorder="1" applyProtection="1"/>
    <xf numFmtId="0" fontId="21" fillId="0" borderId="0" xfId="0" applyFont="1" applyFill="1" applyBorder="1"/>
    <xf numFmtId="0" fontId="21" fillId="0" borderId="0" xfId="0" applyFont="1" applyBorder="1"/>
    <xf numFmtId="0" fontId="21" fillId="0" borderId="0" xfId="0" applyFont="1" applyFill="1"/>
    <xf numFmtId="0" fontId="133" fillId="36" borderId="87" xfId="0" applyFont="1" applyFill="1" applyBorder="1" applyAlignment="1">
      <alignment horizontal="center" wrapText="1"/>
    </xf>
    <xf numFmtId="3" fontId="133" fillId="36" borderId="10" xfId="0" applyNumberFormat="1" applyFont="1" applyFill="1" applyBorder="1" applyAlignment="1" applyProtection="1">
      <alignment horizontal="center" vertical="center"/>
    </xf>
    <xf numFmtId="1" fontId="133" fillId="36" borderId="10" xfId="0" applyNumberFormat="1" applyFont="1" applyFill="1" applyBorder="1" applyAlignment="1" applyProtection="1">
      <alignment horizontal="center" vertical="center"/>
    </xf>
    <xf numFmtId="1" fontId="133" fillId="36" borderId="49"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xf>
    <xf numFmtId="3" fontId="0" fillId="0" borderId="10" xfId="0" applyNumberFormat="1" applyFill="1" applyBorder="1" applyAlignment="1" applyProtection="1">
      <alignment horizontal="center" vertical="center"/>
      <protection locked="0"/>
    </xf>
    <xf numFmtId="3" fontId="0" fillId="0" borderId="10" xfId="0" applyNumberFormat="1" applyFill="1" applyBorder="1" applyAlignment="1" applyProtection="1">
      <alignment horizontal="center" vertical="center"/>
    </xf>
    <xf numFmtId="1" fontId="21" fillId="0" borderId="10" xfId="0" applyNumberFormat="1" applyFont="1" applyFill="1" applyBorder="1" applyAlignment="1" applyProtection="1">
      <alignment horizontal="center" vertical="center"/>
    </xf>
    <xf numFmtId="0" fontId="0" fillId="0" borderId="10" xfId="0" applyNumberFormat="1" applyFill="1" applyBorder="1" applyAlignment="1" applyProtection="1">
      <alignment horizontal="center" vertical="center"/>
      <protection locked="0"/>
    </xf>
    <xf numFmtId="1" fontId="0" fillId="0" borderId="49" xfId="0" applyNumberFormat="1" applyFill="1" applyBorder="1" applyAlignment="1" applyProtection="1">
      <alignment horizontal="center" vertical="center"/>
    </xf>
    <xf numFmtId="49" fontId="0" fillId="0" borderId="10" xfId="0" applyNumberFormat="1" applyFill="1" applyBorder="1" applyAlignment="1" applyProtection="1">
      <alignment horizontal="left"/>
      <protection locked="0"/>
    </xf>
    <xf numFmtId="49" fontId="0" fillId="0" borderId="90" xfId="0" applyNumberFormat="1" applyFill="1" applyBorder="1" applyAlignment="1" applyProtection="1">
      <alignment horizontal="left"/>
      <protection locked="0"/>
    </xf>
    <xf numFmtId="0" fontId="21" fillId="0" borderId="90" xfId="0" applyNumberFormat="1" applyFont="1" applyFill="1" applyBorder="1" applyAlignment="1" applyProtection="1">
      <alignment horizontal="center" vertical="center"/>
      <protection locked="0"/>
    </xf>
    <xf numFmtId="3" fontId="0" fillId="0" borderId="10" xfId="0" applyNumberFormat="1" applyFill="1" applyBorder="1" applyAlignment="1" applyProtection="1">
      <alignment horizontal="center" vertical="top"/>
      <protection locked="0"/>
    </xf>
    <xf numFmtId="3" fontId="0" fillId="0" borderId="10" xfId="0" applyNumberFormat="1" applyFill="1" applyBorder="1" applyAlignment="1" applyProtection="1">
      <alignment horizontal="center"/>
      <protection locked="0"/>
    </xf>
    <xf numFmtId="0" fontId="21" fillId="0" borderId="90" xfId="0" applyNumberFormat="1" applyFont="1" applyFill="1" applyBorder="1" applyAlignment="1" applyProtection="1">
      <alignment horizontal="center" vertical="center"/>
    </xf>
    <xf numFmtId="3" fontId="0" fillId="0" borderId="90" xfId="0" applyNumberFormat="1" applyFill="1" applyBorder="1" applyAlignment="1" applyProtection="1">
      <alignment horizontal="center" vertical="top"/>
      <protection locked="0"/>
    </xf>
    <xf numFmtId="1" fontId="0" fillId="0" borderId="90" xfId="0" applyNumberFormat="1" applyFill="1" applyBorder="1" applyAlignment="1" applyProtection="1">
      <alignment horizontal="center"/>
    </xf>
    <xf numFmtId="3" fontId="0" fillId="0" borderId="90" xfId="0" applyNumberFormat="1" applyFill="1" applyBorder="1" applyAlignment="1" applyProtection="1">
      <alignment horizontal="center"/>
      <protection locked="0"/>
    </xf>
    <xf numFmtId="1" fontId="21" fillId="0" borderId="90" xfId="0" applyNumberFormat="1" applyFont="1" applyFill="1" applyBorder="1" applyAlignment="1" applyProtection="1">
      <alignment horizontal="center" vertical="center"/>
    </xf>
    <xf numFmtId="0" fontId="0" fillId="0" borderId="90" xfId="0" applyNumberFormat="1" applyFill="1" applyBorder="1" applyAlignment="1" applyProtection="1">
      <alignment horizontal="center" vertical="center"/>
      <protection locked="0"/>
    </xf>
    <xf numFmtId="1" fontId="0" fillId="0" borderId="210" xfId="0" applyNumberFormat="1" applyFill="1" applyBorder="1" applyAlignment="1" applyProtection="1">
      <alignment horizontal="center" vertical="center"/>
    </xf>
    <xf numFmtId="49" fontId="0" fillId="0" borderId="57" xfId="0" applyNumberFormat="1" applyFill="1" applyBorder="1" applyAlignment="1" applyProtection="1">
      <alignment horizontal="left"/>
      <protection locked="0"/>
    </xf>
    <xf numFmtId="0" fontId="21" fillId="0" borderId="57" xfId="0" applyNumberFormat="1" applyFont="1" applyFill="1" applyBorder="1" applyAlignment="1" applyProtection="1">
      <alignment horizontal="center" vertical="center"/>
      <protection locked="0"/>
    </xf>
    <xf numFmtId="0" fontId="21" fillId="0" borderId="57" xfId="0" applyNumberFormat="1" applyFont="1" applyFill="1" applyBorder="1" applyAlignment="1" applyProtection="1">
      <alignment horizontal="center" vertical="center"/>
    </xf>
    <xf numFmtId="3" fontId="0" fillId="0" borderId="57" xfId="0" applyNumberFormat="1" applyFill="1" applyBorder="1" applyAlignment="1" applyProtection="1">
      <alignment horizontal="center" vertical="top"/>
      <protection locked="0"/>
    </xf>
    <xf numFmtId="1" fontId="0" fillId="0" borderId="57" xfId="0" applyNumberFormat="1" applyFill="1" applyBorder="1" applyAlignment="1" applyProtection="1">
      <alignment horizontal="center"/>
    </xf>
    <xf numFmtId="3" fontId="0" fillId="0" borderId="57" xfId="0" applyNumberFormat="1" applyFill="1" applyBorder="1" applyAlignment="1" applyProtection="1">
      <alignment horizontal="center"/>
      <protection locked="0"/>
    </xf>
    <xf numFmtId="1" fontId="21" fillId="0" borderId="57" xfId="0" applyNumberFormat="1" applyFont="1" applyFill="1" applyBorder="1" applyAlignment="1" applyProtection="1">
      <alignment horizontal="center" vertical="center"/>
    </xf>
    <xf numFmtId="0" fontId="0" fillId="0" borderId="57" xfId="0" applyNumberFormat="1" applyFill="1" applyBorder="1" applyAlignment="1" applyProtection="1">
      <alignment horizontal="center" vertical="center"/>
      <protection locked="0"/>
    </xf>
    <xf numFmtId="1" fontId="0" fillId="0" borderId="52" xfId="0" applyNumberFormat="1" applyFill="1" applyBorder="1" applyAlignment="1" applyProtection="1">
      <alignment horizontal="center" vertical="center"/>
    </xf>
    <xf numFmtId="0" fontId="0" fillId="0" borderId="0" xfId="0" applyAlignment="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86" fillId="0" borderId="42" xfId="0" applyFont="1" applyBorder="1" applyAlignment="1">
      <alignment vertical="center" wrapText="1"/>
    </xf>
    <xf numFmtId="0" fontId="0" fillId="0" borderId="0" xfId="0" applyBorder="1" applyAlignment="1">
      <alignment horizontal="center"/>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94" fillId="0" borderId="0" xfId="0" applyFont="1" applyAlignment="1" applyProtection="1">
      <alignment horizontal="right"/>
    </xf>
    <xf numFmtId="15" fontId="0" fillId="0" borderId="10" xfId="56" applyNumberFormat="1" applyFont="1" applyFill="1" applyBorder="1" applyAlignment="1" applyProtection="1">
      <alignment horizontal="center"/>
      <protection locked="0"/>
    </xf>
    <xf numFmtId="0" fontId="94" fillId="0" borderId="47" xfId="0" applyFont="1" applyBorder="1" applyAlignment="1" applyProtection="1">
      <alignment horizontal="right"/>
    </xf>
    <xf numFmtId="49" fontId="0" fillId="0" borderId="42" xfId="0" applyNumberFormat="1" applyBorder="1" applyAlignment="1" applyProtection="1">
      <alignment horizontal="center"/>
      <protection locked="0"/>
    </xf>
    <xf numFmtId="0" fontId="9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5" fontId="24" fillId="25" borderId="38" xfId="56" applyNumberFormat="1" applyFont="1" applyFill="1" applyBorder="1" applyAlignment="1" applyProtection="1">
      <alignment horizontal="center"/>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lignment horizontal="right"/>
    </xf>
    <xf numFmtId="164" fontId="35" fillId="0" borderId="0" xfId="0" applyNumberFormat="1" applyFont="1" applyAlignment="1">
      <alignment horizontal="left" vertical="center" wrapText="1"/>
    </xf>
    <xf numFmtId="0" fontId="14" fillId="0" borderId="0" xfId="0" applyFont="1" applyBorder="1" applyAlignment="1">
      <alignment horizontal="center"/>
    </xf>
    <xf numFmtId="0" fontId="30" fillId="22" borderId="0" xfId="0" applyFont="1" applyFill="1" applyBorder="1" applyAlignment="1" applyProtection="1">
      <alignment horizontal="left" vertical="top" wrapText="1"/>
      <protection locked="0"/>
    </xf>
    <xf numFmtId="0" fontId="83" fillId="0" borderId="0" xfId="0" applyFont="1" applyAlignment="1">
      <alignment horizontal="left" wrapText="1"/>
    </xf>
    <xf numFmtId="164" fontId="100" fillId="0" borderId="0" xfId="0" applyNumberFormat="1" applyFont="1" applyAlignment="1" applyProtection="1">
      <alignment horizontal="center"/>
    </xf>
    <xf numFmtId="0" fontId="0" fillId="0" borderId="0" xfId="0" applyAlignment="1">
      <alignment horizontal="center"/>
    </xf>
    <xf numFmtId="0" fontId="34" fillId="0" borderId="10" xfId="0" applyFont="1" applyBorder="1" applyAlignment="1" applyProtection="1">
      <alignment horizontal="center" vertical="center" wrapText="1"/>
    </xf>
    <xf numFmtId="0" fontId="75" fillId="21" borderId="13" xfId="52" applyNumberFormat="1" applyFont="1" applyFill="1" applyBorder="1" applyAlignment="1">
      <alignment horizontal="center" vertical="center" wrapText="1"/>
    </xf>
    <xf numFmtId="0" fontId="33" fillId="0" borderId="0" xfId="0" applyFont="1" applyAlignment="1">
      <alignment horizontal="center"/>
    </xf>
    <xf numFmtId="1" fontId="28" fillId="55" borderId="266" xfId="0" applyNumberFormat="1" applyFont="1" applyFill="1" applyBorder="1"/>
    <xf numFmtId="1" fontId="28" fillId="55" borderId="267" xfId="0" applyNumberFormat="1" applyFont="1" applyFill="1" applyBorder="1"/>
    <xf numFmtId="1" fontId="28" fillId="55" borderId="269" xfId="0" applyNumberFormat="1" applyFont="1" applyFill="1" applyBorder="1"/>
    <xf numFmtId="1" fontId="28" fillId="55" borderId="270" xfId="0" applyNumberFormat="1" applyFont="1" applyFill="1" applyBorder="1"/>
    <xf numFmtId="0" fontId="28" fillId="55" borderId="272" xfId="0" applyFont="1" applyFill="1" applyBorder="1"/>
    <xf numFmtId="1" fontId="28" fillId="55" borderId="272" xfId="0" applyNumberFormat="1" applyFont="1" applyFill="1" applyBorder="1"/>
    <xf numFmtId="1" fontId="28" fillId="55" borderId="273" xfId="0" applyNumberFormat="1" applyFont="1" applyFill="1" applyBorder="1"/>
    <xf numFmtId="1" fontId="28" fillId="54" borderId="90" xfId="0" applyNumberFormat="1" applyFont="1" applyFill="1" applyBorder="1"/>
    <xf numFmtId="1" fontId="28" fillId="54" borderId="210" xfId="0" applyNumberFormat="1" applyFont="1" applyFill="1" applyBorder="1"/>
    <xf numFmtId="1" fontId="178" fillId="54" borderId="10" xfId="0" applyNumberFormat="1" applyFont="1" applyFill="1" applyBorder="1"/>
    <xf numFmtId="0" fontId="28" fillId="54" borderId="90" xfId="0" applyFont="1" applyFill="1" applyBorder="1" applyAlignment="1">
      <alignment wrapText="1"/>
    </xf>
    <xf numFmtId="164" fontId="33" fillId="0" borderId="0" xfId="0" applyNumberFormat="1" applyFont="1" applyAlignment="1">
      <alignment horizontal="center"/>
    </xf>
    <xf numFmtId="0" fontId="0" fillId="0" borderId="0" xfId="0" applyAlignment="1"/>
    <xf numFmtId="0" fontId="110" fillId="0" borderId="0" xfId="0" applyFont="1" applyAlignment="1">
      <alignment horizontal="center"/>
    </xf>
    <xf numFmtId="0" fontId="111" fillId="0" borderId="0" xfId="0" applyFont="1" applyAlignment="1">
      <alignment horizontal="center"/>
    </xf>
    <xf numFmtId="164" fontId="116" fillId="30" borderId="0" xfId="47" applyFont="1" applyFill="1" applyAlignment="1">
      <alignment horizontal="center" vertical="center"/>
    </xf>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87" fillId="35" borderId="41" xfId="0" applyFont="1" applyFill="1" applyBorder="1" applyAlignment="1" applyProtection="1">
      <alignment vertical="center" wrapText="1"/>
      <protection locked="0"/>
    </xf>
    <xf numFmtId="0" fontId="87" fillId="35" borderId="42" xfId="0" applyFont="1" applyFill="1" applyBorder="1" applyAlignment="1" applyProtection="1">
      <alignment vertical="center" wrapText="1"/>
      <protection locked="0"/>
    </xf>
    <xf numFmtId="0" fontId="87" fillId="35" borderId="43" xfId="0" applyFont="1" applyFill="1" applyBorder="1" applyAlignment="1" applyProtection="1">
      <alignment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xf>
    <xf numFmtId="0" fontId="14"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24" fillId="22" borderId="42" xfId="0" applyFont="1" applyFill="1" applyBorder="1" applyAlignment="1">
      <alignment horizontal="center" vertical="center"/>
    </xf>
    <xf numFmtId="0" fontId="24" fillId="22" borderId="43" xfId="0" applyFont="1" applyFill="1" applyBorder="1" applyAlignment="1">
      <alignment horizontal="center" vertical="center"/>
    </xf>
    <xf numFmtId="0" fontId="87" fillId="0" borderId="41" xfId="0" applyFont="1" applyFill="1" applyBorder="1" applyAlignment="1" applyProtection="1">
      <alignment vertical="center" wrapText="1"/>
      <protection locked="0"/>
    </xf>
    <xf numFmtId="0" fontId="87" fillId="0" borderId="42" xfId="0" applyFont="1" applyFill="1" applyBorder="1" applyAlignment="1" applyProtection="1">
      <alignment vertical="center" wrapText="1"/>
      <protection locked="0"/>
    </xf>
    <xf numFmtId="0" fontId="87" fillId="0" borderId="43" xfId="0" applyFont="1" applyFill="1" applyBorder="1" applyAlignment="1" applyProtection="1">
      <alignment vertical="center" wrapText="1"/>
      <protection locked="0"/>
    </xf>
    <xf numFmtId="0" fontId="87" fillId="0" borderId="41" xfId="0" applyFont="1" applyFill="1" applyBorder="1" applyAlignment="1" applyProtection="1">
      <alignment horizontal="left" vertical="center" wrapText="1"/>
      <protection locked="0"/>
    </xf>
    <xf numFmtId="0" fontId="87" fillId="0" borderId="42"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87" fillId="0" borderId="42" xfId="0" applyFont="1" applyBorder="1" applyAlignment="1" applyProtection="1">
      <alignment horizontal="left" vertical="center" wrapText="1"/>
      <protection locked="0"/>
    </xf>
    <xf numFmtId="0" fontId="87" fillId="0" borderId="43" xfId="0" applyFont="1" applyBorder="1" applyAlignment="1" applyProtection="1">
      <alignment horizontal="left" vertical="center" wrapText="1"/>
      <protection locked="0"/>
    </xf>
    <xf numFmtId="0" fontId="0" fillId="0" borderId="0" xfId="0" applyBorder="1" applyAlignment="1">
      <alignment horizontal="center"/>
    </xf>
    <xf numFmtId="0" fontId="0" fillId="0" borderId="259" xfId="0" applyBorder="1" applyAlignment="1">
      <alignment horizont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0" fillId="0" borderId="0" xfId="0" applyBorder="1" applyAlignment="1">
      <alignment horizontal="center" wrapText="1"/>
    </xf>
    <xf numFmtId="0" fontId="62" fillId="0" borderId="95" xfId="0" applyFont="1" applyBorder="1" applyAlignment="1">
      <alignment horizontal="left" vertical="center" wrapText="1"/>
    </xf>
    <xf numFmtId="0" fontId="62" fillId="0" borderId="259"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164" fontId="86" fillId="0" borderId="41" xfId="0" applyNumberFormat="1" applyFont="1" applyBorder="1" applyAlignment="1">
      <alignment horizontal="left" vertical="center" wrapText="1"/>
    </xf>
    <xf numFmtId="0" fontId="86" fillId="0" borderId="42" xfId="0" applyFont="1" applyBorder="1" applyAlignment="1">
      <alignment horizontal="left" vertical="center" wrapText="1"/>
    </xf>
    <xf numFmtId="0" fontId="86" fillId="0" borderId="43" xfId="0" applyFont="1" applyBorder="1" applyAlignment="1">
      <alignment horizontal="left" vertical="center" wrapText="1"/>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106" fillId="0" borderId="41" xfId="0" applyFont="1" applyBorder="1" applyAlignment="1">
      <alignment horizontal="justify" vertical="center" wrapText="1"/>
    </xf>
    <xf numFmtId="0" fontId="106" fillId="0" borderId="42" xfId="0" applyFont="1" applyBorder="1" applyAlignment="1">
      <alignment horizontal="justify" vertical="center" wrapText="1"/>
    </xf>
    <xf numFmtId="0" fontId="106" fillId="0" borderId="43" xfId="0" applyFont="1" applyBorder="1" applyAlignment="1">
      <alignment horizontal="justify" vertical="center" wrapText="1"/>
    </xf>
    <xf numFmtId="0" fontId="106" fillId="0" borderId="41" xfId="0" applyFont="1" applyBorder="1" applyAlignment="1">
      <alignment horizontal="left" vertical="center" wrapText="1"/>
    </xf>
    <xf numFmtId="0" fontId="104" fillId="0" borderId="42" xfId="0" applyFont="1" applyBorder="1" applyAlignment="1">
      <alignment horizontal="left" vertical="center" wrapText="1"/>
    </xf>
    <xf numFmtId="0" fontId="104"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85" fillId="25" borderId="41" xfId="0" applyFont="1" applyFill="1" applyBorder="1" applyAlignment="1">
      <alignment horizontal="center"/>
    </xf>
    <xf numFmtId="0" fontId="85" fillId="25" borderId="42" xfId="0" applyFont="1" applyFill="1" applyBorder="1" applyAlignment="1">
      <alignment horizontal="center"/>
    </xf>
    <xf numFmtId="0" fontId="85" fillId="25" borderId="43" xfId="0" applyFont="1" applyFill="1" applyBorder="1" applyAlignment="1">
      <alignment horizontal="center"/>
    </xf>
    <xf numFmtId="0" fontId="87" fillId="0" borderId="41" xfId="0" applyFont="1" applyBorder="1" applyAlignment="1">
      <alignment horizontal="left" vertical="center" wrapText="1"/>
    </xf>
    <xf numFmtId="0" fontId="0" fillId="0" borderId="42" xfId="0" applyBorder="1" applyAlignment="1">
      <alignment horizontal="left"/>
    </xf>
    <xf numFmtId="0" fontId="0" fillId="0" borderId="43" xfId="0" applyBorder="1" applyAlignment="1">
      <alignment horizontal="left"/>
    </xf>
    <xf numFmtId="164" fontId="17" fillId="30" borderId="0" xfId="46" applyFont="1" applyFill="1" applyAlignment="1" applyProtection="1">
      <alignment horizontal="center" vertical="center"/>
    </xf>
    <xf numFmtId="0" fontId="84" fillId="0" borderId="0" xfId="0" applyFont="1" applyAlignment="1">
      <alignment horizontal="center"/>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center" wrapText="1"/>
    </xf>
    <xf numFmtId="9" fontId="87" fillId="0" borderId="42" xfId="61" applyFont="1" applyBorder="1" applyAlignment="1">
      <alignment horizontal="left" vertical="center" wrapText="1"/>
    </xf>
    <xf numFmtId="9" fontId="87" fillId="0" borderId="43" xfId="61" applyFont="1" applyBorder="1" applyAlignment="1">
      <alignment horizontal="left" vertical="center" wrapText="1"/>
    </xf>
    <xf numFmtId="0" fontId="86" fillId="0" borderId="42" xfId="0" applyFont="1" applyBorder="1" applyAlignment="1">
      <alignment horizontal="left" vertical="center"/>
    </xf>
    <xf numFmtId="0" fontId="86" fillId="0" borderId="43" xfId="0" applyFont="1" applyBorder="1" applyAlignment="1">
      <alignment horizontal="left" vertical="center"/>
    </xf>
    <xf numFmtId="164" fontId="86" fillId="0" borderId="41" xfId="0" applyNumberFormat="1" applyFont="1" applyBorder="1" applyAlignment="1">
      <alignment vertical="center" wrapText="1"/>
    </xf>
    <xf numFmtId="0" fontId="86" fillId="0" borderId="42" xfId="0" applyFont="1" applyBorder="1" applyAlignment="1">
      <alignment vertical="center"/>
    </xf>
    <xf numFmtId="0" fontId="86" fillId="0" borderId="43" xfId="0" applyFont="1" applyBorder="1" applyAlignment="1">
      <alignment vertical="center"/>
    </xf>
    <xf numFmtId="0" fontId="86" fillId="0" borderId="42" xfId="0" applyFont="1" applyBorder="1" applyAlignment="1">
      <alignment vertical="center" wrapText="1"/>
    </xf>
    <xf numFmtId="0" fontId="86" fillId="0" borderId="43" xfId="0" applyFont="1" applyBorder="1" applyAlignment="1">
      <alignment vertical="center" wrapText="1"/>
    </xf>
    <xf numFmtId="0" fontId="62" fillId="0" borderId="95" xfId="0" applyFont="1" applyBorder="1" applyAlignment="1">
      <alignment horizontal="justify" wrapText="1"/>
    </xf>
    <xf numFmtId="0" fontId="62" fillId="0" borderId="259" xfId="0" applyFont="1" applyBorder="1" applyAlignment="1">
      <alignment horizontal="justify" wrapText="1"/>
    </xf>
    <xf numFmtId="0" fontId="62" fillId="0" borderId="96" xfId="0" applyFont="1" applyBorder="1" applyAlignment="1">
      <alignment horizontal="justify" wrapText="1"/>
    </xf>
    <xf numFmtId="0" fontId="62" fillId="0" borderId="41" xfId="0" applyFont="1" applyBorder="1" applyAlignment="1" applyProtection="1">
      <alignment horizontal="justify"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0" fillId="0" borderId="259" xfId="0" applyBorder="1" applyAlignment="1">
      <alignment horizontal="center" wrapText="1"/>
    </xf>
    <xf numFmtId="0" fontId="106" fillId="0" borderId="42" xfId="0" applyFont="1" applyBorder="1" applyAlignment="1">
      <alignment horizontal="left" vertical="center" wrapText="1"/>
    </xf>
    <xf numFmtId="0" fontId="106" fillId="0" borderId="43" xfId="0" applyFont="1" applyBorder="1" applyAlignment="1">
      <alignment horizontal="left" vertical="center" wrapText="1"/>
    </xf>
    <xf numFmtId="0" fontId="87" fillId="0" borderId="88" xfId="0" applyFont="1" applyBorder="1" applyAlignment="1">
      <alignment horizontal="justify" vertical="center" wrapText="1"/>
    </xf>
    <xf numFmtId="0" fontId="87" fillId="0" borderId="97" xfId="0" applyFont="1" applyBorder="1" applyAlignment="1">
      <alignment horizontal="justify" vertical="center" wrapText="1"/>
    </xf>
    <xf numFmtId="0" fontId="87" fillId="0" borderId="98" xfId="0" applyFont="1" applyBorder="1" applyAlignment="1">
      <alignment horizontal="justify" vertical="center" wrapText="1"/>
    </xf>
    <xf numFmtId="164" fontId="86" fillId="0" borderId="95" xfId="0" applyNumberFormat="1" applyFont="1" applyBorder="1" applyAlignment="1">
      <alignment vertical="center" wrapText="1"/>
    </xf>
    <xf numFmtId="0" fontId="86" fillId="0" borderId="259" xfId="0" applyFont="1" applyBorder="1" applyAlignment="1">
      <alignment vertical="center" wrapText="1"/>
    </xf>
    <xf numFmtId="0" fontId="86" fillId="0" borderId="96" xfId="0" applyFont="1" applyBorder="1" applyAlignment="1">
      <alignment vertical="center" wrapText="1"/>
    </xf>
    <xf numFmtId="0" fontId="86" fillId="0" borderId="88" xfId="0" applyFont="1" applyBorder="1" applyAlignment="1">
      <alignment vertical="center" wrapText="1"/>
    </xf>
    <xf numFmtId="0" fontId="86" fillId="0" borderId="97" xfId="0" applyFont="1" applyBorder="1" applyAlignment="1">
      <alignment vertical="center" wrapText="1"/>
    </xf>
    <xf numFmtId="0" fontId="86" fillId="0" borderId="98" xfId="0" applyFont="1" applyBorder="1" applyAlignment="1">
      <alignment vertical="center" wrapText="1"/>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92" fillId="0" borderId="41" xfId="0" applyFont="1" applyFill="1" applyBorder="1" applyAlignment="1" applyProtection="1">
      <alignment vertical="center" wrapText="1"/>
      <protection locked="0"/>
    </xf>
    <xf numFmtId="0" fontId="92" fillId="0" borderId="42" xfId="0" applyFont="1" applyFill="1" applyBorder="1" applyAlignment="1" applyProtection="1">
      <alignment vertical="center" wrapText="1"/>
      <protection locked="0"/>
    </xf>
    <xf numFmtId="0" fontId="92"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0" fontId="62" fillId="0" borderId="41" xfId="0" applyFont="1" applyBorder="1" applyAlignment="1" applyProtection="1">
      <alignment horizontal="center" vertical="center" wrapText="1"/>
      <protection locked="0"/>
    </xf>
    <xf numFmtId="0" fontId="62" fillId="0" borderId="42" xfId="0" applyFont="1" applyBorder="1" applyAlignment="1" applyProtection="1">
      <alignment horizontal="center" vertical="center" wrapText="1"/>
      <protection locked="0"/>
    </xf>
    <xf numFmtId="0" fontId="62" fillId="0" borderId="43" xfId="0" applyFont="1" applyBorder="1" applyAlignment="1" applyProtection="1">
      <alignment horizontal="center" vertical="center" wrapText="1"/>
      <protection locked="0"/>
    </xf>
    <xf numFmtId="0" fontId="62" fillId="0" borderId="41" xfId="0" applyFont="1" applyFill="1" applyBorder="1" applyAlignment="1" applyProtection="1">
      <alignment horizontal="left" vertical="center" wrapText="1"/>
      <protection locked="0"/>
    </xf>
    <xf numFmtId="0" fontId="62" fillId="0" borderId="42" xfId="0" applyFont="1" applyFill="1" applyBorder="1" applyAlignment="1" applyProtection="1">
      <alignment horizontal="left" vertical="center" wrapText="1"/>
      <protection locked="0"/>
    </xf>
    <xf numFmtId="0" fontId="62" fillId="0" borderId="43" xfId="0" applyFont="1" applyFill="1" applyBorder="1" applyAlignment="1" applyProtection="1">
      <alignment horizontal="left"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4" fillId="22" borderId="41" xfId="0" applyFont="1" applyFill="1" applyBorder="1" applyAlignment="1">
      <alignment horizontal="center"/>
    </xf>
    <xf numFmtId="0" fontId="24" fillId="22" borderId="42" xfId="0" applyFont="1" applyFill="1" applyBorder="1" applyAlignment="1">
      <alignment horizontal="center"/>
    </xf>
    <xf numFmtId="0" fontId="24" fillId="22" borderId="43" xfId="0" applyFont="1" applyFill="1" applyBorder="1" applyAlignment="1">
      <alignment horizontal="center"/>
    </xf>
    <xf numFmtId="0" fontId="24" fillId="22" borderId="41" xfId="0" applyFont="1" applyFill="1" applyBorder="1" applyAlignment="1">
      <alignment horizontal="center" wrapText="1"/>
    </xf>
    <xf numFmtId="0" fontId="24" fillId="22" borderId="42" xfId="0" applyFont="1" applyFill="1" applyBorder="1" applyAlignment="1">
      <alignment horizontal="center" wrapText="1"/>
    </xf>
    <xf numFmtId="0" fontId="24" fillId="22" borderId="43" xfId="0" applyFont="1" applyFill="1" applyBorder="1" applyAlignment="1">
      <alignment horizont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49" fontId="134" fillId="22" borderId="43" xfId="0" applyNumberFormat="1" applyFont="1" applyFill="1" applyBorder="1" applyAlignment="1" applyProtection="1">
      <alignment horizontal="center" vertical="center" wrapText="1"/>
      <protection locked="0"/>
    </xf>
    <xf numFmtId="49" fontId="134" fillId="28" borderId="111" xfId="0" applyNumberFormat="1" applyFont="1" applyFill="1" applyBorder="1" applyAlignment="1" applyProtection="1">
      <alignment horizontal="left" vertical="center" wrapText="1"/>
      <protection locked="0"/>
    </xf>
    <xf numFmtId="49" fontId="134" fillId="28" borderId="10" xfId="0" applyNumberFormat="1" applyFont="1" applyFill="1" applyBorder="1" applyAlignment="1" applyProtection="1">
      <alignment horizontal="left" vertical="center" wrapText="1"/>
      <protection locked="0"/>
    </xf>
    <xf numFmtId="49" fontId="134" fillId="28" borderId="41" xfId="0" applyNumberFormat="1" applyFont="1" applyFill="1" applyBorder="1" applyAlignment="1" applyProtection="1">
      <alignment horizontal="left" vertical="center" wrapText="1"/>
      <protection locked="0"/>
    </xf>
    <xf numFmtId="0" fontId="134" fillId="28" borderId="102" xfId="0" applyNumberFormat="1" applyFont="1" applyFill="1" applyBorder="1" applyAlignment="1" applyProtection="1">
      <alignment horizontal="center" vertical="center" wrapText="1"/>
      <protection locked="0"/>
    </xf>
    <xf numFmtId="49" fontId="134" fillId="28" borderId="43" xfId="0" applyNumberFormat="1" applyFont="1" applyFill="1" applyBorder="1" applyAlignment="1" applyProtection="1">
      <alignment horizontal="center" vertical="center" wrapText="1"/>
      <protection locked="0"/>
    </xf>
    <xf numFmtId="0" fontId="134" fillId="0" borderId="43" xfId="0" applyFont="1" applyFill="1" applyBorder="1" applyAlignment="1" applyProtection="1">
      <alignment horizontal="center" vertical="center" wrapText="1"/>
    </xf>
    <xf numFmtId="0" fontId="134" fillId="24" borderId="106" xfId="0" applyFont="1" applyFill="1" applyBorder="1" applyAlignment="1" applyProtection="1">
      <alignment horizontal="left" vertical="center" wrapText="1"/>
    </xf>
    <xf numFmtId="0" fontId="134" fillId="24" borderId="42" xfId="0" applyFont="1" applyFill="1" applyBorder="1" applyAlignment="1" applyProtection="1">
      <alignment horizontal="left" vertical="center" wrapText="1"/>
    </xf>
    <xf numFmtId="0" fontId="134" fillId="24" borderId="107" xfId="0" applyFont="1" applyFill="1" applyBorder="1" applyAlignment="1" applyProtection="1">
      <alignment horizontal="left" vertical="center" wrapText="1"/>
    </xf>
    <xf numFmtId="0" fontId="134" fillId="24" borderId="108" xfId="0" applyFont="1" applyFill="1" applyBorder="1" applyAlignment="1" applyProtection="1">
      <alignment horizontal="left" vertical="center" wrapText="1"/>
    </xf>
    <xf numFmtId="0" fontId="134" fillId="24" borderId="109" xfId="0" applyFont="1" applyFill="1" applyBorder="1" applyAlignment="1" applyProtection="1">
      <alignment horizontal="left" vertical="center" wrapText="1"/>
    </xf>
    <xf numFmtId="0" fontId="134" fillId="24" borderId="110" xfId="0" applyFont="1" applyFill="1" applyBorder="1" applyAlignment="1" applyProtection="1">
      <alignment horizontal="left" vertical="center" wrapText="1"/>
    </xf>
    <xf numFmtId="0" fontId="138" fillId="43" borderId="263" xfId="0" applyFont="1" applyFill="1" applyBorder="1" applyAlignment="1" applyProtection="1">
      <alignment horizontal="center" vertical="center"/>
      <protection locked="0"/>
    </xf>
    <xf numFmtId="0" fontId="0" fillId="0" borderId="264" xfId="0" applyBorder="1" applyAlignment="1">
      <alignment horizontal="center"/>
    </xf>
    <xf numFmtId="0" fontId="0" fillId="0" borderId="53" xfId="0" applyBorder="1" applyAlignment="1">
      <alignment horizontal="center"/>
    </xf>
    <xf numFmtId="49" fontId="134" fillId="42" borderId="111" xfId="0" applyNumberFormat="1" applyFont="1" applyFill="1" applyBorder="1" applyAlignment="1" applyProtection="1">
      <alignment horizontal="left" vertical="center" wrapText="1"/>
      <protection locked="0"/>
    </xf>
    <xf numFmtId="49" fontId="134" fillId="42" borderId="10" xfId="0" applyNumberFormat="1" applyFont="1" applyFill="1" applyBorder="1" applyAlignment="1" applyProtection="1">
      <alignment horizontal="left" vertical="center" wrapText="1"/>
      <protection locked="0"/>
    </xf>
    <xf numFmtId="49" fontId="134" fillId="42" borderId="41" xfId="0" applyNumberFormat="1" applyFont="1" applyFill="1" applyBorder="1" applyAlignment="1" applyProtection="1">
      <alignment horizontal="left" vertical="center" wrapText="1"/>
      <protection locked="0"/>
    </xf>
    <xf numFmtId="0" fontId="134" fillId="22" borderId="102" xfId="0" applyNumberFormat="1" applyFont="1" applyFill="1" applyBorder="1" applyAlignment="1" applyProtection="1">
      <alignment horizontal="center" vertical="center" wrapText="1"/>
      <protection locked="0"/>
    </xf>
    <xf numFmtId="0" fontId="134" fillId="22" borderId="106" xfId="0" applyNumberFormat="1" applyFont="1" applyFill="1" applyBorder="1" applyAlignment="1" applyProtection="1">
      <alignment horizontal="center" vertical="center" wrapText="1"/>
      <protection locked="0"/>
    </xf>
    <xf numFmtId="0" fontId="134" fillId="22" borderId="238" xfId="0" applyNumberFormat="1" applyFont="1" applyFill="1" applyBorder="1" applyAlignment="1" applyProtection="1">
      <alignment horizontal="center" vertical="center" wrapText="1"/>
      <protection locked="0"/>
    </xf>
    <xf numFmtId="0" fontId="134" fillId="22" borderId="239" xfId="0" applyNumberFormat="1" applyFont="1" applyFill="1" applyBorder="1" applyAlignment="1" applyProtection="1">
      <alignment horizontal="center" vertical="center" wrapText="1"/>
      <protection locked="0"/>
    </xf>
    <xf numFmtId="0" fontId="134" fillId="0" borderId="106" xfId="0" applyFont="1" applyFill="1" applyBorder="1" applyAlignment="1" applyProtection="1">
      <alignment horizontal="left" vertical="center" wrapText="1"/>
    </xf>
    <xf numFmtId="0" fontId="134" fillId="0" borderId="42" xfId="0" applyFont="1" applyFill="1" applyBorder="1" applyAlignment="1" applyProtection="1">
      <alignment horizontal="left" vertical="center" wrapText="1"/>
    </xf>
    <xf numFmtId="0" fontId="134" fillId="0" borderId="107" xfId="0" applyFont="1" applyFill="1" applyBorder="1" applyAlignment="1" applyProtection="1">
      <alignment horizontal="left" vertical="center" wrapText="1"/>
    </xf>
    <xf numFmtId="0" fontId="134" fillId="0" borderId="108" xfId="0" applyFont="1" applyFill="1" applyBorder="1" applyAlignment="1" applyProtection="1">
      <alignment horizontal="left" vertical="center" wrapText="1"/>
    </xf>
    <xf numFmtId="0" fontId="134" fillId="0" borderId="109" xfId="0" applyFont="1" applyFill="1" applyBorder="1" applyAlignment="1" applyProtection="1">
      <alignment horizontal="left" vertical="center" wrapText="1"/>
    </xf>
    <xf numFmtId="0" fontId="134" fillId="0" borderId="110" xfId="0" applyFont="1" applyFill="1" applyBorder="1" applyAlignment="1" applyProtection="1">
      <alignment horizontal="left" vertical="center" wrapText="1"/>
    </xf>
    <xf numFmtId="0" fontId="134" fillId="0" borderId="102" xfId="0" applyFont="1" applyFill="1" applyBorder="1" applyAlignment="1" applyProtection="1">
      <alignment horizontal="center" vertical="center" wrapText="1"/>
    </xf>
    <xf numFmtId="0" fontId="134" fillId="24" borderId="102" xfId="0" applyFont="1" applyFill="1" applyBorder="1" applyAlignment="1" applyProtection="1">
      <alignment horizontal="center" vertical="center" wrapText="1"/>
    </xf>
    <xf numFmtId="0" fontId="134" fillId="24" borderId="43" xfId="0" applyFont="1" applyFill="1" applyBorder="1" applyAlignment="1" applyProtection="1">
      <alignment horizontal="center" vertical="center" wrapText="1"/>
    </xf>
    <xf numFmtId="0" fontId="134" fillId="0" borderId="112" xfId="0" applyFont="1" applyFill="1" applyBorder="1" applyAlignment="1" applyProtection="1">
      <alignment horizontal="center" vertical="center" wrapText="1"/>
    </xf>
    <xf numFmtId="0" fontId="134" fillId="0" borderId="113" xfId="0" applyFont="1" applyFill="1" applyBorder="1" applyAlignment="1" applyProtection="1">
      <alignment horizontal="center" vertical="center" wrapText="1"/>
    </xf>
    <xf numFmtId="0" fontId="138" fillId="43" borderId="48" xfId="0" applyFont="1" applyFill="1" applyBorder="1" applyAlignment="1" applyProtection="1">
      <alignment horizontal="center" vertical="center"/>
    </xf>
    <xf numFmtId="0" fontId="138" fillId="43" borderId="263" xfId="0" applyFont="1" applyFill="1" applyBorder="1" applyAlignment="1" applyProtection="1">
      <alignment horizontal="center" vertical="center"/>
    </xf>
    <xf numFmtId="0" fontId="138" fillId="43" borderId="51" xfId="0" applyFont="1" applyFill="1" applyBorder="1" applyAlignment="1" applyProtection="1">
      <alignment horizontal="center" vertical="center"/>
    </xf>
    <xf numFmtId="49" fontId="14" fillId="0" borderId="244"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49" fontId="14" fillId="0" borderId="242" xfId="0" applyNumberFormat="1" applyFont="1" applyFill="1" applyBorder="1" applyAlignment="1" applyProtection="1">
      <alignment horizontal="center"/>
    </xf>
    <xf numFmtId="49" fontId="14" fillId="0" borderId="243" xfId="0" applyNumberFormat="1" applyFont="1" applyFill="1" applyBorder="1" applyAlignment="1" applyProtection="1">
      <alignment horizontal="center"/>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0" fontId="75" fillId="0" borderId="118" xfId="0" applyFont="1" applyFill="1" applyBorder="1" applyAlignment="1" applyProtection="1">
      <alignment horizontal="center" vertical="center"/>
    </xf>
    <xf numFmtId="0" fontId="75" fillId="0" borderId="119" xfId="0" applyFont="1" applyFill="1" applyBorder="1" applyAlignment="1" applyProtection="1">
      <alignment horizontal="center" vertical="center"/>
    </xf>
    <xf numFmtId="0" fontId="75" fillId="0" borderId="120" xfId="0" applyFont="1" applyFill="1" applyBorder="1" applyAlignment="1" applyProtection="1">
      <alignment horizontal="center" vertical="center"/>
    </xf>
    <xf numFmtId="49" fontId="134" fillId="22" borderId="121" xfId="0" applyNumberFormat="1" applyFont="1" applyFill="1" applyBorder="1" applyAlignment="1" applyProtection="1">
      <alignment horizontal="left" vertical="center" wrapText="1"/>
      <protection locked="0"/>
    </xf>
    <xf numFmtId="49" fontId="134" fillId="22" borderId="87" xfId="0" applyNumberFormat="1" applyFont="1" applyFill="1" applyBorder="1" applyAlignment="1" applyProtection="1">
      <alignment horizontal="left" vertical="center" wrapText="1"/>
      <protection locked="0"/>
    </xf>
    <xf numFmtId="49" fontId="134" fillId="22" borderId="88" xfId="0" applyNumberFormat="1" applyFont="1" applyFill="1" applyBorder="1" applyAlignment="1" applyProtection="1">
      <alignment horizontal="left" vertical="center" wrapText="1"/>
      <protection locked="0"/>
    </xf>
    <xf numFmtId="49" fontId="134" fillId="22" borderId="111" xfId="0" applyNumberFormat="1" applyFont="1" applyFill="1" applyBorder="1" applyAlignment="1" applyProtection="1">
      <alignment horizontal="left" vertical="center" wrapText="1"/>
      <protection locked="0"/>
    </xf>
    <xf numFmtId="49" fontId="134" fillId="22" borderId="10" xfId="0" applyNumberFormat="1" applyFont="1" applyFill="1" applyBorder="1" applyAlignment="1" applyProtection="1">
      <alignment horizontal="left" vertical="center" wrapText="1"/>
      <protection locked="0"/>
    </xf>
    <xf numFmtId="49" fontId="134" fillId="22" borderId="41" xfId="0" applyNumberFormat="1" applyFont="1" applyFill="1" applyBorder="1" applyAlignment="1" applyProtection="1">
      <alignment horizontal="left"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0" fontId="134" fillId="28" borderId="238" xfId="0" applyNumberFormat="1" applyFont="1" applyFill="1" applyBorder="1" applyAlignment="1" applyProtection="1">
      <alignment horizontal="center" vertical="center" wrapText="1"/>
      <protection locked="0"/>
    </xf>
    <xf numFmtId="0" fontId="134" fillId="28" borderId="239" xfId="0" applyNumberFormat="1" applyFont="1" applyFill="1" applyBorder="1" applyAlignment="1" applyProtection="1">
      <alignment horizontal="center" vertical="center" wrapText="1"/>
      <protection locked="0"/>
    </xf>
    <xf numFmtId="0" fontId="2" fillId="0" borderId="249" xfId="0" applyFont="1" applyFill="1" applyBorder="1" applyAlignment="1" applyProtection="1">
      <alignment horizontal="left" vertical="center" wrapText="1"/>
    </xf>
    <xf numFmtId="0" fontId="2" fillId="0" borderId="250" xfId="0" applyFont="1" applyFill="1" applyBorder="1" applyAlignment="1" applyProtection="1">
      <alignment horizontal="left" vertical="center" wrapText="1"/>
    </xf>
    <xf numFmtId="0" fontId="2" fillId="0" borderId="251" xfId="0" applyFont="1" applyFill="1" applyBorder="1" applyAlignment="1" applyProtection="1">
      <alignment horizontal="left" vertical="center" wrapText="1"/>
    </xf>
    <xf numFmtId="0" fontId="2" fillId="0" borderId="252"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53" xfId="0" applyFont="1" applyFill="1" applyBorder="1" applyAlignment="1" applyProtection="1">
      <alignment horizontal="left" vertical="center" wrapText="1"/>
    </xf>
    <xf numFmtId="0" fontId="2" fillId="24" borderId="238" xfId="0" applyFont="1" applyFill="1" applyBorder="1" applyAlignment="1" applyProtection="1">
      <alignment horizontal="center" vertical="center" wrapText="1"/>
    </xf>
    <xf numFmtId="0" fontId="2" fillId="24" borderId="239" xfId="0" applyFont="1" applyFill="1" applyBorder="1" applyAlignment="1" applyProtection="1">
      <alignment horizontal="center" vertical="center" wrapText="1"/>
    </xf>
    <xf numFmtId="0" fontId="2" fillId="0" borderId="238" xfId="0" applyFont="1" applyFill="1" applyBorder="1" applyAlignment="1" applyProtection="1">
      <alignment horizontal="center" vertical="center" wrapText="1"/>
    </xf>
    <xf numFmtId="0" fontId="2" fillId="0" borderId="248" xfId="0" applyFont="1" applyFill="1" applyBorder="1" applyAlignment="1" applyProtection="1">
      <alignment horizontal="center" vertical="center" wrapText="1"/>
    </xf>
    <xf numFmtId="0" fontId="2" fillId="0" borderId="234" xfId="0" applyFont="1" applyFill="1" applyBorder="1" applyAlignment="1" applyProtection="1">
      <alignment horizontal="left" vertical="center" wrapText="1"/>
    </xf>
    <xf numFmtId="0" fontId="2" fillId="0" borderId="94" xfId="0" applyFont="1" applyFill="1" applyBorder="1" applyAlignment="1" applyProtection="1">
      <alignment horizontal="left" vertical="center" wrapText="1"/>
    </xf>
    <xf numFmtId="0" fontId="2" fillId="0" borderId="235" xfId="0" applyFont="1" applyFill="1" applyBorder="1" applyAlignment="1" applyProtection="1">
      <alignment horizontal="left" vertical="center" wrapText="1"/>
    </xf>
    <xf numFmtId="0" fontId="2" fillId="24" borderId="249" xfId="0" applyFont="1" applyFill="1" applyBorder="1" applyAlignment="1" applyProtection="1">
      <alignment horizontal="left" vertical="center" wrapText="1"/>
    </xf>
    <xf numFmtId="0" fontId="2" fillId="24" borderId="250" xfId="0" applyFont="1" applyFill="1" applyBorder="1" applyAlignment="1" applyProtection="1">
      <alignment horizontal="left" vertical="center" wrapText="1"/>
    </xf>
    <xf numFmtId="0" fontId="2" fillId="24" borderId="251" xfId="0" applyFont="1" applyFill="1" applyBorder="1" applyAlignment="1" applyProtection="1">
      <alignment horizontal="left" vertical="center" wrapText="1"/>
    </xf>
    <xf numFmtId="0" fontId="2" fillId="24" borderId="252" xfId="0" applyFont="1" applyFill="1" applyBorder="1" applyAlignment="1" applyProtection="1">
      <alignment horizontal="left" vertical="center" wrapText="1"/>
    </xf>
    <xf numFmtId="0" fontId="2" fillId="24" borderId="25" xfId="0" applyFont="1" applyFill="1" applyBorder="1" applyAlignment="1" applyProtection="1">
      <alignment horizontal="left" vertical="center" wrapText="1"/>
    </xf>
    <xf numFmtId="0" fontId="2" fillId="24" borderId="253" xfId="0" applyFont="1" applyFill="1" applyBorder="1" applyAlignment="1" applyProtection="1">
      <alignment horizontal="left" vertical="center" wrapText="1"/>
    </xf>
    <xf numFmtId="0" fontId="2" fillId="0" borderId="240" xfId="0" applyFont="1" applyFill="1" applyBorder="1" applyAlignment="1" applyProtection="1">
      <alignment horizontal="center" vertical="center" wrapText="1"/>
    </xf>
    <xf numFmtId="0" fontId="2" fillId="0" borderId="247" xfId="0" applyFont="1" applyFill="1" applyBorder="1" applyAlignment="1" applyProtection="1">
      <alignment horizontal="center" vertical="center" wrapText="1"/>
    </xf>
    <xf numFmtId="0" fontId="2" fillId="24" borderId="240" xfId="0" applyFont="1" applyFill="1" applyBorder="1" applyAlignment="1" applyProtection="1">
      <alignment horizontal="center" vertical="center" wrapText="1"/>
    </xf>
    <xf numFmtId="0" fontId="2" fillId="24" borderId="121"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0" fontId="94" fillId="0" borderId="0" xfId="0" applyFont="1" applyBorder="1" applyAlignment="1" applyProtection="1">
      <alignment horizontal="right"/>
    </xf>
    <xf numFmtId="0" fontId="94" fillId="0" borderId="122" xfId="0" applyFont="1" applyBorder="1" applyAlignment="1" applyProtection="1">
      <alignment horizontal="right"/>
    </xf>
    <xf numFmtId="0" fontId="94" fillId="0" borderId="47" xfId="0" applyFont="1" applyBorder="1" applyAlignment="1" applyProtection="1">
      <alignment horizontal="right"/>
    </xf>
    <xf numFmtId="164" fontId="15" fillId="32" borderId="10" xfId="56" applyFont="1" applyFill="1" applyBorder="1" applyAlignment="1" applyProtection="1">
      <alignment horizontal="center"/>
      <protection locked="0"/>
    </xf>
    <xf numFmtId="0" fontId="82" fillId="0" borderId="114" xfId="0" applyFont="1" applyBorder="1" applyAlignment="1" applyProtection="1">
      <alignment horizontal="right"/>
    </xf>
    <xf numFmtId="0" fontId="14" fillId="0" borderId="114" xfId="0" applyFont="1" applyBorder="1" applyAlignment="1"/>
    <xf numFmtId="0" fontId="0" fillId="0" borderId="245" xfId="0" applyBorder="1" applyAlignment="1" applyProtection="1">
      <alignment horizontal="center"/>
    </xf>
    <xf numFmtId="0" fontId="0" fillId="0" borderId="246"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0" fontId="94" fillId="0" borderId="0" xfId="0" applyFont="1" applyAlignment="1" applyProtection="1">
      <alignment horizontal="right"/>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164" fontId="60" fillId="30" borderId="0" xfId="38" applyFont="1" applyFill="1" applyAlignment="1" applyProtection="1">
      <alignment horizontal="center" vertical="center"/>
    </xf>
    <xf numFmtId="0" fontId="0" fillId="0" borderId="0" xfId="0" applyAlignment="1" applyProtection="1"/>
    <xf numFmtId="49" fontId="0" fillId="0" borderId="41"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17" fillId="0" borderId="10" xfId="56" applyNumberFormat="1" applyFill="1" applyBorder="1" applyAlignment="1" applyProtection="1">
      <alignment horizontal="center"/>
      <protection locked="0"/>
    </xf>
    <xf numFmtId="49" fontId="129" fillId="0" borderId="10" xfId="0" applyNumberFormat="1" applyFont="1" applyFill="1" applyBorder="1" applyAlignment="1" applyProtection="1">
      <alignment horizontal="center"/>
      <protection locked="0"/>
    </xf>
    <xf numFmtId="49" fontId="0" fillId="0" borderId="42" xfId="0" applyNumberFormat="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Fill="1" applyBorder="1" applyAlignment="1" applyProtection="1">
      <alignment horizontal="right" vertical="top" wrapText="1"/>
    </xf>
    <xf numFmtId="0" fontId="0" fillId="0" borderId="38" xfId="0" applyBorder="1" applyAlignment="1"/>
    <xf numFmtId="164" fontId="102" fillId="33" borderId="38" xfId="56" applyFont="1" applyFill="1" applyBorder="1" applyAlignment="1" applyProtection="1">
      <alignment horizontal="center" wrapText="1"/>
    </xf>
    <xf numFmtId="164" fontId="1" fillId="0" borderId="38" xfId="56" applyFont="1" applyFill="1" applyBorder="1" applyAlignment="1" applyProtection="1">
      <alignment horizontal="right" wrapText="1"/>
    </xf>
    <xf numFmtId="15" fontId="24" fillId="25" borderId="38" xfId="56" applyNumberFormat="1" applyFont="1" applyFill="1" applyBorder="1" applyAlignment="1" applyProtection="1">
      <alignment horizontal="center"/>
    </xf>
    <xf numFmtId="164" fontId="17" fillId="30" borderId="0" xfId="38" applyFont="1" applyFill="1" applyAlignment="1" applyProtection="1">
      <alignment horizontal="center" vertical="center"/>
    </xf>
    <xf numFmtId="164" fontId="33" fillId="25" borderId="0" xfId="49" applyFont="1" applyFill="1" applyAlignment="1" applyProtection="1">
      <alignment horizontal="center" vertical="center" wrapText="1"/>
    </xf>
    <xf numFmtId="174"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0" fontId="30" fillId="22" borderId="41"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103" fillId="0" borderId="123" xfId="0" applyFont="1" applyFill="1" applyBorder="1" applyAlignment="1" applyProtection="1">
      <alignment horizontal="left" wrapText="1"/>
    </xf>
    <xf numFmtId="0" fontId="103" fillId="0" borderId="73" xfId="0" applyFont="1" applyFill="1" applyBorder="1" applyAlignment="1" applyProtection="1">
      <alignment horizontal="left" wrapText="1"/>
    </xf>
    <xf numFmtId="0" fontId="103" fillId="0" borderId="124" xfId="0" applyFont="1" applyFill="1" applyBorder="1" applyAlignment="1" applyProtection="1">
      <alignment horizontal="left" wrapText="1"/>
    </xf>
    <xf numFmtId="0" fontId="103" fillId="0" borderId="125" xfId="0" applyFont="1" applyFill="1" applyBorder="1" applyAlignment="1" applyProtection="1">
      <alignment horizontal="left" wrapText="1"/>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100" fillId="0" borderId="0" xfId="0" applyFont="1" applyAlignment="1" applyProtection="1">
      <alignment horizontal="center"/>
    </xf>
    <xf numFmtId="164" fontId="99" fillId="0" borderId="103" xfId="0" applyNumberFormat="1" applyFont="1" applyBorder="1" applyAlignment="1" applyProtection="1">
      <alignment horizontal="center" vertical="center" wrapText="1"/>
    </xf>
    <xf numFmtId="164" fontId="99" fillId="0" borderId="104" xfId="0" applyNumberFormat="1" applyFont="1" applyBorder="1" applyAlignment="1" applyProtection="1">
      <alignment horizontal="center" vertical="center" wrapText="1"/>
    </xf>
    <xf numFmtId="164" fontId="99"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122" fillId="55" borderId="265" xfId="0" applyFont="1" applyFill="1" applyBorder="1" applyAlignment="1" applyProtection="1">
      <alignment horizontal="center" vertical="center"/>
    </xf>
    <xf numFmtId="0" fontId="122" fillId="55" borderId="268" xfId="0" applyFont="1" applyFill="1" applyBorder="1" applyAlignment="1" applyProtection="1">
      <alignment horizontal="center" vertical="center"/>
    </xf>
    <xf numFmtId="0" fontId="122" fillId="55" borderId="271" xfId="0" applyFont="1" applyFill="1" applyBorder="1" applyAlignment="1" applyProtection="1">
      <alignment horizontal="center" vertical="center"/>
    </xf>
    <xf numFmtId="0" fontId="122" fillId="54" borderId="263" xfId="0" applyFont="1" applyFill="1" applyBorder="1" applyAlignment="1" applyProtection="1">
      <alignment horizontal="center" vertical="center" wrapText="1"/>
    </xf>
    <xf numFmtId="0" fontId="0" fillId="0" borderId="264" xfId="0" applyBorder="1" applyAlignment="1">
      <alignment horizontal="center" wrapText="1"/>
    </xf>
    <xf numFmtId="0" fontId="30" fillId="22" borderId="0" xfId="0" applyFont="1" applyFill="1" applyBorder="1" applyAlignment="1" applyProtection="1">
      <alignment horizontal="left" vertical="top" wrapText="1"/>
      <protection locked="0"/>
    </xf>
    <xf numFmtId="0" fontId="30" fillId="22" borderId="0" xfId="0" applyFont="1" applyFill="1" applyBorder="1" applyAlignment="1" applyProtection="1">
      <alignment horizontal="left" vertical="top"/>
      <protection locked="0"/>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164" fontId="35" fillId="0" borderId="0" xfId="0" applyNumberFormat="1" applyFont="1" applyAlignment="1">
      <alignment horizontal="center" vertical="center" wrapText="1"/>
    </xf>
    <xf numFmtId="164" fontId="35" fillId="0" borderId="0" xfId="0" applyNumberFormat="1" applyFont="1" applyAlignment="1">
      <alignment horizontal="center" vertical="center"/>
    </xf>
    <xf numFmtId="0" fontId="83" fillId="0" borderId="0" xfId="0" applyFont="1" applyAlignment="1">
      <alignment horizontal="left" wrapText="1"/>
    </xf>
    <xf numFmtId="0" fontId="177" fillId="22" borderId="0" xfId="0" applyFont="1" applyFill="1" applyBorder="1" applyAlignment="1" applyProtection="1">
      <alignment horizontal="left" vertical="top" wrapText="1"/>
      <protection locked="0"/>
    </xf>
    <xf numFmtId="0" fontId="34" fillId="22" borderId="0" xfId="0" applyFont="1" applyFill="1" applyBorder="1" applyAlignment="1" applyProtection="1">
      <alignment horizontal="left" vertical="top" wrapText="1"/>
      <protection locked="0"/>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0" fontId="177" fillId="22" borderId="104" xfId="0" applyFont="1" applyFill="1" applyBorder="1" applyAlignment="1" applyProtection="1">
      <alignment horizontal="left" vertical="top" wrapText="1"/>
      <protection locked="0"/>
    </xf>
    <xf numFmtId="0" fontId="177" fillId="22" borderId="105" xfId="0" applyFont="1" applyFill="1" applyBorder="1" applyAlignment="1" applyProtection="1">
      <alignment horizontal="left" vertical="top" wrapText="1"/>
      <protection locked="0"/>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164" fontId="60" fillId="30" borderId="0" xfId="47" applyFont="1" applyFill="1" applyAlignment="1" applyProtection="1">
      <alignment horizontal="center" vertical="center"/>
    </xf>
    <xf numFmtId="0" fontId="34" fillId="0" borderId="94" xfId="0" applyFont="1" applyBorder="1" applyAlignment="1" applyProtection="1">
      <alignment horizontal="left" vertical="center" wrapText="1"/>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164" fontId="100" fillId="0" borderId="0" xfId="0" applyNumberFormat="1" applyFont="1" applyAlignment="1" applyProtection="1">
      <alignment horizontal="center"/>
    </xf>
    <xf numFmtId="0" fontId="0" fillId="0" borderId="0" xfId="0" applyAlignment="1">
      <alignment horizontal="center"/>
    </xf>
    <xf numFmtId="2" fontId="122" fillId="0" borderId="94" xfId="0" applyNumberFormat="1" applyFont="1" applyBorder="1" applyAlignment="1" applyProtection="1">
      <alignment horizontal="left" vertical="center" wrapText="1"/>
    </xf>
    <xf numFmtId="0" fontId="28" fillId="22" borderId="41" xfId="0" applyFont="1" applyFill="1" applyBorder="1" applyAlignment="1" applyProtection="1">
      <alignment horizontal="left" vertical="top" wrapText="1"/>
      <protection locked="0"/>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33" fillId="0" borderId="97" xfId="0" applyFont="1" applyBorder="1" applyAlignment="1" applyProtection="1">
      <alignment horizontal="center"/>
    </xf>
    <xf numFmtId="0" fontId="21" fillId="56" borderId="41" xfId="0" applyFont="1" applyFill="1" applyBorder="1" applyAlignment="1" applyProtection="1">
      <alignment vertical="center" wrapText="1"/>
    </xf>
    <xf numFmtId="0" fontId="21" fillId="56" borderId="42" xfId="0" applyFont="1" applyFill="1" applyBorder="1" applyAlignment="1" applyProtection="1">
      <alignment vertical="center" wrapText="1"/>
    </xf>
    <xf numFmtId="0" fontId="21" fillId="56" borderId="43" xfId="0" applyFont="1" applyFill="1" applyBorder="1" applyAlignment="1" applyProtection="1">
      <alignment vertical="center" wrapText="1"/>
    </xf>
    <xf numFmtId="0" fontId="34" fillId="0" borderId="10" xfId="0" applyFont="1" applyBorder="1" applyAlignment="1" applyProtection="1">
      <alignment horizontal="center"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9" fontId="21" fillId="35" borderId="10" xfId="61" applyFont="1" applyFill="1" applyBorder="1" applyAlignment="1" applyProtection="1">
      <alignment horizontal="left" vertical="center" wrapText="1"/>
      <protection locked="0"/>
    </xf>
    <xf numFmtId="0" fontId="21" fillId="56" borderId="41" xfId="0" applyFont="1" applyFill="1" applyBorder="1" applyAlignment="1" applyProtection="1">
      <alignment horizontal="left" vertical="center" wrapText="1"/>
    </xf>
    <xf numFmtId="0" fontId="21" fillId="56" borderId="42" xfId="0" applyFont="1" applyFill="1" applyBorder="1" applyAlignment="1" applyProtection="1">
      <alignment horizontal="left" vertical="center" wrapText="1"/>
    </xf>
    <xf numFmtId="0" fontId="21" fillId="56" borderId="43" xfId="0" applyFont="1" applyFill="1" applyBorder="1" applyAlignment="1" applyProtection="1">
      <alignment horizontal="left" vertical="center" wrapText="1"/>
    </xf>
    <xf numFmtId="0" fontId="0" fillId="56" borderId="41" xfId="0" applyFill="1" applyBorder="1" applyAlignment="1">
      <alignment horizontal="left" vertical="center" wrapText="1"/>
    </xf>
    <xf numFmtId="0" fontId="0" fillId="56" borderId="42" xfId="0" applyFill="1" applyBorder="1" applyAlignment="1">
      <alignment horizontal="left" vertical="center" wrapText="1"/>
    </xf>
    <xf numFmtId="0" fontId="0" fillId="56" borderId="43" xfId="0" applyFill="1" applyBorder="1" applyAlignment="1">
      <alignment horizontal="left" vertical="center" wrapText="1"/>
    </xf>
    <xf numFmtId="9" fontId="135" fillId="31" borderId="41" xfId="61" applyFont="1" applyFill="1" applyBorder="1" applyAlignment="1" applyProtection="1">
      <alignment horizontal="center" vertical="center" wrapText="1"/>
    </xf>
    <xf numFmtId="9" fontId="135" fillId="31" borderId="43" xfId="61" applyFont="1" applyFill="1" applyBorder="1" applyAlignment="1" applyProtection="1">
      <alignment horizontal="center"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9" fontId="0" fillId="35" borderId="41" xfId="61" applyFont="1" applyFill="1" applyBorder="1" applyAlignment="1" applyProtection="1">
      <alignment horizontal="center" vertical="center" wrapText="1"/>
      <protection locked="0"/>
    </xf>
    <xf numFmtId="0" fontId="0" fillId="56" borderId="42" xfId="0" applyFill="1" applyBorder="1" applyAlignment="1">
      <alignment vertical="center" wrapText="1"/>
    </xf>
    <xf numFmtId="0" fontId="0" fillId="56" borderId="43" xfId="0" applyFill="1" applyBorder="1" applyAlignment="1">
      <alignment vertical="center" wrapText="1"/>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1" fillId="35" borderId="41" xfId="61" applyFont="1" applyFill="1" applyBorder="1" applyAlignment="1" applyProtection="1">
      <alignment horizontal="left" vertical="center" wrapText="1"/>
      <protection locked="0"/>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23" fillId="20" borderId="41" xfId="0" applyFont="1" applyFill="1" applyBorder="1" applyAlignment="1" applyProtection="1">
      <alignment vertical="center" wrapText="1"/>
    </xf>
    <xf numFmtId="0" fontId="123" fillId="20" borderId="42" xfId="0" applyFont="1" applyFill="1" applyBorder="1" applyAlignment="1" applyProtection="1">
      <alignment vertical="center" wrapText="1"/>
    </xf>
    <xf numFmtId="0" fontId="123" fillId="20" borderId="43" xfId="0" applyFont="1" applyFill="1" applyBorder="1" applyAlignment="1" applyProtection="1">
      <alignment vertical="center" wrapText="1"/>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49" fontId="122" fillId="0" borderId="41" xfId="0" applyNumberFormat="1" applyFont="1" applyBorder="1" applyAlignment="1" applyProtection="1">
      <alignment vertical="center" wrapText="1"/>
    </xf>
    <xf numFmtId="0" fontId="122" fillId="0" borderId="42" xfId="0" applyFont="1" applyBorder="1" applyAlignment="1" applyProtection="1">
      <alignment vertical="center" wrapText="1"/>
    </xf>
    <xf numFmtId="0" fontId="122" fillId="0" borderId="43" xfId="0" applyFont="1" applyBorder="1" applyAlignment="1" applyProtection="1">
      <alignment vertical="center" wrapText="1"/>
    </xf>
    <xf numFmtId="0" fontId="122" fillId="0" borderId="41" xfId="0" applyFont="1" applyBorder="1" applyAlignment="1" applyProtection="1">
      <alignment vertical="center" wrapText="1"/>
    </xf>
    <xf numFmtId="49" fontId="122" fillId="0" borderId="42" xfId="0" applyNumberFormat="1" applyFont="1" applyBorder="1" applyAlignment="1" applyProtection="1">
      <alignment vertical="center" wrapText="1"/>
    </xf>
    <xf numFmtId="49" fontId="122" fillId="0" borderId="43" xfId="0" applyNumberFormat="1" applyFont="1" applyBorder="1" applyAlignment="1" applyProtection="1">
      <alignment vertical="center" wrapText="1"/>
    </xf>
    <xf numFmtId="9" fontId="34" fillId="22" borderId="10" xfId="61" applyFont="1" applyFill="1" applyBorder="1" applyAlignment="1" applyProtection="1">
      <alignment horizontal="left" vertical="center" wrapText="1"/>
      <protection locked="0"/>
    </xf>
    <xf numFmtId="0" fontId="34" fillId="20" borderId="0" xfId="0" applyFont="1" applyFill="1" applyBorder="1" applyAlignment="1" applyProtection="1">
      <alignment horizontal="left"/>
    </xf>
    <xf numFmtId="9" fontId="119" fillId="31" borderId="41" xfId="61" applyFont="1" applyFill="1" applyBorder="1" applyAlignment="1" applyProtection="1">
      <alignment horizontal="center" vertical="center" wrapText="1"/>
    </xf>
    <xf numFmtId="9" fontId="119" fillId="31" borderId="43" xfId="61" applyFont="1" applyFill="1" applyBorder="1" applyAlignment="1" applyProtection="1">
      <alignment horizontal="center" vertical="center" wrapText="1"/>
    </xf>
    <xf numFmtId="9" fontId="120" fillId="34" borderId="41" xfId="61" applyFont="1" applyFill="1" applyBorder="1" applyAlignment="1" applyProtection="1">
      <alignment horizontal="center" vertical="center" wrapText="1"/>
    </xf>
    <xf numFmtId="9" fontId="120" fillId="34" borderId="43" xfId="61" applyFont="1" applyFill="1" applyBorder="1" applyAlignment="1" applyProtection="1">
      <alignment horizontal="center" vertical="center" wrapText="1"/>
    </xf>
    <xf numFmtId="0" fontId="122" fillId="0" borderId="10" xfId="0" applyFont="1" applyBorder="1" applyAlignment="1" applyProtection="1">
      <alignment horizontal="center" vertical="center"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9" fontId="0" fillId="35" borderId="10" xfId="61" applyFont="1" applyFill="1" applyBorder="1" applyAlignment="1" applyProtection="1">
      <alignment horizontal="left" vertical="center" wrapText="1"/>
      <protection locked="0"/>
    </xf>
    <xf numFmtId="9" fontId="1" fillId="35" borderId="10" xfId="61" applyFont="1" applyFill="1" applyBorder="1" applyAlignment="1" applyProtection="1">
      <alignment horizontal="left" vertical="center" wrapText="1"/>
      <protection locked="0"/>
    </xf>
    <xf numFmtId="0" fontId="1" fillId="56" borderId="10" xfId="0" applyFont="1" applyFill="1" applyBorder="1" applyAlignment="1" applyProtection="1">
      <alignment vertical="center" wrapText="1"/>
    </xf>
    <xf numFmtId="9" fontId="21" fillId="35" borderId="42" xfId="61" applyFont="1" applyFill="1" applyBorder="1" applyAlignment="1" applyProtection="1">
      <alignment horizontal="left" vertical="center" wrapText="1"/>
      <protection locked="0"/>
    </xf>
    <xf numFmtId="9" fontId="21" fillId="35" borderId="43" xfId="61" applyFont="1" applyFill="1" applyBorder="1" applyAlignment="1" applyProtection="1">
      <alignment horizontal="left" vertical="center" wrapText="1"/>
      <protection locked="0"/>
    </xf>
    <xf numFmtId="0" fontId="34" fillId="22" borderId="255" xfId="0" applyFont="1" applyFill="1" applyBorder="1" applyAlignment="1" applyProtection="1">
      <alignment horizontal="left" vertical="top" wrapText="1"/>
      <protection locked="0"/>
    </xf>
    <xf numFmtId="0" fontId="0" fillId="0" borderId="104" xfId="0" applyBorder="1" applyAlignment="1">
      <alignment horizontal="left" vertical="top" wrapText="1"/>
    </xf>
    <xf numFmtId="0" fontId="0" fillId="0" borderId="256" xfId="0" applyBorder="1" applyAlignment="1">
      <alignment horizontal="left" vertical="top" wrapText="1"/>
    </xf>
    <xf numFmtId="0" fontId="0" fillId="0" borderId="105" xfId="0" applyBorder="1" applyAlignment="1">
      <alignment horizontal="left" vertical="top" wrapText="1"/>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78" fillId="0" borderId="131" xfId="0" applyNumberFormat="1" applyFont="1" applyFill="1" applyBorder="1" applyAlignment="1" applyProtection="1">
      <alignment horizontal="left" vertical="top" wrapText="1"/>
    </xf>
    <xf numFmtId="0" fontId="78" fillId="0" borderId="132" xfId="0" applyNumberFormat="1" applyFont="1" applyFill="1" applyBorder="1" applyAlignment="1" applyProtection="1">
      <alignment horizontal="left" vertical="top" wrapText="1"/>
    </xf>
    <xf numFmtId="0" fontId="78"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8" fillId="0" borderId="0" xfId="0" applyNumberFormat="1" applyFont="1" applyFill="1" applyBorder="1" applyAlignment="1" applyProtection="1">
      <alignment horizontal="left" vertical="top" wrapText="1"/>
    </xf>
    <xf numFmtId="0" fontId="78" fillId="0" borderId="137" xfId="0" applyNumberFormat="1" applyFont="1" applyFill="1" applyBorder="1" applyAlignment="1" applyProtection="1">
      <alignment horizontal="left" vertical="top" wrapText="1"/>
    </xf>
    <xf numFmtId="0" fontId="107" fillId="25" borderId="153" xfId="0" applyFont="1" applyFill="1" applyBorder="1" applyAlignment="1" applyProtection="1">
      <alignment horizontal="center" vertical="center"/>
    </xf>
    <xf numFmtId="0" fontId="107"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07" fillId="25" borderId="156" xfId="0" applyFont="1" applyFill="1" applyBorder="1" applyAlignment="1" applyProtection="1">
      <alignment horizontal="center" vertical="center"/>
    </xf>
    <xf numFmtId="0" fontId="107" fillId="25" borderId="157" xfId="0" applyFont="1" applyFill="1" applyBorder="1" applyAlignment="1" applyProtection="1">
      <alignment horizontal="center" vertical="center"/>
    </xf>
    <xf numFmtId="0" fontId="107" fillId="25" borderId="158" xfId="0" applyFont="1" applyFill="1" applyBorder="1" applyAlignment="1" applyProtection="1">
      <alignment horizontal="center" vertical="center"/>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78" fillId="0" borderId="164" xfId="0" applyNumberFormat="1" applyFont="1" applyFill="1" applyBorder="1" applyAlignment="1" applyProtection="1">
      <alignment horizontal="left" vertical="top" wrapText="1"/>
    </xf>
    <xf numFmtId="0" fontId="78" fillId="0" borderId="165" xfId="0" applyNumberFormat="1" applyFont="1" applyFill="1" applyBorder="1" applyAlignment="1" applyProtection="1">
      <alignment horizontal="left" vertical="top" wrapText="1"/>
    </xf>
    <xf numFmtId="0" fontId="78" fillId="0" borderId="166" xfId="0" applyNumberFormat="1" applyFont="1" applyFill="1" applyBorder="1" applyAlignment="1" applyProtection="1">
      <alignment horizontal="left" vertical="top" wrapText="1"/>
    </xf>
    <xf numFmtId="0" fontId="78" fillId="0" borderId="167"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100" fillId="0" borderId="0" xfId="0" applyFont="1" applyBorder="1" applyAlignment="1" applyProtection="1">
      <alignment horizontal="center"/>
    </xf>
    <xf numFmtId="0" fontId="77" fillId="19" borderId="12" xfId="0" applyFont="1" applyFill="1" applyBorder="1" applyAlignment="1" applyProtection="1">
      <alignment horizontal="center" vertic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8" fillId="0" borderId="14" xfId="0" applyNumberFormat="1" applyFont="1" applyFill="1" applyBorder="1" applyAlignment="1" applyProtection="1">
      <alignment horizontal="left" vertical="top" wrapText="1"/>
    </xf>
    <xf numFmtId="0" fontId="78" fillId="0" borderId="144" xfId="0" applyNumberFormat="1" applyFont="1" applyFill="1" applyBorder="1" applyAlignment="1" applyProtection="1">
      <alignment horizontal="left" vertical="top" wrapText="1"/>
    </xf>
    <xf numFmtId="0" fontId="78" fillId="0" borderId="145" xfId="0" applyNumberFormat="1" applyFont="1" applyFill="1" applyBorder="1" applyAlignment="1" applyProtection="1">
      <alignment horizontal="left" vertical="top" wrapText="1"/>
    </xf>
    <xf numFmtId="0" fontId="78" fillId="0" borderId="146" xfId="0" applyNumberFormat="1" applyFont="1" applyFill="1" applyBorder="1" applyAlignment="1" applyProtection="1">
      <alignment horizontal="left" vertical="top" wrapText="1"/>
    </xf>
    <xf numFmtId="0" fontId="78"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6" fillId="0" borderId="0" xfId="0" applyFont="1" applyFill="1" applyBorder="1" applyAlignment="1" applyProtection="1">
      <alignment horizontal="center"/>
    </xf>
    <xf numFmtId="0" fontId="76"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6"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2" fillId="0" borderId="159" xfId="61" applyNumberFormat="1" applyFont="1" applyFill="1" applyBorder="1" applyAlignment="1" applyProtection="1">
      <alignment horizontal="left" vertical="center" wrapText="1"/>
    </xf>
    <xf numFmtId="0" fontId="78" fillId="0" borderId="178" xfId="0" applyNumberFormat="1" applyFont="1" applyFill="1" applyBorder="1" applyAlignment="1" applyProtection="1">
      <alignment horizontal="left" vertical="top" wrapText="1"/>
    </xf>
    <xf numFmtId="0" fontId="78" fillId="0" borderId="179" xfId="0" applyNumberFormat="1" applyFont="1" applyFill="1" applyBorder="1" applyAlignment="1" applyProtection="1">
      <alignment horizontal="left" vertical="top" wrapText="1"/>
    </xf>
    <xf numFmtId="0" fontId="78" fillId="0" borderId="180" xfId="0" applyNumberFormat="1" applyFont="1" applyFill="1" applyBorder="1" applyAlignment="1" applyProtection="1">
      <alignment horizontal="left" vertical="top"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0" fontId="78" fillId="0" borderId="187" xfId="0" applyNumberFormat="1" applyFont="1" applyFill="1" applyBorder="1" applyAlignment="1" applyProtection="1">
      <alignment horizontal="left" vertical="center" wrapText="1"/>
    </xf>
    <xf numFmtId="0" fontId="78" fillId="0" borderId="188" xfId="0" applyNumberFormat="1" applyFont="1" applyFill="1" applyBorder="1" applyAlignment="1" applyProtection="1">
      <alignment horizontal="left" vertical="center" wrapText="1"/>
    </xf>
    <xf numFmtId="0" fontId="78" fillId="0" borderId="189" xfId="0" applyNumberFormat="1" applyFont="1" applyFill="1" applyBorder="1" applyAlignment="1" applyProtection="1">
      <alignment horizontal="left" vertical="center" wrapText="1"/>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5" fillId="21" borderId="206" xfId="52" applyNumberFormat="1" applyFont="1" applyFill="1" applyBorder="1" applyAlignment="1">
      <alignment horizontal="center" vertical="center" wrapText="1"/>
    </xf>
    <xf numFmtId="0" fontId="75" fillId="21" borderId="13" xfId="52" applyNumberFormat="1" applyFont="1" applyFill="1" applyBorder="1" applyAlignment="1">
      <alignment horizontal="center" vertical="center" wrapText="1"/>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14" fontId="21" fillId="0" borderId="207" xfId="0" applyNumberFormat="1" applyFont="1" applyFill="1" applyBorder="1" applyAlignment="1" applyProtection="1">
      <alignment horizontal="left"/>
      <protection locked="0"/>
    </xf>
    <xf numFmtId="14" fontId="21" fillId="0" borderId="34" xfId="0" applyNumberFormat="1" applyFont="1" applyFill="1" applyBorder="1" applyAlignment="1" applyProtection="1">
      <alignment horizontal="left"/>
      <protection locked="0"/>
    </xf>
    <xf numFmtId="0" fontId="93" fillId="21" borderId="210" xfId="0" applyFont="1" applyFill="1" applyBorder="1" applyAlignment="1">
      <alignment horizontal="center" vertical="center" textRotation="90" wrapText="1"/>
    </xf>
    <xf numFmtId="0" fontId="93" fillId="21" borderId="211" xfId="0" applyFont="1" applyFill="1" applyBorder="1" applyAlignment="1">
      <alignment horizontal="center" vertical="center" textRotation="90" wrapText="1"/>
    </xf>
    <xf numFmtId="0" fontId="93" fillId="21" borderId="212" xfId="0" applyFont="1" applyFill="1" applyBorder="1" applyAlignment="1">
      <alignment horizontal="center" vertical="center" textRotation="90" wrapText="1"/>
    </xf>
    <xf numFmtId="0" fontId="75" fillId="21" borderId="213" xfId="52" applyNumberFormat="1" applyFont="1" applyFill="1" applyBorder="1" applyAlignment="1">
      <alignment horizontal="center" vertical="center" wrapText="1"/>
    </xf>
    <xf numFmtId="0" fontId="75" fillId="21" borderId="214" xfId="52" applyNumberFormat="1" applyFont="1" applyFill="1" applyBorder="1" applyAlignment="1">
      <alignment horizontal="center" vertical="center" wrapText="1"/>
    </xf>
    <xf numFmtId="0" fontId="75" fillId="21" borderId="215" xfId="52" applyNumberFormat="1" applyFont="1" applyFill="1" applyBorder="1" applyAlignment="1">
      <alignment horizontal="center" vertical="center" wrapText="1"/>
    </xf>
    <xf numFmtId="0" fontId="75" fillId="21" borderId="217" xfId="52" applyNumberFormat="1" applyFont="1" applyFill="1" applyBorder="1" applyAlignment="1">
      <alignment horizontal="center" vertical="center" wrapText="1"/>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3"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25" xfId="0" applyFont="1" applyBorder="1" applyAlignment="1" applyProtection="1">
      <alignment horizontal="left"/>
      <protection locked="0"/>
    </xf>
    <xf numFmtId="0" fontId="21" fillId="0" borderId="34" xfId="0" applyFont="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164" fontId="15" fillId="33" borderId="0" xfId="58" applyFont="1" applyFill="1" applyBorder="1" applyAlignment="1" applyProtection="1">
      <alignment horizontal="center"/>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15" fontId="28" fillId="0" borderId="0" xfId="0" applyNumberFormat="1" applyFont="1" applyAlignment="1">
      <alignment horizontal="right"/>
    </xf>
    <xf numFmtId="0" fontId="100" fillId="0" borderId="0" xfId="0" applyFont="1" applyAlignment="1">
      <alignment horizontal="center"/>
    </xf>
    <xf numFmtId="164" fontId="28" fillId="0" borderId="0" xfId="0" applyNumberFormat="1" applyFont="1" applyAlignment="1">
      <alignment horizontal="left"/>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5" fillId="21" borderId="190" xfId="52" applyNumberFormat="1" applyFont="1" applyFill="1" applyBorder="1" applyAlignment="1">
      <alignment horizontal="center" vertical="center" wrapText="1"/>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75" fillId="21" borderId="229"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xf numFmtId="0" fontId="122" fillId="0" borderId="37" xfId="0" applyFont="1" applyFill="1" applyBorder="1" applyAlignment="1" applyProtection="1">
      <alignment horizontal="center" vertical="top" wrapText="1"/>
    </xf>
    <xf numFmtId="0" fontId="122" fillId="0" borderId="36" xfId="0" applyFont="1" applyFill="1" applyBorder="1" applyAlignment="1" applyProtection="1">
      <alignment vertical="top" wrapText="1"/>
    </xf>
    <xf numFmtId="0" fontId="122" fillId="0" borderId="36" xfId="0" applyFont="1" applyFill="1" applyBorder="1" applyAlignment="1" applyProtection="1">
      <alignment horizontal="center" vertical="top" wrapText="1"/>
    </xf>
    <xf numFmtId="0" fontId="122" fillId="0" borderId="50" xfId="0" applyFont="1" applyFill="1" applyBorder="1" applyAlignment="1" applyProtection="1">
      <alignment horizontal="center" vertical="top" wrapText="1"/>
    </xf>
  </cellXfs>
  <cellStyles count="174">
    <cellStyle name="???????????" xfId="92"/>
    <cellStyle name="????????????? ???????????" xfId="93"/>
    <cellStyle name="_TB_Calc_number" xfId="69"/>
    <cellStyle name="_TB_Calc_percent" xfId="70"/>
    <cellStyle name="_TB_def_number" xfId="71"/>
    <cellStyle name="_TB_def_percent" xfId="72"/>
    <cellStyle name="_TB_results1" xfId="89"/>
    <cellStyle name="_TB_subtitle2" xfId="73"/>
    <cellStyle name="_TB_textunprotect" xfId="90"/>
    <cellStyle name="_TB_years" xfId="91"/>
    <cellStyle name="20% - Accent1" xfId="1"/>
    <cellStyle name="20% - Accent2" xfId="2"/>
    <cellStyle name="20% - Accent3" xfId="3"/>
    <cellStyle name="20% - Accent4" xfId="4"/>
    <cellStyle name="20% - Accent5" xfId="5"/>
    <cellStyle name="20% - Accent6" xfId="6"/>
    <cellStyle name="20% - Акцент1 2" xfId="94"/>
    <cellStyle name="20% - Акцент2 2" xfId="95"/>
    <cellStyle name="20% - Акцент3 2" xfId="96"/>
    <cellStyle name="20% - Акцент4 2" xfId="97"/>
    <cellStyle name="20% - Акцент5 2" xfId="98"/>
    <cellStyle name="20% - Акцент6 2" xfId="99"/>
    <cellStyle name="40% - Accent1" xfId="7"/>
    <cellStyle name="40% - Accent2" xfId="8"/>
    <cellStyle name="40% - Accent3" xfId="9"/>
    <cellStyle name="40% - Accent4" xfId="10"/>
    <cellStyle name="40% - Accent5" xfId="11"/>
    <cellStyle name="40% - Accent6" xfId="12"/>
    <cellStyle name="40% - Акцент1 2" xfId="100"/>
    <cellStyle name="40% - Акцент2 2" xfId="101"/>
    <cellStyle name="40% - Акцент3 2" xfId="102"/>
    <cellStyle name="40% - Акцент4 2" xfId="103"/>
    <cellStyle name="40% - Акцент5 2" xfId="104"/>
    <cellStyle name="40% - Акцент6 2" xfId="105"/>
    <cellStyle name="60% - Accent1" xfId="13"/>
    <cellStyle name="60% - Accent2" xfId="14"/>
    <cellStyle name="60% - Accent3" xfId="15"/>
    <cellStyle name="60% - Accent4" xfId="16"/>
    <cellStyle name="60% - Accent5" xfId="17"/>
    <cellStyle name="60% - Accent6" xfId="18"/>
    <cellStyle name="60% - Акцент1 2" xfId="106"/>
    <cellStyle name="60% - Акцент2 2" xfId="107"/>
    <cellStyle name="60% - Акцент3 2" xfId="108"/>
    <cellStyle name="60% - Акцент4 2" xfId="109"/>
    <cellStyle name="60% - Акцент5 2" xfId="110"/>
    <cellStyle name="60% - Акцент6 2" xfId="111"/>
    <cellStyle name="Accent1" xfId="19"/>
    <cellStyle name="Accent2" xfId="20"/>
    <cellStyle name="Accent3" xfId="21"/>
    <cellStyle name="Accent4" xfId="22"/>
    <cellStyle name="Accent5" xfId="23"/>
    <cellStyle name="Accent6" xfId="24"/>
    <cellStyle name="Activity" xfId="173"/>
    <cellStyle name="Ãèïåðññûëêà" xfId="112"/>
    <cellStyle name="Bad" xfId="25"/>
    <cellStyle name="Calculation" xfId="26"/>
    <cellStyle name="Check Cell" xfId="27"/>
    <cellStyle name="Comma 2" xfId="82"/>
    <cellStyle name="Comma 2 2" xfId="68"/>
    <cellStyle name="Comma 2 3" xfId="85"/>
    <cellStyle name="Comma 3" xfId="87"/>
    <cellStyle name="Comma 4" xfId="113"/>
    <cellStyle name="Comma 5" xfId="114"/>
    <cellStyle name="Euro" xfId="28"/>
    <cellStyle name="Euro 2" xfId="115"/>
    <cellStyle name="Explanatory Text" xfId="29"/>
    <cellStyle name="Good" xfId="30"/>
    <cellStyle name="Heading 1" xfId="31"/>
    <cellStyle name="Heading 2" xfId="32"/>
    <cellStyle name="Heading 3" xfId="33"/>
    <cellStyle name="Heading 4" xfId="34"/>
    <cellStyle name="Hyperlink 2" xfId="74"/>
    <cellStyle name="Hyperlink 3" xfId="116"/>
    <cellStyle name="info" xfId="117"/>
    <cellStyle name="Input" xfId="35"/>
    <cellStyle name="Îòêðûâàâøàÿñÿ ãèïåðññûëêà" xfId="118"/>
    <cellStyle name="Linked Cell" xfId="36"/>
    <cellStyle name="ListData" xfId="119"/>
    <cellStyle name="Millares 2" xfId="37"/>
    <cellStyle name="Normal 10" xfId="120"/>
    <cellStyle name="Normal 11" xfId="121"/>
    <cellStyle name="Normal 12" xfId="172"/>
    <cellStyle name="Normal 2" xfId="38"/>
    <cellStyle name="Normal 2 2" xfId="39"/>
    <cellStyle name="Normal 2 2 2" xfId="84"/>
    <cellStyle name="Normal 2 3" xfId="40"/>
    <cellStyle name="Normal 2 4" xfId="41"/>
    <cellStyle name="Normal 2 5" xfId="42"/>
    <cellStyle name="Normal 2 6" xfId="43"/>
    <cellStyle name="Normal 2 7" xfId="44"/>
    <cellStyle name="Normal 2 8" xfId="45"/>
    <cellStyle name="Normal 2 9" xfId="65"/>
    <cellStyle name="Normal 2_Dashboard ver 2.2 ES" xfId="46"/>
    <cellStyle name="Normal 2_Prototipo" xfId="47"/>
    <cellStyle name="Normal 3" xfId="48"/>
    <cellStyle name="Normal 3 2" xfId="75"/>
    <cellStyle name="Normal 4" xfId="49"/>
    <cellStyle name="Normal 4 2" xfId="76"/>
    <cellStyle name="Normal 5" xfId="50"/>
    <cellStyle name="Normal 5 2" xfId="78"/>
    <cellStyle name="Normal 5 3" xfId="77"/>
    <cellStyle name="Normal 6" xfId="51"/>
    <cellStyle name="Normal 6 2" xfId="79"/>
    <cellStyle name="Normal 7" xfId="64"/>
    <cellStyle name="Normal 7 2" xfId="122"/>
    <cellStyle name="Normal 8" xfId="123"/>
    <cellStyle name="Normal 8 2" xfId="124"/>
    <cellStyle name="Normal 9" xfId="125"/>
    <cellStyle name="Normal_TZ_R3HIV_Phase_2_21_August_08" xfId="52"/>
    <cellStyle name="Note" xfId="53"/>
    <cellStyle name="Output" xfId="54"/>
    <cellStyle name="Percent 2" xfId="66"/>
    <cellStyle name="Percent 3" xfId="67"/>
    <cellStyle name="Percent 4" xfId="88"/>
    <cellStyle name="Percent 5" xfId="126"/>
    <cellStyle name="Percent 6" xfId="127"/>
    <cellStyle name="Percent 7" xfId="128"/>
    <cellStyle name="Percent 8" xfId="129"/>
    <cellStyle name="SheetHeader" xfId="130"/>
    <cellStyle name="TableHeader" xfId="131"/>
    <cellStyle name="Title" xfId="55"/>
    <cellStyle name="Título 3 3" xfId="56"/>
    <cellStyle name="Título 3 3_Prototipo" xfId="57"/>
    <cellStyle name="Título 3 3_PrototipoRep1" xfId="58"/>
    <cellStyle name="Título 3 7" xfId="59"/>
    <cellStyle name="Warning Text" xfId="60"/>
    <cellStyle name="Акцент1 2" xfId="132"/>
    <cellStyle name="Акцент2 2" xfId="133"/>
    <cellStyle name="Акцент3 2" xfId="134"/>
    <cellStyle name="Акцент4 2" xfId="135"/>
    <cellStyle name="Акцент5 2" xfId="136"/>
    <cellStyle name="Акцент6 2" xfId="137"/>
    <cellStyle name="Ввод  2" xfId="138"/>
    <cellStyle name="Вывод 2" xfId="139"/>
    <cellStyle name="Вычисление 2" xfId="140"/>
    <cellStyle name="Гиперссылка 2" xfId="141"/>
    <cellStyle name="Гиперссылка 3" xfId="142"/>
    <cellStyle name="Заголовок 1 2" xfId="143"/>
    <cellStyle name="Заголовок 2 2" xfId="144"/>
    <cellStyle name="Заголовок 3 2" xfId="145"/>
    <cellStyle name="Заголовок 4 2" xfId="146"/>
    <cellStyle name="Итог 2" xfId="147"/>
    <cellStyle name="Контрольная ячейка 2" xfId="148"/>
    <cellStyle name="Название 2" xfId="149"/>
    <cellStyle name="Нейтральный 2" xfId="150"/>
    <cellStyle name="Обычный" xfId="0" builtinId="0"/>
    <cellStyle name="Обычный 2" xfId="80"/>
    <cellStyle name="Обычный 2 2" xfId="151"/>
    <cellStyle name="Обычный 2 3" xfId="152"/>
    <cellStyle name="Обычный 3" xfId="81"/>
    <cellStyle name="Обычный 4" xfId="153"/>
    <cellStyle name="Обычный 4 2" xfId="154"/>
    <cellStyle name="Обычный 4_KGZ Rnd 7 budget HIV" xfId="155"/>
    <cellStyle name="Обычный 5" xfId="156"/>
    <cellStyle name="Обычный 6" xfId="157"/>
    <cellStyle name="Обычный 7" xfId="63"/>
    <cellStyle name="Плохой 2" xfId="158"/>
    <cellStyle name="Пояснение 2" xfId="159"/>
    <cellStyle name="Примечание 2" xfId="160"/>
    <cellStyle name="Процентный" xfId="61" builtinId="5"/>
    <cellStyle name="Процентный 2" xfId="161"/>
    <cellStyle name="Процентный 3" xfId="83"/>
    <cellStyle name="Связанная ячейка 2" xfId="162"/>
    <cellStyle name="Текст предупреждения 2" xfId="163"/>
    <cellStyle name="Финансовый" xfId="62" builtinId="3"/>
    <cellStyle name="Финансовый 2" xfId="164"/>
    <cellStyle name="Финансовый 2 2" xfId="165"/>
    <cellStyle name="Финансовый 3" xfId="166"/>
    <cellStyle name="Финансовый 4" xfId="167"/>
    <cellStyle name="Финансовый 5" xfId="168"/>
    <cellStyle name="Финансовый 6" xfId="169"/>
    <cellStyle name="Финансовый 7" xfId="86"/>
    <cellStyle name="Хороший 2" xfId="171"/>
    <cellStyle name="Хороший 3" xfId="170"/>
  </cellStyles>
  <dxfs count="8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9"/>
                <c:pt idx="0">
                  <c:v>7763873.9000000004</c:v>
                </c:pt>
                <c:pt idx="1">
                  <c:v>12361316.41</c:v>
                </c:pt>
                <c:pt idx="2">
                  <c:v>0</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9"/>
                <c:pt idx="0">
                  <c:v>9283289</c:v>
                </c:pt>
                <c:pt idx="1">
                  <c:v>12361316.41</c:v>
                </c:pt>
                <c:pt idx="2">
                  <c:v>0</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данных'!$B$39:$B$55</c:f>
              <c:numCache>
                <c:formatCode>#,##0</c:formatCode>
                <c:ptCount val="17"/>
                <c:pt idx="0">
                  <c:v>43968.75</c:v>
                </c:pt>
                <c:pt idx="1">
                  <c:v>325214.09999999998</c:v>
                </c:pt>
                <c:pt idx="2">
                  <c:v>0</c:v>
                </c:pt>
                <c:pt idx="3">
                  <c:v>966</c:v>
                </c:pt>
                <c:pt idx="4">
                  <c:v>606868.87</c:v>
                </c:pt>
                <c:pt idx="5">
                  <c:v>0</c:v>
                </c:pt>
                <c:pt idx="6">
                  <c:v>2115069.0099999998</c:v>
                </c:pt>
                <c:pt idx="7">
                  <c:v>10973.43</c:v>
                </c:pt>
                <c:pt idx="8">
                  <c:v>30173.84</c:v>
                </c:pt>
                <c:pt idx="9">
                  <c:v>1100787.98</c:v>
                </c:pt>
                <c:pt idx="10">
                  <c:v>10327.94</c:v>
                </c:pt>
                <c:pt idx="11">
                  <c:v>71405.25</c:v>
                </c:pt>
                <c:pt idx="12">
                  <c:v>281687.34999999998</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данных'!$C$39:$C$55</c:f>
              <c:numCache>
                <c:formatCode>#,##0</c:formatCode>
                <c:ptCount val="17"/>
                <c:pt idx="0">
                  <c:v>44269.86</c:v>
                </c:pt>
                <c:pt idx="1">
                  <c:v>469724.83</c:v>
                </c:pt>
                <c:pt idx="2">
                  <c:v>678.93</c:v>
                </c:pt>
                <c:pt idx="3">
                  <c:v>15884.08</c:v>
                </c:pt>
                <c:pt idx="4">
                  <c:v>443704.78</c:v>
                </c:pt>
                <c:pt idx="5">
                  <c:v>0</c:v>
                </c:pt>
                <c:pt idx="6">
                  <c:v>2075635.84</c:v>
                </c:pt>
                <c:pt idx="7">
                  <c:v>16892.22</c:v>
                </c:pt>
                <c:pt idx="8">
                  <c:v>21790.13</c:v>
                </c:pt>
                <c:pt idx="9">
                  <c:v>839762.55</c:v>
                </c:pt>
                <c:pt idx="10">
                  <c:v>34770.19</c:v>
                </c:pt>
                <c:pt idx="11">
                  <c:v>85111.11</c:v>
                </c:pt>
                <c:pt idx="12">
                  <c:v>125964.92</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9283289</c:v>
                </c:pt>
                <c:pt idx="1">
                  <c:v>5559757</c:v>
                </c:pt>
                <c:pt idx="2">
                  <c:v>1045893</c:v>
                </c:pt>
                <c:pt idx="3">
                  <c:v>997821</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3078027</c:v>
                </c:pt>
                <c:pt idx="1">
                  <c:v>7370949</c:v>
                </c:pt>
                <c:pt idx="2">
                  <c:v>967750</c:v>
                </c:pt>
                <c:pt idx="3">
                  <c:v>776059</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138828668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данных'!$C$102:$C$106</c:f>
              <c:numCache>
                <c:formatCode>0</c:formatCode>
                <c:ptCount val="5"/>
                <c:pt idx="0" formatCode="General">
                  <c:v>0</c:v>
                </c:pt>
                <c:pt idx="1">
                  <c:v>0</c:v>
                </c:pt>
                <c:pt idx="2">
                  <c:v>28</c:v>
                </c:pt>
                <c:pt idx="4">
                  <c:v>11</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данных'!$D$102:$D$106</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данных'!$A$90</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данных'!$B$90:$D$90</c:f>
              <c:numCache>
                <c:formatCode>0</c:formatCode>
                <c:ptCount val="3"/>
                <c:pt idx="0">
                  <c:v>4</c:v>
                </c:pt>
                <c:pt idx="1">
                  <c:v>4</c:v>
                </c:pt>
                <c:pt idx="2" formatCode="General">
                  <c:v>0</c:v>
                </c:pt>
              </c:numCache>
            </c:numRef>
          </c:val>
          <c:extLst>
            <c:ext xmlns:c16="http://schemas.microsoft.com/office/drawing/2014/chart" uri="{C3380CC4-5D6E-409C-BE32-E72D297353CC}">
              <c16:uniqueId val="{00000000-274B-4005-864A-0DDDFC5C7C10}"/>
            </c:ext>
          </c:extLst>
        </c:ser>
        <c:ser>
          <c:idx val="0"/>
          <c:order val="1"/>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данных'!$B$91:$D$91</c:f>
              <c:numCache>
                <c:formatCode>General</c:formatCode>
                <c:ptCount val="3"/>
                <c:pt idx="0">
                  <c:v>2</c:v>
                </c:pt>
                <c:pt idx="1">
                  <c:v>2</c:v>
                </c:pt>
                <c:pt idx="2" formatCode="0">
                  <c:v>0</c:v>
                </c:pt>
              </c:numCache>
            </c:numRef>
          </c:val>
          <c:extLst>
            <c:ext xmlns:c16="http://schemas.microsoft.com/office/drawing/2014/chart" uri="{C3380CC4-5D6E-409C-BE32-E72D297353CC}">
              <c16:uniqueId val="{00000001-6F9B-4B25-914D-D5664FA4C833}"/>
            </c:ext>
          </c:extLst>
        </c:ser>
        <c:ser>
          <c:idx val="2"/>
          <c:order val="2"/>
          <c:tx>
            <c:strRef>
              <c:f>'Ввод данных'!$A$92</c:f>
              <c:strCache>
                <c:ptCount val="1"/>
                <c:pt idx="0">
                  <c:v>General (both components)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данных'!$B$92:$D$92</c:f>
              <c:numCache>
                <c:formatCode>General</c:formatCode>
                <c:ptCount val="3"/>
                <c:pt idx="0">
                  <c:v>16</c:v>
                </c:pt>
                <c:pt idx="1">
                  <c:v>16</c:v>
                </c:pt>
                <c:pt idx="2">
                  <c:v>0</c:v>
                </c:pt>
              </c:numCache>
            </c:numRef>
          </c:val>
          <c:extLst>
            <c:ext xmlns:c16="http://schemas.microsoft.com/office/drawing/2014/chart" uri="{C3380CC4-5D6E-409C-BE32-E72D297353CC}">
              <c16:uniqueId val="{00000002-6F9B-4B25-914D-D5664FA4C833}"/>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3"/>
                <c:pt idx="0">
                  <c:v>Определеные</c:v>
                </c:pt>
                <c:pt idx="1">
                  <c:v>Прошедшие оценку</c:v>
                </c:pt>
                <c:pt idx="2">
                  <c:v>Одобренные</c:v>
                </c:pt>
              </c:strCache>
            </c:strRef>
          </c:cat>
          <c:val>
            <c:numRef>
              <c:f>'Ввод данных'!$B$97:$F$97</c:f>
              <c:numCache>
                <c:formatCode>General</c:formatCode>
                <c:ptCount val="3"/>
                <c:pt idx="0">
                  <c:v>22</c:v>
                </c:pt>
                <c:pt idx="1">
                  <c:v>22</c:v>
                </c:pt>
                <c:pt idx="2">
                  <c:v>22</c:v>
                </c:pt>
              </c:numCache>
            </c:numRef>
          </c:val>
          <c:extLst>
            <c:ext xmlns:c16="http://schemas.microsoft.com/office/drawing/2014/chart" uri="{C3380CC4-5D6E-409C-BE32-E72D297353CC}">
              <c16:uniqueId val="{00000000-3C2F-4B91-B11C-0BA014ED291D}"/>
            </c:ext>
          </c:extLst>
        </c:ser>
        <c:ser>
          <c:idx val="1"/>
          <c:order val="1"/>
          <c:tx>
            <c:strRef>
              <c:f>'Ввод данных'!$A$92</c:f>
              <c:strCache>
                <c:ptCount val="1"/>
                <c:pt idx="0">
                  <c:v>General (both components)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3"/>
                <c:pt idx="0">
                  <c:v>Определеные</c:v>
                </c:pt>
                <c:pt idx="1">
                  <c:v>Прошедшие оценку</c:v>
                </c:pt>
                <c:pt idx="2">
                  <c:v>Одобренные</c:v>
                </c:pt>
              </c:strCache>
            </c:strRef>
          </c:cat>
          <c:val>
            <c:numRef>
              <c:f>'Ввод данных'!$B$98:$F$98</c:f>
              <c:numCache>
                <c:formatCode>General</c:formatCode>
                <c:ptCount val="3"/>
                <c:pt idx="0">
                  <c:v>3</c:v>
                </c:pt>
                <c:pt idx="1">
                  <c:v>11</c:v>
                </c:pt>
                <c:pt idx="2">
                  <c:v>11</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данных'!$A$114</c:f>
              <c:strCache>
                <c:ptCount val="1"/>
                <c:pt idx="0">
                  <c:v>Совокупный утвердженный бюджет*</c:v>
                </c:pt>
              </c:strCache>
            </c:strRef>
          </c:tx>
          <c:spPr>
            <a:solidFill>
              <a:schemeClr val="accent1"/>
            </a:solidFill>
            <a:ln>
              <a:noFill/>
            </a:ln>
            <a:effectLst/>
          </c:spPr>
          <c:invertIfNegative val="0"/>
          <c:cat>
            <c:strRef>
              <c:f>'Ввод данных'!$B$110:$F$110</c:f>
              <c:strCache>
                <c:ptCount val="3"/>
                <c:pt idx="0">
                  <c:v>P1</c:v>
                </c:pt>
                <c:pt idx="1">
                  <c:v>P2</c:v>
                </c:pt>
                <c:pt idx="2">
                  <c:v>P3</c:v>
                </c:pt>
              </c:strCache>
            </c:strRef>
          </c:cat>
          <c:val>
            <c:numRef>
              <c:f>'Ввод данных'!$B$114:$F$114</c:f>
              <c:numCache>
                <c:formatCode>#,##0</c:formatCode>
                <c:ptCount val="3"/>
                <c:pt idx="0">
                  <c:v>4455859.42</c:v>
                </c:pt>
                <c:pt idx="1">
                  <c:v>6568805.29</c:v>
                </c:pt>
              </c:numCache>
            </c:numRef>
          </c:val>
          <c:extLst>
            <c:ext xmlns:c16="http://schemas.microsoft.com/office/drawing/2014/chart" uri="{C3380CC4-5D6E-409C-BE32-E72D297353CC}">
              <c16:uniqueId val="{00000000-D5DF-4B11-9CD6-1C5401548576}"/>
            </c:ext>
          </c:extLst>
        </c:ser>
        <c:ser>
          <c:idx val="1"/>
          <c:order val="1"/>
          <c:tx>
            <c:strRef>
              <c:f>'Ввод данных'!$A$115</c:f>
              <c:strCache>
                <c:ptCount val="1"/>
                <c:pt idx="0">
                  <c:v>Общий объем финансовых обязательств</c:v>
                </c:pt>
              </c:strCache>
            </c:strRef>
          </c:tx>
          <c:spPr>
            <a:solidFill>
              <a:schemeClr val="accent2"/>
            </a:solidFill>
            <a:ln>
              <a:noFill/>
            </a:ln>
            <a:effectLst/>
          </c:spPr>
          <c:invertIfNegative val="0"/>
          <c:cat>
            <c:strRef>
              <c:f>'Ввод данных'!$B$110:$F$110</c:f>
              <c:strCache>
                <c:ptCount val="3"/>
                <c:pt idx="0">
                  <c:v>P1</c:v>
                </c:pt>
                <c:pt idx="1">
                  <c:v>P2</c:v>
                </c:pt>
                <c:pt idx="2">
                  <c:v>P3</c:v>
                </c:pt>
              </c:strCache>
            </c:strRef>
          </c:cat>
          <c:val>
            <c:numRef>
              <c:f>'Ввод данных'!$B$115:$F$115</c:f>
              <c:numCache>
                <c:formatCode>#,##0</c:formatCode>
                <c:ptCount val="3"/>
                <c:pt idx="0">
                  <c:v>2863012.59</c:v>
                </c:pt>
                <c:pt idx="1">
                  <c:v>3484983.39</c:v>
                </c:pt>
              </c:numCache>
            </c:numRef>
          </c:val>
          <c:extLst>
            <c:ext xmlns:c16="http://schemas.microsoft.com/office/drawing/2014/chart" uri="{C3380CC4-5D6E-409C-BE32-E72D297353CC}">
              <c16:uniqueId val="{00000001-D5DF-4B11-9CD6-1C5401548576}"/>
            </c:ext>
          </c:extLst>
        </c:ser>
        <c:ser>
          <c:idx val="2"/>
          <c:order val="2"/>
          <c:tx>
            <c:strRef>
              <c:f>'Ввод данных'!$A$116</c:f>
              <c:strCache>
                <c:ptCount val="1"/>
                <c:pt idx="0">
                  <c:v>Общий объем расходов</c:v>
                </c:pt>
              </c:strCache>
            </c:strRef>
          </c:tx>
          <c:spPr>
            <a:solidFill>
              <a:schemeClr val="accent3"/>
            </a:solidFill>
            <a:ln>
              <a:noFill/>
            </a:ln>
            <a:effectLst/>
          </c:spPr>
          <c:invertIfNegative val="0"/>
          <c:cat>
            <c:strRef>
              <c:f>'Ввод данных'!$B$110:$F$110</c:f>
              <c:strCache>
                <c:ptCount val="3"/>
                <c:pt idx="0">
                  <c:v>P1</c:v>
                </c:pt>
                <c:pt idx="1">
                  <c:v>P2</c:v>
                </c:pt>
                <c:pt idx="2">
                  <c:v>P3</c:v>
                </c:pt>
              </c:strCache>
            </c:strRef>
          </c:cat>
          <c:val>
            <c:numRef>
              <c:f>'Ввод данных'!$B$116:$F$116</c:f>
              <c:numCache>
                <c:formatCode>#,##0</c:formatCode>
                <c:ptCount val="3"/>
                <c:pt idx="0">
                  <c:v>1337830.7</c:v>
                </c:pt>
                <c:pt idx="1">
                  <c:v>3713496.08</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31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данных'!$F$168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данных'!$G$168:$H$168</c:f>
              <c:numCache>
                <c:formatCode>#,##0</c:formatCode>
                <c:ptCount val="1"/>
                <c:pt idx="0">
                  <c:v>16875</c:v>
                </c:pt>
              </c:numCache>
            </c:numRef>
          </c:val>
          <c:extLst>
            <c:ext xmlns:c16="http://schemas.microsoft.com/office/drawing/2014/chart" uri="{C3380CC4-5D6E-409C-BE32-E72D297353CC}">
              <c16:uniqueId val="{00000000-F4FA-4784-8E5F-61D375F426FC}"/>
            </c:ext>
          </c:extLst>
        </c:ser>
        <c:ser>
          <c:idx val="1"/>
          <c:order val="1"/>
          <c:tx>
            <c:strRef>
              <c:f>'Ввод данных'!$F$169</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данных'!$G$169:$H$169</c:f>
              <c:numCache>
                <c:formatCode>#,##0</c:formatCode>
                <c:ptCount val="1"/>
                <c:pt idx="0">
                  <c:v>15835</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получающих в настоящее время антиретровирусную терапию, от оценочного числа всех взрослых и детей, живущих с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strRef>
              <c:f>'Ввод данных'!$F$170</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данных'!$G$170:$H$170</c:f>
              <c:numCache>
                <c:formatCode>#,##0</c:formatCode>
                <c:ptCount val="1"/>
                <c:pt idx="0">
                  <c:v>5123</c:v>
                </c:pt>
              </c:numCache>
            </c:numRef>
          </c:val>
          <c:extLst>
            <c:ext xmlns:c16="http://schemas.microsoft.com/office/drawing/2014/chart" uri="{C3380CC4-5D6E-409C-BE32-E72D297353CC}">
              <c16:uniqueId val="{00000000-5B30-4091-B18A-6AC4751D1127}"/>
            </c:ext>
          </c:extLst>
        </c:ser>
        <c:ser>
          <c:idx val="2"/>
          <c:order val="1"/>
          <c:tx>
            <c:strRef>
              <c:f>'Ввод данных'!$F$171</c:f>
              <c:strCache>
                <c:ptCount val="1"/>
                <c:pt idx="0">
                  <c:v>Достигнуто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данных'!$G$171:$H$171</c:f>
              <c:numCache>
                <c:formatCode>#,##0</c:formatCode>
                <c:ptCount val="1"/>
                <c:pt idx="0">
                  <c:v>3762</c:v>
                </c:pt>
              </c:numCache>
            </c:numRef>
          </c:val>
          <c:extLst>
            <c:ext xmlns:c16="http://schemas.microsoft.com/office/drawing/2014/chart" uri="{C3380CC4-5D6E-409C-BE32-E72D297353CC}">
              <c16:uniqueId val="{00000001-5B30-4091-B18A-6AC4751D1127}"/>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ЛЖВ, получающих АРТ и достигших неопределяемую вирусную нагрузку (т.е. ≤1000 копий)</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данных'!$F$172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данных'!$G$172:$H$172</c:f>
              <c:numCache>
                <c:formatCode>#,##0</c:formatCode>
                <c:ptCount val="1"/>
              </c:numCache>
            </c:numRef>
          </c:val>
          <c:extLst>
            <c:ext xmlns:c16="http://schemas.microsoft.com/office/drawing/2014/chart" uri="{C3380CC4-5D6E-409C-BE32-E72D297353CC}">
              <c16:uniqueId val="{00000000-8E36-4759-95E6-C1FD3F67DC3B}"/>
            </c:ext>
          </c:extLst>
        </c:ser>
        <c:ser>
          <c:idx val="1"/>
          <c:order val="1"/>
          <c:tx>
            <c:strRef>
              <c:f>'Ввод данных'!$F$173</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данных'!$G$167:$H$167</c:f>
              <c:strCache>
                <c:ptCount val="1"/>
                <c:pt idx="0">
                  <c:v>P2</c:v>
                </c:pt>
              </c:strCache>
            </c:strRef>
          </c:cat>
          <c:val>
            <c:numRef>
              <c:f>'Ввод данных'!$G$173:$H$173</c:f>
              <c:numCache>
                <c:formatCode>#,##0</c:formatCode>
                <c:ptCount val="1"/>
              </c:numCache>
            </c:numRef>
          </c:val>
          <c:extLst>
            <c:ext xmlns:c16="http://schemas.microsoft.com/office/drawing/2014/chart" uri="{C3380CC4-5D6E-409C-BE32-E72D297353CC}">
              <c16:uniqueId val="{00000001-130A-4129-A48F-ACABB2AA91FF}"/>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2736"/>
        <c:crosses val="autoZero"/>
        <c:auto val="1"/>
        <c:lblAlgn val="ctr"/>
        <c:lblOffset val="100"/>
        <c:noMultiLvlLbl val="0"/>
      </c:catAx>
      <c:valAx>
        <c:axId val="1511062736"/>
        <c:scaling>
          <c:orientation val="minMax"/>
        </c:scaling>
        <c:delete val="1"/>
        <c:axPos val="l"/>
        <c:numFmt formatCode="#,##0" sourceLinked="1"/>
        <c:majorTickMark val="none"/>
        <c:minorTickMark val="none"/>
        <c:tickLblPos val="nextTo"/>
        <c:crossAx val="1511065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TCP-1: </a:t>
            </a:r>
            <a:r>
              <a:rPr lang="ru-RU" sz="1000" b="0" i="0" u="none" strike="noStrike" baseline="0">
                <a:effectLst/>
              </a:rPr>
              <a:t>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a:t>
            </a:r>
            <a:r>
              <a:rPr lang="ru-RU" sz="1000" b="0" i="0" u="none" strike="noStrike" baseline="0"/>
              <a:t>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данных'!$G$207:$H$207</c:f>
              <c:numCache>
                <c:formatCode>#,##0</c:formatCode>
                <c:ptCount val="1"/>
                <c:pt idx="0">
                  <c:v>3475</c:v>
                </c:pt>
              </c:numCache>
            </c:numRef>
          </c:val>
          <c:extLst>
            <c:ext xmlns:c16="http://schemas.microsoft.com/office/drawing/2014/chart" uri="{C3380CC4-5D6E-409C-BE32-E72D297353CC}">
              <c16:uniqueId val="{00000000-3B9B-49FD-BF6F-70EC39C3254D}"/>
            </c:ext>
          </c:extLst>
        </c:ser>
        <c:ser>
          <c:idx val="1"/>
          <c:order val="1"/>
          <c:tx>
            <c:strRef>
              <c:f>'Ввод данных'!$F$208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данных'!$G$208:$H$208</c:f>
              <c:numCache>
                <c:formatCode>#,##0</c:formatCode>
                <c:ptCount val="1"/>
                <c:pt idx="0">
                  <c:v>3023</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TB-2: </a:t>
            </a:r>
            <a:r>
              <a:rPr lang="ru-RU" sz="1000" b="0" i="0" u="none" strike="noStrike" baseline="0">
                <a:effectLst/>
              </a:rPr>
              <a:t>Количество бактериологически подтвержденных зарегистрированных ЛУ-ТБ случаев (РУ-ТБ и/или МЛУ-ТБ)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данных'!$F$209</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данных'!$G$209:$H$209</c:f>
              <c:numCache>
                <c:formatCode>#,##0</c:formatCode>
                <c:ptCount val="1"/>
                <c:pt idx="0">
                  <c:v>720</c:v>
                </c:pt>
              </c:numCache>
            </c:numRef>
          </c:val>
          <c:extLst>
            <c:ext xmlns:c16="http://schemas.microsoft.com/office/drawing/2014/chart" uri="{C3380CC4-5D6E-409C-BE32-E72D297353CC}">
              <c16:uniqueId val="{00000000-0FA3-483E-9E00-1641FC511067}"/>
            </c:ext>
          </c:extLst>
        </c:ser>
        <c:ser>
          <c:idx val="1"/>
          <c:order val="1"/>
          <c:tx>
            <c:strRef>
              <c:f>'Ввод данных'!$F$210</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данных'!$G$210:$H$210</c:f>
              <c:numCache>
                <c:formatCode>#,##0</c:formatCode>
                <c:ptCount val="1"/>
                <c:pt idx="0">
                  <c:v>709</c:v>
                </c:pt>
              </c:numCache>
            </c:numRef>
          </c:val>
          <c:extLst>
            <c:ext xmlns:c16="http://schemas.microsoft.com/office/drawing/2014/chart" uri="{C3380CC4-5D6E-409C-BE32-E72D297353CC}">
              <c16:uniqueId val="{00000000-6FEB-490A-9FBE-7AF32BF3D081}"/>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ru-RU" sz="1000" b="0" i="0" u="none" strike="noStrike" baseline="0">
                <a:effectLst/>
              </a:rPr>
              <a:t>Количество случаев с РУ/МЛУ ТБ, начавших лечение препаратами второго ряда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данных'!$F$211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данных'!$G$211:$H$211</c:f>
              <c:numCache>
                <c:formatCode>#,##0</c:formatCode>
                <c:ptCount val="1"/>
                <c:pt idx="0">
                  <c:v>720</c:v>
                </c:pt>
              </c:numCache>
            </c:numRef>
          </c:val>
          <c:extLst>
            <c:ext xmlns:c16="http://schemas.microsoft.com/office/drawing/2014/chart" uri="{C3380CC4-5D6E-409C-BE32-E72D297353CC}">
              <c16:uniqueId val="{00000000-C5F8-4F29-8519-CACFFDA40A9D}"/>
            </c:ext>
          </c:extLst>
        </c:ser>
        <c:ser>
          <c:idx val="1"/>
          <c:order val="1"/>
          <c:tx>
            <c:strRef>
              <c:f>'Ввод данных'!$F$212</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данных'!$G$206:$H$206</c:f>
              <c:strCache>
                <c:ptCount val="1"/>
                <c:pt idx="0">
                  <c:v>Р2</c:v>
                </c:pt>
              </c:strCache>
            </c:strRef>
          </c:cat>
          <c:val>
            <c:numRef>
              <c:f>'Ввод данных'!$G$212:$H$212</c:f>
              <c:numCache>
                <c:formatCode>#,##0</c:formatCode>
                <c:ptCount val="1"/>
                <c:pt idx="0">
                  <c:v>674</c:v>
                </c:pt>
              </c:numCache>
            </c:numRef>
          </c:val>
          <c:extLst>
            <c:ext xmlns:c16="http://schemas.microsoft.com/office/drawing/2014/chart" uri="{C3380CC4-5D6E-409C-BE32-E72D297353CC}">
              <c16:uniqueId val="{00000000-5E67-423E-AF7A-3C6CCD39638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8"/>
                <c:pt idx="0">
                  <c:v>P1</c:v>
                </c:pt>
                <c:pt idx="1">
                  <c:v>P2</c:v>
                </c:pt>
                <c:pt idx="2">
                  <c:v>P3</c:v>
                </c:pt>
                <c:pt idx="3">
                  <c:v>P7</c:v>
                </c:pt>
                <c:pt idx="4">
                  <c:v>P8</c:v>
                </c:pt>
                <c:pt idx="5">
                  <c:v>P9</c:v>
                </c:pt>
                <c:pt idx="6">
                  <c:v>P10</c:v>
                </c:pt>
                <c:pt idx="7">
                  <c:v>P11</c:v>
                </c:pt>
              </c:strCache>
            </c:strRef>
          </c:cat>
          <c:val>
            <c:numRef>
              <c:f>'Ввод данных'!$B$33:$L$33</c:f>
              <c:numCache>
                <c:formatCode>#,##0</c:formatCode>
                <c:ptCount val="8"/>
                <c:pt idx="0">
                  <c:v>7763873.9000000004</c:v>
                </c:pt>
                <c:pt idx="1">
                  <c:v>12361316.41</c:v>
                </c:pt>
                <c:pt idx="2">
                  <c:v>0</c:v>
                </c:pt>
              </c:numCache>
            </c:numRef>
          </c:val>
          <c:extLs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8"/>
                <c:pt idx="0">
                  <c:v>P1</c:v>
                </c:pt>
                <c:pt idx="1">
                  <c:v>P2</c:v>
                </c:pt>
                <c:pt idx="2">
                  <c:v>P3</c:v>
                </c:pt>
                <c:pt idx="3">
                  <c:v>P7</c:v>
                </c:pt>
                <c:pt idx="4">
                  <c:v>P8</c:v>
                </c:pt>
                <c:pt idx="5">
                  <c:v>P9</c:v>
                </c:pt>
                <c:pt idx="6">
                  <c:v>P10</c:v>
                </c:pt>
                <c:pt idx="7">
                  <c:v>P11</c:v>
                </c:pt>
              </c:strCache>
            </c:strRef>
          </c:cat>
          <c:val>
            <c:numRef>
              <c:f>'Ввод данных'!$B$34:$L$34</c:f>
              <c:numCache>
                <c:formatCode>#,##0</c:formatCode>
                <c:ptCount val="8"/>
                <c:pt idx="0">
                  <c:v>9283289</c:v>
                </c:pt>
                <c:pt idx="1">
                  <c:v>12361316.41</c:v>
                </c:pt>
                <c:pt idx="2">
                  <c:v>0</c:v>
                </c:pt>
              </c:numCache>
            </c:numRef>
          </c:val>
          <c:extLs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1512269664"/>
        <c:axId val="1512270208"/>
      </c:areaChart>
      <c:catAx>
        <c:axId val="15122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512270208"/>
        <c:crosses val="autoZero"/>
        <c:auto val="1"/>
        <c:lblAlgn val="ctr"/>
        <c:lblOffset val="100"/>
        <c:tickLblSkip val="8"/>
        <c:tickMarkSkip val="1"/>
        <c:noMultiLvlLbl val="0"/>
      </c:catAx>
      <c:valAx>
        <c:axId val="15122702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512269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1052;&#1077;&#1085;&#1102;!A1"/><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260725" y="2398713"/>
          <a:ext cx="1285875" cy="409575"/>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260725" y="3465513"/>
          <a:ext cx="1314450" cy="371475"/>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251200" y="2932113"/>
          <a:ext cx="1314450" cy="390525"/>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708650" y="2579688"/>
          <a:ext cx="1501775" cy="409575"/>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27025" y="1903413"/>
          <a:ext cx="2143125" cy="2124075"/>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699125" y="3208338"/>
          <a:ext cx="1501775" cy="409575"/>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593725" y="3475038"/>
          <a:ext cx="1504950" cy="342900"/>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593725" y="2417763"/>
          <a:ext cx="1504950" cy="371475"/>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593725" y="2951163"/>
          <a:ext cx="1504950" cy="371475"/>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139211</xdr:colOff>
      <xdr:row>33</xdr:row>
      <xdr:rowOff>21981</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776177" y="4362451"/>
          <a:ext cx="3396273" cy="162658"/>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30</xdr:row>
      <xdr:rowOff>9525</xdr:rowOff>
    </xdr:from>
    <xdr:to>
      <xdr:col>5</xdr:col>
      <xdr:colOff>1085850</xdr:colOff>
      <xdr:row>38</xdr:row>
      <xdr:rowOff>114300</xdr:rowOff>
    </xdr:to>
    <xdr:graphicFrame macro="">
      <xdr:nvGraphicFramePr>
        <xdr:cNvPr id="8" name="Диаграмма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212910</xdr:colOff>
      <xdr:row>9</xdr:row>
      <xdr:rowOff>0</xdr:rowOff>
    </xdr:from>
    <xdr:to>
      <xdr:col>4</xdr:col>
      <xdr:colOff>952499</xdr:colOff>
      <xdr:row>19</xdr:row>
      <xdr:rowOff>69971</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5044</xdr:colOff>
      <xdr:row>8</xdr:row>
      <xdr:rowOff>1083650</xdr:rowOff>
    </xdr:from>
    <xdr:to>
      <xdr:col>11</xdr:col>
      <xdr:colOff>0</xdr:colOff>
      <xdr:row>19</xdr:row>
      <xdr:rowOff>67771</xdr:rowOff>
    </xdr:to>
    <xdr:graphicFrame macro="">
      <xdr:nvGraphicFramePr>
        <xdr:cNvPr id="12" name="Диаграмма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1682</xdr:rowOff>
    </xdr:from>
    <xdr:to>
      <xdr:col>17</xdr:col>
      <xdr:colOff>0</xdr:colOff>
      <xdr:row>19</xdr:row>
      <xdr:rowOff>50362</xdr:rowOff>
    </xdr:to>
    <xdr:graphicFrame macro="">
      <xdr:nvGraphicFramePr>
        <xdr:cNvPr id="13" name="Диаграмма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37</xdr:row>
      <xdr:rowOff>9525</xdr:rowOff>
    </xdr:from>
    <xdr:to>
      <xdr:col>5</xdr:col>
      <xdr:colOff>28575</xdr:colOff>
      <xdr:row>47</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36</xdr:row>
      <xdr:rowOff>628650</xdr:rowOff>
    </xdr:from>
    <xdr:to>
      <xdr:col>10</xdr:col>
      <xdr:colOff>1428750</xdr:colOff>
      <xdr:row>47</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1437554</xdr:colOff>
      <xdr:row>36</xdr:row>
      <xdr:rowOff>632114</xdr:rowOff>
    </xdr:from>
    <xdr:to>
      <xdr:col>16</xdr:col>
      <xdr:colOff>2628900</xdr:colOff>
      <xdr:row>47</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a:extLst>
            <a:ext uri="{FF2B5EF4-FFF2-40B4-BE49-F238E27FC236}">
              <a16:creationId xmlns:a16="http://schemas.microsoft.com/office/drawing/2014/main" id="{00000000-0008-0000-0700-00007F6A3400}"/>
            </a:ext>
          </a:extLst>
        </xdr:cNvPr>
        <xdr:cNvGrpSpPr>
          <a:grpSpLocks/>
        </xdr:cNvGrpSpPr>
      </xdr:nvGrpSpPr>
      <xdr:grpSpPr bwMode="auto">
        <a:xfrm>
          <a:off x="5556250" y="5577417"/>
          <a:ext cx="85725" cy="0"/>
          <a:chOff x="595" y="540"/>
          <a:chExt cx="9" cy="9"/>
        </a:xfrm>
      </xdr:grpSpPr>
      <xdr:sp macro="" textlink="">
        <xdr:nvSpPr>
          <xdr:cNvPr id="3435146" name="Rectangle 11">
            <a:extLst>
              <a:ext uri="{FF2B5EF4-FFF2-40B4-BE49-F238E27FC236}">
                <a16:creationId xmlns:a16="http://schemas.microsoft.com/office/drawing/2014/main" id="{00000000-0008-0000-0700-00008A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a:extLst>
              <a:ext uri="{FF2B5EF4-FFF2-40B4-BE49-F238E27FC236}">
                <a16:creationId xmlns:a16="http://schemas.microsoft.com/office/drawing/2014/main" id="{00000000-0008-0000-0700-00008B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a:extLst>
            <a:ext uri="{FF2B5EF4-FFF2-40B4-BE49-F238E27FC236}">
              <a16:creationId xmlns:a16="http://schemas.microsoft.com/office/drawing/2014/main" id="{00000000-0008-0000-0700-0000806A3400}"/>
            </a:ext>
          </a:extLst>
        </xdr:cNvPr>
        <xdr:cNvGrpSpPr>
          <a:grpSpLocks/>
        </xdr:cNvGrpSpPr>
      </xdr:nvGrpSpPr>
      <xdr:grpSpPr bwMode="auto">
        <a:xfrm>
          <a:off x="6537325" y="5577417"/>
          <a:ext cx="86783" cy="0"/>
          <a:chOff x="698" y="540"/>
          <a:chExt cx="9" cy="9"/>
        </a:xfrm>
      </xdr:grpSpPr>
      <xdr:sp macro="" textlink="">
        <xdr:nvSpPr>
          <xdr:cNvPr id="3435144" name="Rectangle 47">
            <a:extLst>
              <a:ext uri="{FF2B5EF4-FFF2-40B4-BE49-F238E27FC236}">
                <a16:creationId xmlns:a16="http://schemas.microsoft.com/office/drawing/2014/main" id="{00000000-0008-0000-0700-000088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a:extLst>
              <a:ext uri="{FF2B5EF4-FFF2-40B4-BE49-F238E27FC236}">
                <a16:creationId xmlns:a16="http://schemas.microsoft.com/office/drawing/2014/main" id="{00000000-0008-0000-0700-000089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a:extLst>
            <a:ext uri="{FF2B5EF4-FFF2-40B4-BE49-F238E27FC236}">
              <a16:creationId xmlns:a16="http://schemas.microsoft.com/office/drawing/2014/main" id="{00000000-0008-0000-0700-0000816A3400}"/>
            </a:ext>
          </a:extLst>
        </xdr:cNvPr>
        <xdr:cNvGrpSpPr>
          <a:grpSpLocks/>
        </xdr:cNvGrpSpPr>
      </xdr:nvGrpSpPr>
      <xdr:grpSpPr bwMode="auto">
        <a:xfrm>
          <a:off x="5183717" y="5577417"/>
          <a:ext cx="86783" cy="0"/>
          <a:chOff x="698" y="540"/>
          <a:chExt cx="9" cy="9"/>
        </a:xfrm>
      </xdr:grpSpPr>
      <xdr:sp macro="" textlink="">
        <xdr:nvSpPr>
          <xdr:cNvPr id="3435142" name="Rectangle 47">
            <a:extLst>
              <a:ext uri="{FF2B5EF4-FFF2-40B4-BE49-F238E27FC236}">
                <a16:creationId xmlns:a16="http://schemas.microsoft.com/office/drawing/2014/main" id="{00000000-0008-0000-0700-000086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a:extLst>
              <a:ext uri="{FF2B5EF4-FFF2-40B4-BE49-F238E27FC236}">
                <a16:creationId xmlns:a16="http://schemas.microsoft.com/office/drawing/2014/main" id="{00000000-0008-0000-0700-000087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a:extLst>
            <a:ext uri="{FF2B5EF4-FFF2-40B4-BE49-F238E27FC236}">
              <a16:creationId xmlns:a16="http://schemas.microsoft.com/office/drawing/2014/main" id="{00000000-0008-0000-0700-0000826A3400}"/>
            </a:ext>
          </a:extLst>
        </xdr:cNvPr>
        <xdr:cNvGrpSpPr>
          <a:grpSpLocks/>
        </xdr:cNvGrpSpPr>
      </xdr:nvGrpSpPr>
      <xdr:grpSpPr bwMode="auto">
        <a:xfrm>
          <a:off x="1439333" y="5577417"/>
          <a:ext cx="85725" cy="0"/>
          <a:chOff x="595" y="540"/>
          <a:chExt cx="9" cy="9"/>
        </a:xfrm>
      </xdr:grpSpPr>
      <xdr:sp macro="" textlink="">
        <xdr:nvSpPr>
          <xdr:cNvPr id="3435140" name="Rectangle 11">
            <a:extLst>
              <a:ext uri="{FF2B5EF4-FFF2-40B4-BE49-F238E27FC236}">
                <a16:creationId xmlns:a16="http://schemas.microsoft.com/office/drawing/2014/main" id="{00000000-0008-0000-0700-000084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a:extLst>
              <a:ext uri="{FF2B5EF4-FFF2-40B4-BE49-F238E27FC236}">
                <a16:creationId xmlns:a16="http://schemas.microsoft.com/office/drawing/2014/main" id="{00000000-0008-0000-0700-000085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a:extLst>
            <a:ext uri="{FF2B5EF4-FFF2-40B4-BE49-F238E27FC236}">
              <a16:creationId xmlns:a16="http://schemas.microsoft.com/office/drawing/2014/main" id="{00000000-0008-0000-0800-0000E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D32" sqref="D3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56" t="str">
        <f>+"Панель показателей:  "&amp;"  "&amp;IF(+'Ввод данных'!B4="Выберите","",'Ввод данных'!B4&amp;" - ")&amp;IF('Ввод данных'!F6="Выберите","",'Ввод данных'!F6)</f>
        <v>Панель показателей:    Кыргызстан - ВИЧ/СПИД/ТБ</v>
      </c>
      <c r="C2" s="656"/>
      <c r="D2" s="656"/>
      <c r="E2" s="656"/>
      <c r="F2" s="656"/>
      <c r="G2" s="656"/>
      <c r="H2" s="656"/>
      <c r="I2" s="656"/>
      <c r="J2" s="656"/>
      <c r="K2" s="656"/>
      <c r="L2" s="656"/>
      <c r="M2" s="656"/>
      <c r="N2" s="1"/>
      <c r="O2" s="1"/>
    </row>
    <row r="4" spans="2:15" ht="21">
      <c r="B4" s="652" t="str">
        <f>+IF('Ввод данных'!F6="Выберите", "",'Ввод данных'!F6) &amp;"  "&amp;+IF('Ввод данных'!F8="Выберите", "", 'Ввод данных'!F8&amp;",  ")&amp;+IF('Ввод данных'!H8="Выберите","",'Ввод данных'!H8)</f>
        <v xml:space="preserve">ВИЧ/СПИД/ТБ  ,  </v>
      </c>
      <c r="C4" s="652"/>
      <c r="D4" s="652"/>
      <c r="E4" s="653"/>
      <c r="F4" s="193"/>
      <c r="G4" s="193"/>
      <c r="H4" s="256" t="str">
        <f>+'Ввод данных'!A6&amp;" "&amp;+'Ввод данных'!B6</f>
        <v>Грант № KGZ-C-UNDP</v>
      </c>
      <c r="I4" s="256"/>
      <c r="J4" s="192"/>
      <c r="K4" s="193"/>
      <c r="L4" s="193"/>
    </row>
    <row r="22" spans="2:12" ht="26.25">
      <c r="B22" s="654" t="s">
        <v>0</v>
      </c>
      <c r="C22" s="655"/>
      <c r="D22" s="655"/>
      <c r="E22" s="655"/>
      <c r="F22" s="655"/>
      <c r="G22" s="655"/>
      <c r="H22" s="655"/>
      <c r="I22" s="655"/>
      <c r="J22" s="655"/>
      <c r="K22" s="655"/>
      <c r="L22" s="655"/>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77"/>
  <sheetViews>
    <sheetView showGridLines="0" zoomScale="75" zoomScaleNormal="100" workbookViewId="0">
      <pane ySplit="2" topLeftCell="A15" activePane="bottomLeft" state="frozen"/>
      <selection activeCell="E22" sqref="E22"/>
      <selection pane="bottomLeft" activeCell="E22" sqref="E22:I22"/>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33.7109375" customWidth="1"/>
    <col min="13" max="13" width="49.42578125" customWidth="1"/>
    <col min="14" max="14" width="2.5703125" style="33" customWidth="1"/>
    <col min="15" max="15" width="3" style="33"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715" t="str">
        <f>+"Панель показателей: "&amp;" "&amp;+IF('Ввод данных'!B4="Выберите","",'Ввод данных'!B4&amp;" - ")&amp;+IF('Ввод данных'!F6="Выберите","",'Ввод данных'!F6)</f>
        <v>Панель показателей:  Кыргызстан - ВИЧ/СПИД/ТБ</v>
      </c>
      <c r="C2" s="715"/>
      <c r="D2" s="715"/>
      <c r="E2" s="715"/>
      <c r="F2" s="715"/>
      <c r="G2" s="715"/>
      <c r="H2" s="715"/>
      <c r="I2" s="715"/>
      <c r="J2" s="715"/>
      <c r="K2" s="715"/>
      <c r="L2" s="715"/>
      <c r="M2" s="715"/>
    </row>
    <row r="3" spans="1:15" ht="15.75" customHeight="1">
      <c r="A3" s="3"/>
      <c r="B3" s="185"/>
      <c r="C3" s="185"/>
      <c r="D3" s="185"/>
      <c r="E3" s="185"/>
      <c r="F3" s="185"/>
      <c r="G3" s="185"/>
      <c r="H3" s="185"/>
      <c r="I3" s="185"/>
      <c r="J3" s="185"/>
      <c r="K3" s="186"/>
      <c r="L3" s="186"/>
      <c r="M3" s="3"/>
    </row>
    <row r="5" spans="1:15" ht="23.25">
      <c r="B5" s="716" t="s">
        <v>1</v>
      </c>
      <c r="C5" s="716"/>
      <c r="D5" s="716"/>
      <c r="E5" s="716"/>
      <c r="F5" s="716"/>
      <c r="G5" s="716"/>
      <c r="H5" s="716"/>
      <c r="I5" s="716"/>
      <c r="J5" s="716"/>
      <c r="K5" s="716"/>
      <c r="L5" s="716"/>
      <c r="M5" s="716"/>
      <c r="N5" s="716"/>
      <c r="O5" s="716"/>
    </row>
    <row r="7" spans="1:15" s="325" customFormat="1" ht="21">
      <c r="A7" s="637"/>
      <c r="B7" s="717" t="s">
        <v>2</v>
      </c>
      <c r="C7" s="718"/>
      <c r="D7" s="719"/>
      <c r="E7" s="717" t="s">
        <v>3</v>
      </c>
      <c r="F7" s="718"/>
      <c r="G7" s="718"/>
      <c r="H7" s="718"/>
      <c r="I7" s="719"/>
      <c r="J7" s="717" t="s">
        <v>4</v>
      </c>
      <c r="K7" s="718"/>
      <c r="L7" s="719"/>
      <c r="M7" s="717" t="s">
        <v>5</v>
      </c>
      <c r="N7" s="718"/>
      <c r="O7" s="719"/>
    </row>
    <row r="8" spans="1:15" ht="117.75" customHeight="1">
      <c r="B8" s="692" t="str">
        <f>+'Ввод данных'!A27</f>
        <v>F1: Бюджет и выплаты Глобальным фондом</v>
      </c>
      <c r="C8" s="723"/>
      <c r="D8" s="724"/>
      <c r="E8" s="720" t="s">
        <v>6</v>
      </c>
      <c r="F8" s="721"/>
      <c r="G8" s="721"/>
      <c r="H8" s="721"/>
      <c r="I8" s="722"/>
      <c r="J8" s="682" t="s">
        <v>7</v>
      </c>
      <c r="K8" s="683"/>
      <c r="L8" s="684"/>
      <c r="M8" s="682" t="s">
        <v>8</v>
      </c>
      <c r="N8" s="683"/>
      <c r="O8" s="684"/>
    </row>
    <row r="9" spans="1:15" ht="117.75" customHeight="1">
      <c r="B9" s="725" t="str">
        <f>+'Ввод данных'!A36</f>
        <v>F2: Бюджет и фактические расходы согласно задачам гранта</v>
      </c>
      <c r="C9" s="726"/>
      <c r="D9" s="727"/>
      <c r="E9" s="712" t="s">
        <v>9</v>
      </c>
      <c r="F9" s="698"/>
      <c r="G9" s="698"/>
      <c r="H9" s="698"/>
      <c r="I9" s="699"/>
      <c r="J9" s="682" t="s">
        <v>10</v>
      </c>
      <c r="K9" s="683"/>
      <c r="L9" s="684"/>
      <c r="M9" s="682" t="s">
        <v>8</v>
      </c>
      <c r="N9" s="683"/>
      <c r="O9" s="684"/>
    </row>
    <row r="10" spans="1:15" ht="247.5" customHeight="1">
      <c r="B10" s="725" t="str">
        <f>+'Ввод данных'!A58</f>
        <v>F3: Выплаты и расходы</v>
      </c>
      <c r="C10" s="726"/>
      <c r="D10" s="727"/>
      <c r="E10" s="712" t="s">
        <v>11</v>
      </c>
      <c r="F10" s="698"/>
      <c r="G10" s="698"/>
      <c r="H10" s="698"/>
      <c r="I10" s="699"/>
      <c r="J10" s="682" t="s">
        <v>12</v>
      </c>
      <c r="K10" s="683"/>
      <c r="L10" s="684"/>
      <c r="M10" s="682" t="s">
        <v>13</v>
      </c>
      <c r="N10" s="683"/>
      <c r="O10" s="684"/>
    </row>
    <row r="11" spans="1:15" ht="252.75" customHeight="1">
      <c r="B11" s="725" t="str">
        <f>+'Ввод данных'!A67</f>
        <v>F4: Последний отчетный и платежный цикл ОР</v>
      </c>
      <c r="C11" s="728"/>
      <c r="D11" s="729"/>
      <c r="E11" s="712" t="s">
        <v>14</v>
      </c>
      <c r="F11" s="698"/>
      <c r="G11" s="698"/>
      <c r="H11" s="698"/>
      <c r="I11" s="699"/>
      <c r="J11" s="682" t="s">
        <v>15</v>
      </c>
      <c r="K11" s="683"/>
      <c r="L11" s="684"/>
      <c r="M11" s="682" t="s">
        <v>16</v>
      </c>
      <c r="N11" s="683"/>
      <c r="O11" s="684"/>
    </row>
    <row r="12" spans="1:15" s="19" customFormat="1">
      <c r="B12" s="681"/>
      <c r="C12" s="681"/>
      <c r="D12" s="681"/>
      <c r="E12" s="736"/>
      <c r="F12" s="736"/>
      <c r="G12" s="736"/>
      <c r="H12" s="736"/>
      <c r="I12" s="736"/>
      <c r="J12" s="736"/>
      <c r="K12" s="736"/>
      <c r="L12" s="736"/>
      <c r="M12" s="736"/>
      <c r="N12" s="736"/>
      <c r="O12" s="736"/>
    </row>
    <row r="13" spans="1:15" s="19" customFormat="1">
      <c r="B13" s="680"/>
      <c r="C13" s="680"/>
      <c r="D13" s="680"/>
      <c r="E13" s="685"/>
      <c r="F13" s="685"/>
      <c r="G13" s="685"/>
      <c r="H13" s="685"/>
      <c r="I13" s="685"/>
      <c r="J13" s="685"/>
      <c r="K13" s="685"/>
      <c r="L13" s="685"/>
      <c r="M13" s="685"/>
      <c r="N13" s="685"/>
      <c r="O13" s="685"/>
    </row>
    <row r="14" spans="1:15" s="19" customFormat="1">
      <c r="B14" s="680"/>
      <c r="C14" s="680"/>
      <c r="D14" s="680"/>
      <c r="E14" s="685"/>
      <c r="F14" s="685"/>
      <c r="G14" s="685"/>
      <c r="H14" s="685"/>
      <c r="I14" s="685"/>
      <c r="J14" s="685"/>
      <c r="K14" s="685"/>
      <c r="L14" s="685"/>
      <c r="M14" s="685"/>
      <c r="N14" s="685"/>
      <c r="O14" s="685"/>
    </row>
    <row r="15" spans="1:15" s="19" customFormat="1">
      <c r="B15" s="680"/>
      <c r="C15" s="680"/>
      <c r="D15" s="680"/>
      <c r="E15" s="685"/>
      <c r="F15" s="685"/>
      <c r="G15" s="685"/>
      <c r="H15" s="685"/>
      <c r="I15" s="685"/>
      <c r="J15" s="685"/>
      <c r="K15" s="685"/>
      <c r="L15" s="685"/>
      <c r="M15" s="685"/>
      <c r="N15" s="685"/>
      <c r="O15" s="685"/>
    </row>
    <row r="16" spans="1:15" ht="23.25">
      <c r="B16" s="716" t="s">
        <v>17</v>
      </c>
      <c r="C16" s="716"/>
      <c r="D16" s="716"/>
      <c r="E16" s="716"/>
      <c r="F16" s="716"/>
      <c r="G16" s="716"/>
      <c r="H16" s="716"/>
      <c r="I16" s="716"/>
      <c r="J16" s="716"/>
      <c r="K16" s="716"/>
      <c r="L16" s="716"/>
      <c r="M16" s="716"/>
      <c r="N16" s="716"/>
      <c r="O16" s="716"/>
    </row>
    <row r="18" spans="1:15" ht="21">
      <c r="B18" s="709" t="s">
        <v>2</v>
      </c>
      <c r="C18" s="710"/>
      <c r="D18" s="711"/>
      <c r="E18" s="709" t="s">
        <v>3</v>
      </c>
      <c r="F18" s="710"/>
      <c r="G18" s="710"/>
      <c r="H18" s="710"/>
      <c r="I18" s="711"/>
      <c r="J18" s="709" t="s">
        <v>4</v>
      </c>
      <c r="K18" s="710"/>
      <c r="L18" s="711"/>
      <c r="M18" s="709" t="s">
        <v>18</v>
      </c>
      <c r="N18" s="710"/>
      <c r="O18" s="711"/>
    </row>
    <row r="19" spans="1:15" ht="114" customHeight="1">
      <c r="B19" s="692" t="str">
        <f>+'Ввод данных'!A78</f>
        <v>M1: Статус Предварительных условий (ПУ) и Действий с установленным сроком исполнения (ДУС)</v>
      </c>
      <c r="C19" s="693"/>
      <c r="D19" s="694"/>
      <c r="E19" s="712" t="s">
        <v>19</v>
      </c>
      <c r="F19" s="713"/>
      <c r="G19" s="713"/>
      <c r="H19" s="713"/>
      <c r="I19" s="714"/>
      <c r="J19" s="695" t="s">
        <v>20</v>
      </c>
      <c r="K19" s="696"/>
      <c r="L19" s="697"/>
      <c r="M19" s="695" t="s">
        <v>21</v>
      </c>
      <c r="N19" s="696"/>
      <c r="O19" s="697"/>
    </row>
    <row r="20" spans="1:15" ht="102.75" customHeight="1">
      <c r="B20" s="725" t="str">
        <f>+'Ввод данных'!A87</f>
        <v>M2: Статус ключевых руководящих должностей в структуре ОР</v>
      </c>
      <c r="C20" s="728"/>
      <c r="D20" s="729"/>
      <c r="E20" s="712" t="s">
        <v>22</v>
      </c>
      <c r="F20" s="698"/>
      <c r="G20" s="698"/>
      <c r="H20" s="698"/>
      <c r="I20" s="699"/>
      <c r="J20" s="695" t="s">
        <v>23</v>
      </c>
      <c r="K20" s="696"/>
      <c r="L20" s="697"/>
      <c r="M20" s="695" t="s">
        <v>24</v>
      </c>
      <c r="N20" s="696"/>
      <c r="O20" s="697"/>
    </row>
    <row r="21" spans="1:15" ht="141.75" customHeight="1">
      <c r="B21" s="692" t="str">
        <f>+'Ввод данных'!A94</f>
        <v xml:space="preserve">M3: Контрактные соглашения (СР) </v>
      </c>
      <c r="C21" s="693"/>
      <c r="D21" s="694"/>
      <c r="E21" s="695" t="s">
        <v>25</v>
      </c>
      <c r="F21" s="698"/>
      <c r="G21" s="698"/>
      <c r="H21" s="698"/>
      <c r="I21" s="699"/>
      <c r="J21" s="706" t="s">
        <v>26</v>
      </c>
      <c r="K21" s="707"/>
      <c r="L21" s="708"/>
      <c r="M21" s="695" t="s">
        <v>27</v>
      </c>
      <c r="N21" s="696"/>
      <c r="O21" s="697"/>
    </row>
    <row r="22" spans="1:15" ht="96" customHeight="1">
      <c r="B22" s="692" t="str">
        <f>+'Ввод данных'!A100</f>
        <v>M4: Количество полных отчетов, полученных к установленному сроку</v>
      </c>
      <c r="C22" s="693"/>
      <c r="D22" s="694"/>
      <c r="E22" s="695" t="s">
        <v>28</v>
      </c>
      <c r="F22" s="696"/>
      <c r="G22" s="696"/>
      <c r="H22" s="696"/>
      <c r="I22" s="697"/>
      <c r="J22" s="695" t="s">
        <v>29</v>
      </c>
      <c r="K22" s="696"/>
      <c r="L22" s="697"/>
      <c r="M22" s="695" t="s">
        <v>30</v>
      </c>
      <c r="N22" s="696"/>
      <c r="O22" s="697"/>
    </row>
    <row r="23" spans="1:15" ht="187.5" customHeight="1">
      <c r="B23" s="742"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3" s="743"/>
      <c r="D23" s="744"/>
      <c r="E23" s="730" t="s">
        <v>31</v>
      </c>
      <c r="F23" s="731"/>
      <c r="G23" s="731"/>
      <c r="H23" s="731"/>
      <c r="I23" s="732"/>
      <c r="J23" s="686" t="s">
        <v>32</v>
      </c>
      <c r="K23" s="687"/>
      <c r="L23" s="688"/>
      <c r="M23" s="686" t="s">
        <v>33</v>
      </c>
      <c r="N23" s="687"/>
      <c r="O23" s="688"/>
    </row>
    <row r="24" spans="1:15" ht="72.75" customHeight="1">
      <c r="B24" s="745"/>
      <c r="C24" s="746"/>
      <c r="D24" s="747"/>
      <c r="E24" s="739" t="s">
        <v>34</v>
      </c>
      <c r="F24" s="740"/>
      <c r="G24" s="740"/>
      <c r="H24" s="740"/>
      <c r="I24" s="741"/>
      <c r="J24" s="689"/>
      <c r="K24" s="690"/>
      <c r="L24" s="691"/>
      <c r="M24" s="689"/>
      <c r="N24" s="690"/>
      <c r="O24" s="691"/>
    </row>
    <row r="25" spans="1:15" ht="282.75" customHeight="1">
      <c r="B25" s="692" t="str">
        <f>+'Ввод данных'!A121</f>
        <v>M6: Разница между текущим и резервным запасами</v>
      </c>
      <c r="C25" s="693"/>
      <c r="D25" s="694"/>
      <c r="E25" s="703" t="s">
        <v>35</v>
      </c>
      <c r="F25" s="737"/>
      <c r="G25" s="737"/>
      <c r="H25" s="737"/>
      <c r="I25" s="738"/>
      <c r="J25" s="703" t="s">
        <v>36</v>
      </c>
      <c r="K25" s="704"/>
      <c r="L25" s="705"/>
      <c r="M25" s="700" t="s">
        <v>37</v>
      </c>
      <c r="N25" s="701"/>
      <c r="O25" s="702"/>
    </row>
    <row r="29" spans="1:15" ht="18.75">
      <c r="B29" s="209"/>
    </row>
    <row r="30" spans="1:15" ht="23.25">
      <c r="B30" s="716" t="s">
        <v>38</v>
      </c>
      <c r="C30" s="716"/>
      <c r="D30" s="716"/>
      <c r="E30" s="716"/>
      <c r="F30" s="716"/>
      <c r="G30" s="716"/>
      <c r="H30" s="716"/>
      <c r="I30" s="716"/>
      <c r="J30" s="716"/>
      <c r="K30" s="716"/>
      <c r="L30" s="716"/>
      <c r="M30" s="716"/>
      <c r="N30" s="716"/>
      <c r="O30" s="716"/>
    </row>
    <row r="32" spans="1:15" ht="28.5" customHeight="1">
      <c r="A32" s="207"/>
      <c r="B32" s="666" t="s">
        <v>39</v>
      </c>
      <c r="C32" s="667"/>
      <c r="D32" s="668"/>
      <c r="E32" s="669" t="s">
        <v>40</v>
      </c>
      <c r="F32" s="670"/>
      <c r="G32" s="670"/>
      <c r="H32" s="670"/>
      <c r="I32" s="671"/>
      <c r="J32" s="669" t="s">
        <v>4</v>
      </c>
      <c r="K32" s="670"/>
      <c r="L32" s="671"/>
      <c r="M32" s="669" t="s">
        <v>5</v>
      </c>
      <c r="N32" s="670"/>
      <c r="O32" s="671"/>
    </row>
    <row r="33" spans="1:15" ht="61.5" customHeight="1">
      <c r="A33" s="207"/>
      <c r="B33" s="660" t="s">
        <v>41</v>
      </c>
      <c r="C33" s="661"/>
      <c r="D33" s="662"/>
      <c r="E33" s="733" t="s">
        <v>42</v>
      </c>
      <c r="F33" s="734"/>
      <c r="G33" s="734"/>
      <c r="H33" s="734"/>
      <c r="I33" s="735"/>
      <c r="J33" s="657" t="s">
        <v>43</v>
      </c>
      <c r="K33" s="658"/>
      <c r="L33" s="659"/>
      <c r="M33" s="657" t="s">
        <v>44</v>
      </c>
      <c r="N33" s="658"/>
      <c r="O33" s="659"/>
    </row>
    <row r="34" spans="1:15" ht="61.5" customHeight="1">
      <c r="A34" s="207"/>
      <c r="B34" s="660" t="s">
        <v>45</v>
      </c>
      <c r="C34" s="661"/>
      <c r="D34" s="662"/>
      <c r="E34" s="733" t="s">
        <v>46</v>
      </c>
      <c r="F34" s="734"/>
      <c r="G34" s="734"/>
      <c r="H34" s="734"/>
      <c r="I34" s="735"/>
      <c r="J34" s="657" t="s">
        <v>47</v>
      </c>
      <c r="K34" s="658"/>
      <c r="L34" s="659"/>
      <c r="M34" s="657" t="s">
        <v>48</v>
      </c>
      <c r="N34" s="658"/>
      <c r="O34" s="659"/>
    </row>
    <row r="35" spans="1:15" ht="102.75" customHeight="1">
      <c r="A35" s="207"/>
      <c r="B35" s="660" t="s">
        <v>49</v>
      </c>
      <c r="C35" s="661"/>
      <c r="D35" s="662"/>
      <c r="E35" s="733" t="s">
        <v>50</v>
      </c>
      <c r="F35" s="734"/>
      <c r="G35" s="734"/>
      <c r="H35" s="734"/>
      <c r="I35" s="735"/>
      <c r="J35" s="657" t="s">
        <v>51</v>
      </c>
      <c r="K35" s="658"/>
      <c r="L35" s="659"/>
      <c r="M35" s="657" t="s">
        <v>48</v>
      </c>
      <c r="N35" s="658"/>
      <c r="O35" s="659"/>
    </row>
    <row r="36" spans="1:15" ht="74.25" customHeight="1">
      <c r="A36" s="207"/>
      <c r="B36" s="660" t="s">
        <v>52</v>
      </c>
      <c r="C36" s="661"/>
      <c r="D36" s="662"/>
      <c r="E36" s="657" t="s">
        <v>53</v>
      </c>
      <c r="F36" s="658"/>
      <c r="G36" s="658"/>
      <c r="H36" s="658"/>
      <c r="I36" s="659"/>
      <c r="J36" s="657" t="s">
        <v>54</v>
      </c>
      <c r="K36" s="658"/>
      <c r="L36" s="659"/>
      <c r="M36" s="657" t="s">
        <v>55</v>
      </c>
      <c r="N36" s="658"/>
      <c r="O36" s="659"/>
    </row>
    <row r="37" spans="1:15" ht="99.75" customHeight="1">
      <c r="A37" s="207"/>
      <c r="B37" s="660" t="s">
        <v>56</v>
      </c>
      <c r="C37" s="661"/>
      <c r="D37" s="662"/>
      <c r="E37" s="733" t="s">
        <v>57</v>
      </c>
      <c r="F37" s="748"/>
      <c r="G37" s="748"/>
      <c r="H37" s="748"/>
      <c r="I37" s="749"/>
      <c r="J37" s="657" t="s">
        <v>58</v>
      </c>
      <c r="K37" s="658"/>
      <c r="L37" s="659"/>
      <c r="M37" s="657" t="s">
        <v>44</v>
      </c>
      <c r="N37" s="658"/>
      <c r="O37" s="659"/>
    </row>
    <row r="38" spans="1:15" ht="85.5" customHeight="1">
      <c r="A38" s="207"/>
      <c r="B38" s="660" t="s">
        <v>59</v>
      </c>
      <c r="C38" s="661"/>
      <c r="D38" s="662"/>
      <c r="E38" s="733" t="s">
        <v>60</v>
      </c>
      <c r="F38" s="748"/>
      <c r="G38" s="748"/>
      <c r="H38" s="748"/>
      <c r="I38" s="749"/>
      <c r="J38" s="657" t="s">
        <v>61</v>
      </c>
      <c r="K38" s="658"/>
      <c r="L38" s="659"/>
      <c r="M38" s="657" t="s">
        <v>62</v>
      </c>
      <c r="N38" s="658"/>
      <c r="O38" s="659"/>
    </row>
    <row r="39" spans="1:15" ht="94.5" customHeight="1">
      <c r="A39" s="207"/>
      <c r="B39" s="660" t="s">
        <v>63</v>
      </c>
      <c r="C39" s="661"/>
      <c r="D39" s="662"/>
      <c r="E39" s="663" t="s">
        <v>64</v>
      </c>
      <c r="F39" s="664"/>
      <c r="G39" s="664"/>
      <c r="H39" s="664"/>
      <c r="I39" s="665"/>
      <c r="J39" s="657" t="s">
        <v>65</v>
      </c>
      <c r="K39" s="658"/>
      <c r="L39" s="659"/>
      <c r="M39" s="657" t="s">
        <v>66</v>
      </c>
      <c r="N39" s="658"/>
      <c r="O39" s="659"/>
    </row>
    <row r="40" spans="1:15" ht="103.5" customHeight="1">
      <c r="A40" s="207"/>
      <c r="B40" s="660" t="s">
        <v>67</v>
      </c>
      <c r="C40" s="661"/>
      <c r="D40" s="662"/>
      <c r="E40" s="733" t="s">
        <v>68</v>
      </c>
      <c r="F40" s="748"/>
      <c r="G40" s="748"/>
      <c r="H40" s="748"/>
      <c r="I40" s="749"/>
      <c r="J40" s="657" t="s">
        <v>69</v>
      </c>
      <c r="K40" s="658"/>
      <c r="L40" s="659"/>
      <c r="M40" s="657" t="s">
        <v>44</v>
      </c>
      <c r="N40" s="658"/>
      <c r="O40" s="659"/>
    </row>
    <row r="41" spans="1:15" ht="101.25" customHeight="1">
      <c r="A41" s="207"/>
      <c r="B41" s="660" t="s">
        <v>70</v>
      </c>
      <c r="C41" s="661"/>
      <c r="D41" s="662"/>
      <c r="E41" s="657" t="s">
        <v>71</v>
      </c>
      <c r="F41" s="658"/>
      <c r="G41" s="658"/>
      <c r="H41" s="658"/>
      <c r="I41" s="659"/>
      <c r="J41" s="657" t="s">
        <v>72</v>
      </c>
      <c r="K41" s="658"/>
      <c r="L41" s="659"/>
      <c r="M41" s="657" t="s">
        <v>44</v>
      </c>
      <c r="N41" s="658"/>
      <c r="O41" s="659"/>
    </row>
    <row r="42" spans="1:15" ht="94.5" customHeight="1">
      <c r="A42" s="207"/>
      <c r="B42" s="660" t="s">
        <v>73</v>
      </c>
      <c r="C42" s="661"/>
      <c r="D42" s="662"/>
      <c r="E42" s="733" t="s">
        <v>74</v>
      </c>
      <c r="F42" s="748"/>
      <c r="G42" s="748"/>
      <c r="H42" s="748"/>
      <c r="I42" s="749"/>
      <c r="J42" s="657" t="s">
        <v>75</v>
      </c>
      <c r="K42" s="658"/>
      <c r="L42" s="659"/>
      <c r="M42" s="657" t="s">
        <v>44</v>
      </c>
      <c r="N42" s="658"/>
      <c r="O42" s="659"/>
    </row>
    <row r="43" spans="1:15" ht="61.5" customHeight="1">
      <c r="A43" s="207"/>
      <c r="B43" s="660" t="s">
        <v>76</v>
      </c>
      <c r="C43" s="661"/>
      <c r="D43" s="662"/>
      <c r="E43" s="733" t="s">
        <v>77</v>
      </c>
      <c r="F43" s="734"/>
      <c r="G43" s="734"/>
      <c r="H43" s="734"/>
      <c r="I43" s="735"/>
      <c r="J43" s="657" t="s">
        <v>78</v>
      </c>
      <c r="K43" s="658"/>
      <c r="L43" s="659"/>
      <c r="M43" s="657" t="s">
        <v>48</v>
      </c>
      <c r="N43" s="658"/>
      <c r="O43" s="659"/>
    </row>
    <row r="44" spans="1:15" ht="84.75" customHeight="1">
      <c r="A44" s="207"/>
      <c r="B44" s="660" t="s">
        <v>79</v>
      </c>
      <c r="C44" s="661"/>
      <c r="D44" s="662"/>
      <c r="E44" s="733" t="s">
        <v>80</v>
      </c>
      <c r="F44" s="734"/>
      <c r="G44" s="734"/>
      <c r="H44" s="734"/>
      <c r="I44" s="735"/>
      <c r="J44" s="657" t="s">
        <v>81</v>
      </c>
      <c r="K44" s="658"/>
      <c r="L44" s="659"/>
      <c r="M44" s="657" t="s">
        <v>82</v>
      </c>
      <c r="N44" s="658"/>
      <c r="O44" s="659"/>
    </row>
    <row r="45" spans="1:15" ht="94.5" customHeight="1">
      <c r="A45" s="207"/>
      <c r="B45" s="660" t="s">
        <v>83</v>
      </c>
      <c r="C45" s="661"/>
      <c r="D45" s="662"/>
      <c r="E45" s="657" t="s">
        <v>84</v>
      </c>
      <c r="F45" s="658"/>
      <c r="G45" s="658"/>
      <c r="H45" s="658"/>
      <c r="I45" s="659"/>
      <c r="J45" s="657" t="s">
        <v>85</v>
      </c>
      <c r="K45" s="658"/>
      <c r="L45" s="659"/>
      <c r="M45" s="610" t="s">
        <v>86</v>
      </c>
      <c r="N45" s="611"/>
      <c r="O45" s="612"/>
    </row>
    <row r="46" spans="1:15" ht="61.5" customHeight="1">
      <c r="A46" s="207"/>
      <c r="B46" s="666" t="s">
        <v>87</v>
      </c>
      <c r="C46" s="667"/>
      <c r="D46" s="668"/>
      <c r="E46" s="669" t="s">
        <v>40</v>
      </c>
      <c r="F46" s="670"/>
      <c r="G46" s="670"/>
      <c r="H46" s="670"/>
      <c r="I46" s="671"/>
      <c r="J46" s="669" t="s">
        <v>4</v>
      </c>
      <c r="K46" s="670"/>
      <c r="L46" s="671"/>
      <c r="M46" s="669" t="s">
        <v>5</v>
      </c>
      <c r="N46" s="670"/>
      <c r="O46" s="671"/>
    </row>
    <row r="47" spans="1:15" ht="61.5" customHeight="1">
      <c r="A47" s="207"/>
      <c r="B47" s="672" t="s">
        <v>88</v>
      </c>
      <c r="C47" s="673"/>
      <c r="D47" s="674"/>
      <c r="E47" s="657" t="s">
        <v>89</v>
      </c>
      <c r="F47" s="678"/>
      <c r="G47" s="678"/>
      <c r="H47" s="678"/>
      <c r="I47" s="679"/>
      <c r="J47" s="657" t="s">
        <v>90</v>
      </c>
      <c r="K47" s="658"/>
      <c r="L47" s="659"/>
      <c r="M47" s="657" t="s">
        <v>91</v>
      </c>
      <c r="N47" s="658"/>
      <c r="O47" s="659"/>
    </row>
    <row r="48" spans="1:15" ht="78" customHeight="1">
      <c r="A48" s="207"/>
      <c r="B48" s="672" t="s">
        <v>92</v>
      </c>
      <c r="C48" s="673"/>
      <c r="D48" s="674"/>
      <c r="E48" s="657" t="s">
        <v>93</v>
      </c>
      <c r="F48" s="678"/>
      <c r="G48" s="678"/>
      <c r="H48" s="678"/>
      <c r="I48" s="679"/>
      <c r="J48" s="657" t="s">
        <v>90</v>
      </c>
      <c r="K48" s="658"/>
      <c r="L48" s="659"/>
      <c r="M48" s="657" t="s">
        <v>94</v>
      </c>
      <c r="N48" s="658"/>
      <c r="O48" s="659"/>
    </row>
    <row r="49" spans="1:15" ht="78" customHeight="1">
      <c r="A49" s="207"/>
      <c r="B49" s="675" t="s">
        <v>95</v>
      </c>
      <c r="C49" s="676"/>
      <c r="D49" s="677"/>
      <c r="E49" s="657" t="s">
        <v>96</v>
      </c>
      <c r="F49" s="658"/>
      <c r="G49" s="658"/>
      <c r="H49" s="658"/>
      <c r="I49" s="659"/>
      <c r="J49" s="657" t="s">
        <v>90</v>
      </c>
      <c r="K49" s="658"/>
      <c r="L49" s="659"/>
      <c r="M49" s="657" t="s">
        <v>97</v>
      </c>
      <c r="N49" s="658"/>
      <c r="O49" s="659"/>
    </row>
    <row r="50" spans="1:15" ht="78" customHeight="1">
      <c r="A50" s="207"/>
      <c r="B50" s="675" t="s">
        <v>98</v>
      </c>
      <c r="C50" s="676"/>
      <c r="D50" s="677"/>
      <c r="E50" s="657" t="s">
        <v>99</v>
      </c>
      <c r="F50" s="658"/>
      <c r="G50" s="658"/>
      <c r="H50" s="658"/>
      <c r="I50" s="659"/>
      <c r="J50" s="657" t="s">
        <v>100</v>
      </c>
      <c r="K50" s="658"/>
      <c r="L50" s="659"/>
      <c r="M50" s="657" t="s">
        <v>101</v>
      </c>
      <c r="N50" s="658"/>
      <c r="O50" s="659"/>
    </row>
    <row r="51" spans="1:15" ht="78" customHeight="1">
      <c r="A51" s="207"/>
      <c r="B51" s="675" t="s">
        <v>102</v>
      </c>
      <c r="C51" s="676"/>
      <c r="D51" s="677"/>
      <c r="E51" s="657" t="s">
        <v>103</v>
      </c>
      <c r="F51" s="658"/>
      <c r="G51" s="658"/>
      <c r="H51" s="658"/>
      <c r="I51" s="659"/>
      <c r="J51" s="756" t="s">
        <v>104</v>
      </c>
      <c r="K51" s="757"/>
      <c r="L51" s="758"/>
      <c r="M51" s="657" t="s">
        <v>94</v>
      </c>
      <c r="N51" s="658"/>
      <c r="O51" s="659"/>
    </row>
    <row r="52" spans="1:15" ht="78" customHeight="1">
      <c r="A52" s="207"/>
      <c r="B52" s="675" t="s">
        <v>105</v>
      </c>
      <c r="C52" s="676"/>
      <c r="D52" s="677"/>
      <c r="E52" s="657" t="s">
        <v>106</v>
      </c>
      <c r="F52" s="658"/>
      <c r="G52" s="658"/>
      <c r="H52" s="658"/>
      <c r="I52" s="659"/>
      <c r="J52" s="759" t="s">
        <v>107</v>
      </c>
      <c r="K52" s="760"/>
      <c r="L52" s="761"/>
      <c r="M52" s="657" t="s">
        <v>108</v>
      </c>
      <c r="N52" s="658"/>
      <c r="O52" s="659"/>
    </row>
    <row r="53" spans="1:15" ht="2.25" hidden="1" customHeight="1">
      <c r="A53" s="207"/>
      <c r="B53" s="750"/>
      <c r="C53" s="751"/>
      <c r="D53" s="752"/>
      <c r="E53" s="753"/>
      <c r="F53" s="754"/>
      <c r="G53" s="754"/>
      <c r="H53" s="754"/>
      <c r="I53" s="755"/>
      <c r="J53" s="657"/>
      <c r="K53" s="658"/>
      <c r="L53" s="659"/>
      <c r="M53" s="657"/>
      <c r="N53" s="658"/>
      <c r="O53" s="659"/>
    </row>
    <row r="54" spans="1:15" ht="3.75" customHeight="1">
      <c r="A54" s="207"/>
      <c r="B54" s="750"/>
      <c r="C54" s="751"/>
      <c r="D54" s="752"/>
      <c r="E54" s="733"/>
      <c r="F54" s="734"/>
      <c r="G54" s="734"/>
      <c r="H54" s="734"/>
      <c r="I54" s="735"/>
      <c r="J54" s="657"/>
      <c r="K54" s="658"/>
      <c r="L54" s="659"/>
      <c r="M54" s="657"/>
      <c r="N54" s="658"/>
      <c r="O54" s="659"/>
    </row>
    <row r="55" spans="1:15" ht="14.25" customHeight="1">
      <c r="A55" s="207"/>
      <c r="B55" s="750"/>
      <c r="C55" s="778"/>
      <c r="D55" s="779"/>
      <c r="E55" s="733"/>
      <c r="F55" s="780"/>
      <c r="G55" s="780"/>
      <c r="H55" s="780"/>
      <c r="I55" s="781"/>
      <c r="J55" s="657"/>
      <c r="K55" s="764"/>
      <c r="L55" s="765"/>
      <c r="M55" s="610"/>
      <c r="N55" s="611"/>
      <c r="O55" s="612"/>
    </row>
    <row r="56" spans="1:15" ht="119.25" hidden="1" customHeight="1">
      <c r="A56" s="207"/>
      <c r="B56" s="750"/>
      <c r="C56" s="778"/>
      <c r="D56" s="779"/>
      <c r="E56" s="766"/>
      <c r="F56" s="767"/>
      <c r="G56" s="767"/>
      <c r="H56" s="767"/>
      <c r="I56" s="768"/>
      <c r="J56" s="657"/>
      <c r="K56" s="764"/>
      <c r="L56" s="765"/>
      <c r="M56" s="657"/>
      <c r="N56" s="764"/>
      <c r="O56" s="765"/>
    </row>
    <row r="57" spans="1:15" ht="88.5" hidden="1" customHeight="1">
      <c r="A57" s="207"/>
      <c r="B57" s="750"/>
      <c r="C57" s="778"/>
      <c r="D57" s="779"/>
      <c r="E57" s="733"/>
      <c r="F57" s="762"/>
      <c r="G57" s="762"/>
      <c r="H57" s="762"/>
      <c r="I57" s="763"/>
      <c r="J57" s="657"/>
      <c r="K57" s="764"/>
      <c r="L57" s="765"/>
      <c r="M57" s="610"/>
      <c r="N57" s="611"/>
      <c r="O57" s="612"/>
    </row>
    <row r="58" spans="1:15" ht="30" customHeight="1">
      <c r="B58" s="775" t="s">
        <v>109</v>
      </c>
      <c r="C58" s="776"/>
      <c r="D58" s="777"/>
      <c r="E58" s="772" t="s">
        <v>3</v>
      </c>
      <c r="F58" s="773"/>
      <c r="G58" s="773"/>
      <c r="H58" s="773"/>
      <c r="I58" s="774"/>
      <c r="J58" s="772" t="s">
        <v>4</v>
      </c>
      <c r="K58" s="773"/>
      <c r="L58" s="774"/>
      <c r="M58" s="772" t="s">
        <v>5</v>
      </c>
      <c r="N58" s="773"/>
      <c r="O58" s="774"/>
    </row>
    <row r="59" spans="1:15" ht="33.75" customHeight="1">
      <c r="B59" s="205"/>
      <c r="C59" s="613"/>
      <c r="D59" s="613"/>
      <c r="E59" s="200"/>
      <c r="F59" s="202"/>
      <c r="G59" s="202"/>
      <c r="H59" s="202"/>
      <c r="I59" s="202"/>
      <c r="J59" s="200"/>
      <c r="K59" s="200"/>
      <c r="L59" s="201"/>
      <c r="M59" s="199"/>
      <c r="N59" s="200"/>
      <c r="O59" s="201"/>
    </row>
    <row r="60" spans="1:15" ht="15.75" customHeight="1">
      <c r="B60" s="782" t="s">
        <v>110</v>
      </c>
      <c r="C60" s="783"/>
      <c r="D60" s="783"/>
      <c r="E60" s="783"/>
      <c r="F60" s="783"/>
      <c r="G60" s="783"/>
      <c r="H60" s="783"/>
      <c r="I60" s="783"/>
      <c r="J60" s="783"/>
      <c r="K60" s="783"/>
      <c r="L60" s="784"/>
      <c r="M60" s="769" t="s">
        <v>111</v>
      </c>
      <c r="N60" s="770"/>
      <c r="O60" s="771"/>
    </row>
    <row r="61" spans="1:15">
      <c r="D61" s="187"/>
    </row>
    <row r="63" spans="1:15">
      <c r="D63" s="187"/>
    </row>
    <row r="64" spans="1:15">
      <c r="D64" s="187"/>
    </row>
    <row r="77" spans="1:1">
      <c r="A77" s="189"/>
    </row>
  </sheetData>
  <mergeCells count="176">
    <mergeCell ref="E57:I57"/>
    <mergeCell ref="M56:O56"/>
    <mergeCell ref="E56:I56"/>
    <mergeCell ref="B34:D34"/>
    <mergeCell ref="E34:I34"/>
    <mergeCell ref="J34:L34"/>
    <mergeCell ref="M60:O60"/>
    <mergeCell ref="M58:O58"/>
    <mergeCell ref="J54:L54"/>
    <mergeCell ref="M53:O53"/>
    <mergeCell ref="J53:L53"/>
    <mergeCell ref="B58:D58"/>
    <mergeCell ref="M54:O54"/>
    <mergeCell ref="E58:I58"/>
    <mergeCell ref="J58:L58"/>
    <mergeCell ref="B55:D55"/>
    <mergeCell ref="B56:D56"/>
    <mergeCell ref="B57:D57"/>
    <mergeCell ref="J57:L57"/>
    <mergeCell ref="E55:I55"/>
    <mergeCell ref="J55:L55"/>
    <mergeCell ref="J56:L56"/>
    <mergeCell ref="B60:L60"/>
    <mergeCell ref="B54:D54"/>
    <mergeCell ref="B53:D53"/>
    <mergeCell ref="E53:I53"/>
    <mergeCell ref="E54:I54"/>
    <mergeCell ref="B43:D43"/>
    <mergeCell ref="E43:I43"/>
    <mergeCell ref="J43:L43"/>
    <mergeCell ref="B36:D36"/>
    <mergeCell ref="E36:I36"/>
    <mergeCell ref="J36:L36"/>
    <mergeCell ref="B38:D38"/>
    <mergeCell ref="E38:I38"/>
    <mergeCell ref="J38:L38"/>
    <mergeCell ref="B42:D42"/>
    <mergeCell ref="E42:I42"/>
    <mergeCell ref="J42:L42"/>
    <mergeCell ref="J51:L51"/>
    <mergeCell ref="J52:L52"/>
    <mergeCell ref="B50:D50"/>
    <mergeCell ref="E50:I50"/>
    <mergeCell ref="J50:L50"/>
    <mergeCell ref="J44:L44"/>
    <mergeCell ref="M50:O50"/>
    <mergeCell ref="J22:L22"/>
    <mergeCell ref="B20:D20"/>
    <mergeCell ref="E20:I20"/>
    <mergeCell ref="E25:I25"/>
    <mergeCell ref="E24:I24"/>
    <mergeCell ref="B22:D22"/>
    <mergeCell ref="B23:D24"/>
    <mergeCell ref="B33:D33"/>
    <mergeCell ref="M36:O36"/>
    <mergeCell ref="B37:D37"/>
    <mergeCell ref="E37:I37"/>
    <mergeCell ref="J37:L37"/>
    <mergeCell ref="B40:D40"/>
    <mergeCell ref="E40:I40"/>
    <mergeCell ref="J40:L40"/>
    <mergeCell ref="E35:I35"/>
    <mergeCell ref="J35:L35"/>
    <mergeCell ref="M35:O35"/>
    <mergeCell ref="M37:O37"/>
    <mergeCell ref="M42:O42"/>
    <mergeCell ref="M43:O43"/>
    <mergeCell ref="B44:D44"/>
    <mergeCell ref="E44:I44"/>
    <mergeCell ref="B11:D11"/>
    <mergeCell ref="E11:I11"/>
    <mergeCell ref="B47:D47"/>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M52:O52"/>
    <mergeCell ref="B46:D46"/>
    <mergeCell ref="E46:I46"/>
    <mergeCell ref="J46:L46"/>
    <mergeCell ref="M46:O46"/>
    <mergeCell ref="B45:D45"/>
    <mergeCell ref="E45:I45"/>
    <mergeCell ref="J45:L45"/>
    <mergeCell ref="M47:O47"/>
    <mergeCell ref="B48:D48"/>
    <mergeCell ref="J49:L49"/>
    <mergeCell ref="M49:O49"/>
    <mergeCell ref="M51:O51"/>
    <mergeCell ref="B51:D51"/>
    <mergeCell ref="E51:I51"/>
    <mergeCell ref="B52:D52"/>
    <mergeCell ref="E52:I52"/>
    <mergeCell ref="E47:I47"/>
    <mergeCell ref="J47:L47"/>
    <mergeCell ref="M48:O48"/>
    <mergeCell ref="B49:D49"/>
    <mergeCell ref="E48:I48"/>
    <mergeCell ref="J48:L48"/>
    <mergeCell ref="E49:I49"/>
    <mergeCell ref="M44:O44"/>
    <mergeCell ref="M38:O38"/>
    <mergeCell ref="B39:D39"/>
    <mergeCell ref="E39:I39"/>
    <mergeCell ref="J39:L39"/>
    <mergeCell ref="M39:O39"/>
    <mergeCell ref="M40:O40"/>
    <mergeCell ref="B41:D41"/>
    <mergeCell ref="E41:I41"/>
    <mergeCell ref="J41:L41"/>
    <mergeCell ref="M41:O41"/>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33"/>
  <sheetViews>
    <sheetView showGridLines="0" topLeftCell="A226" zoomScale="85" zoomScaleNormal="85" workbookViewId="0">
      <selection activeCell="I103" sqref="I103"/>
    </sheetView>
  </sheetViews>
  <sheetFormatPr defaultColWidth="11" defaultRowHeight="15"/>
  <cols>
    <col min="1" max="1" width="58.7109375" customWidth="1"/>
    <col min="2" max="2" width="27.140625" customWidth="1"/>
    <col min="3" max="3" width="20" customWidth="1"/>
    <col min="4" max="4" width="17.42578125" customWidth="1"/>
    <col min="5" max="5" width="16.42578125" hidden="1" customWidth="1"/>
    <col min="6" max="6" width="23.85546875" hidden="1" customWidth="1"/>
    <col min="7" max="7" width="12.42578125" hidden="1" customWidth="1"/>
    <col min="8" max="8" width="16.85546875" customWidth="1"/>
    <col min="9" max="9" width="13.5703125" customWidth="1"/>
    <col min="10" max="10" width="14.42578125" customWidth="1"/>
    <col min="11" max="11" width="11.28515625" customWidth="1"/>
    <col min="12" max="12" width="13.42578125" customWidth="1"/>
    <col min="13" max="13" width="11.42578125" style="33" customWidth="1"/>
    <col min="14" max="14" width="15.7109375" style="33"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3" customWidth="1"/>
    <col min="33" max="33" width="3.28515625" style="33" customWidth="1"/>
    <col min="34" max="34" width="2.28515625" style="33" customWidth="1"/>
    <col min="35" max="35" width="40.7109375" customWidth="1"/>
    <col min="36" max="36" width="15.42578125" customWidth="1"/>
  </cols>
  <sheetData>
    <row r="1" spans="1:12" ht="29.25" customHeight="1">
      <c r="A1" s="3"/>
      <c r="B1" s="909"/>
      <c r="C1" s="909"/>
      <c r="D1" s="3"/>
      <c r="E1" s="3"/>
      <c r="F1" s="3"/>
      <c r="G1" s="3"/>
      <c r="H1" s="3"/>
      <c r="I1" s="3"/>
      <c r="J1" s="3"/>
      <c r="K1" s="3"/>
      <c r="L1" s="3"/>
    </row>
    <row r="2" spans="1:12" ht="15.75" customHeight="1">
      <c r="A2" s="908" t="s">
        <v>112</v>
      </c>
      <c r="B2" s="908"/>
      <c r="C2" s="908"/>
      <c r="D2" s="908"/>
      <c r="E2" s="908"/>
      <c r="F2" s="908"/>
      <c r="G2" s="908"/>
      <c r="H2" s="908"/>
      <c r="I2" s="908"/>
      <c r="J2" s="226"/>
      <c r="K2" s="226"/>
      <c r="L2" s="226"/>
    </row>
    <row r="3" spans="1:12" ht="4.5" customHeight="1">
      <c r="A3" s="3"/>
      <c r="B3" s="3"/>
      <c r="C3" s="3"/>
      <c r="D3" s="3"/>
      <c r="E3" s="3"/>
      <c r="F3" s="3"/>
      <c r="G3" s="3"/>
      <c r="H3" s="3"/>
      <c r="I3" s="3"/>
      <c r="J3" s="3"/>
      <c r="K3" s="3"/>
      <c r="L3" s="3"/>
    </row>
    <row r="4" spans="1:12">
      <c r="A4" s="618" t="s">
        <v>113</v>
      </c>
      <c r="B4" s="910" t="s">
        <v>114</v>
      </c>
      <c r="C4" s="911"/>
      <c r="D4" s="904" t="s">
        <v>115</v>
      </c>
      <c r="E4" s="904"/>
      <c r="F4" s="616" t="s">
        <v>116</v>
      </c>
      <c r="G4" s="621"/>
      <c r="H4" s="621"/>
      <c r="I4" s="617"/>
      <c r="J4" s="3"/>
      <c r="K4" s="3"/>
      <c r="L4" s="3"/>
    </row>
    <row r="5" spans="1:12" ht="3" customHeight="1">
      <c r="A5" s="618"/>
      <c r="B5" s="3"/>
      <c r="C5" s="3"/>
      <c r="D5" s="518"/>
      <c r="E5" s="518"/>
      <c r="F5" s="3"/>
      <c r="G5" s="3"/>
      <c r="H5" s="3"/>
      <c r="I5" s="3"/>
      <c r="J5" s="3"/>
      <c r="K5" s="3"/>
      <c r="L5" s="3"/>
    </row>
    <row r="6" spans="1:12">
      <c r="A6" s="618" t="s">
        <v>117</v>
      </c>
      <c r="B6" s="910" t="s">
        <v>118</v>
      </c>
      <c r="C6" s="911"/>
      <c r="D6" s="904" t="s">
        <v>119</v>
      </c>
      <c r="E6" s="904"/>
      <c r="F6" s="242" t="s">
        <v>120</v>
      </c>
      <c r="G6" s="618" t="s">
        <v>121</v>
      </c>
      <c r="H6" s="912">
        <v>20959824.059999999</v>
      </c>
      <c r="I6" s="913"/>
      <c r="J6" s="3"/>
      <c r="K6" s="3"/>
      <c r="L6" s="3"/>
    </row>
    <row r="7" spans="1:12" ht="3" customHeight="1">
      <c r="A7" s="618"/>
      <c r="B7" s="3"/>
      <c r="C7" s="3"/>
      <c r="D7" s="518"/>
      <c r="E7" s="518"/>
      <c r="F7" s="3"/>
      <c r="G7" s="618"/>
      <c r="H7" s="3"/>
      <c r="I7" s="3"/>
      <c r="J7" s="3"/>
      <c r="K7" s="3"/>
      <c r="L7" s="3"/>
    </row>
    <row r="8" spans="1:12">
      <c r="A8" s="618" t="s">
        <v>122</v>
      </c>
      <c r="B8" s="910" t="s">
        <v>123</v>
      </c>
      <c r="C8" s="911"/>
      <c r="D8" s="218"/>
      <c r="E8" s="622" t="s">
        <v>124</v>
      </c>
      <c r="F8" s="623"/>
      <c r="G8" s="622" t="s">
        <v>125</v>
      </c>
      <c r="H8" s="910"/>
      <c r="I8" s="911"/>
      <c r="J8" s="3"/>
      <c r="K8" s="3"/>
      <c r="L8" s="3"/>
    </row>
    <row r="9" spans="1:12" ht="3" customHeight="1">
      <c r="A9" s="518"/>
      <c r="B9" s="3"/>
      <c r="C9" s="3"/>
      <c r="D9" s="518"/>
      <c r="E9" s="518"/>
      <c r="F9" s="3"/>
      <c r="G9" s="3"/>
      <c r="H9" s="3"/>
      <c r="I9" s="3"/>
      <c r="J9" s="3"/>
      <c r="K9" s="3"/>
      <c r="L9" s="3"/>
    </row>
    <row r="10" spans="1:12">
      <c r="A10" s="618" t="s">
        <v>126</v>
      </c>
      <c r="B10" s="914">
        <v>43282</v>
      </c>
      <c r="C10" s="915"/>
      <c r="D10" s="886" t="s">
        <v>127</v>
      </c>
      <c r="E10" s="885"/>
      <c r="F10" s="910" t="s">
        <v>128</v>
      </c>
      <c r="G10" s="917"/>
      <c r="H10" s="917"/>
      <c r="I10" s="911"/>
      <c r="J10" s="3"/>
      <c r="K10" s="3"/>
      <c r="L10" s="3"/>
    </row>
    <row r="11" spans="1:12" ht="5.25" customHeight="1">
      <c r="A11" s="3"/>
      <c r="B11" s="3"/>
      <c r="C11" s="3"/>
      <c r="D11" s="3"/>
      <c r="E11" s="3"/>
      <c r="F11" s="3"/>
      <c r="G11" s="3"/>
      <c r="H11" s="3"/>
      <c r="I11" s="3"/>
      <c r="J11" s="3"/>
      <c r="K11" s="3"/>
      <c r="L11" s="3"/>
    </row>
    <row r="12" spans="1:12" ht="15" customHeight="1">
      <c r="A12" s="618" t="s">
        <v>129</v>
      </c>
      <c r="B12" s="887" t="s">
        <v>130</v>
      </c>
      <c r="C12" s="887"/>
      <c r="D12" s="886" t="s">
        <v>131</v>
      </c>
      <c r="E12" s="904"/>
      <c r="F12" s="916" t="s">
        <v>132</v>
      </c>
      <c r="G12" s="916"/>
      <c r="H12" s="916"/>
      <c r="I12" s="916"/>
      <c r="J12" s="3"/>
      <c r="K12" s="3"/>
      <c r="L12" s="3"/>
    </row>
    <row r="13" spans="1:12" ht="5.25" customHeight="1">
      <c r="A13" s="3"/>
      <c r="B13" s="3"/>
      <c r="C13" s="3"/>
      <c r="D13" s="3"/>
      <c r="E13" s="3"/>
      <c r="F13" s="3"/>
      <c r="G13" s="3"/>
      <c r="H13" s="3"/>
      <c r="I13" s="3"/>
      <c r="J13" s="3"/>
      <c r="K13" s="3"/>
      <c r="L13" s="3"/>
    </row>
    <row r="14" spans="1:12" ht="15.75" customHeight="1">
      <c r="A14" s="908" t="s">
        <v>133</v>
      </c>
      <c r="B14" s="908"/>
      <c r="C14" s="908"/>
      <c r="D14" s="908"/>
      <c r="E14" s="908"/>
      <c r="F14" s="908"/>
      <c r="G14" s="908"/>
      <c r="H14" s="908"/>
      <c r="I14" s="908"/>
      <c r="J14" s="3"/>
      <c r="K14" s="3"/>
      <c r="L14" s="3"/>
    </row>
    <row r="15" spans="1:12" ht="3" customHeight="1">
      <c r="A15" s="3"/>
      <c r="B15" s="3"/>
      <c r="C15" s="3"/>
      <c r="D15" s="3"/>
      <c r="E15" s="3"/>
      <c r="F15" s="3"/>
      <c r="G15" s="3"/>
      <c r="H15" s="3"/>
      <c r="I15" s="3"/>
      <c r="J15" s="3"/>
      <c r="K15" s="3"/>
      <c r="L15" s="3"/>
    </row>
    <row r="16" spans="1:12">
      <c r="A16" s="618" t="s">
        <v>134</v>
      </c>
      <c r="B16" s="623" t="s">
        <v>135</v>
      </c>
      <c r="C16" s="622" t="s">
        <v>136</v>
      </c>
      <c r="D16" s="340">
        <v>43466</v>
      </c>
      <c r="E16" s="620" t="s">
        <v>137</v>
      </c>
      <c r="F16" s="340">
        <v>43646</v>
      </c>
      <c r="G16" s="886" t="s">
        <v>138</v>
      </c>
      <c r="H16" s="885"/>
      <c r="I16" s="619">
        <v>43720</v>
      </c>
      <c r="J16" s="3"/>
      <c r="K16" s="3"/>
      <c r="L16" s="3"/>
    </row>
    <row r="17" spans="1:33" ht="3" customHeight="1">
      <c r="A17" s="3"/>
      <c r="B17" s="3"/>
      <c r="C17" s="3"/>
      <c r="D17" s="3"/>
      <c r="E17" s="3"/>
      <c r="F17" s="3"/>
      <c r="G17" s="3"/>
      <c r="H17" s="3"/>
      <c r="I17" s="3"/>
      <c r="J17" s="3"/>
      <c r="K17" s="3"/>
      <c r="L17" s="3"/>
    </row>
    <row r="18" spans="1:33">
      <c r="A18" s="884" t="s">
        <v>139</v>
      </c>
      <c r="B18" s="885"/>
      <c r="C18" s="907" t="s">
        <v>123</v>
      </c>
      <c r="D18" s="907"/>
      <c r="E18" s="907"/>
      <c r="F18" s="227"/>
      <c r="G18" s="227"/>
      <c r="H18" s="227"/>
      <c r="I18" s="227"/>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908" t="s">
        <v>140</v>
      </c>
      <c r="B21" s="908"/>
      <c r="C21" s="908"/>
      <c r="D21" s="908"/>
      <c r="E21" s="908"/>
      <c r="F21" s="908"/>
      <c r="G21" s="908"/>
      <c r="H21" s="908"/>
      <c r="I21" s="908"/>
      <c r="J21" s="3"/>
      <c r="K21" s="3"/>
      <c r="L21" s="3"/>
    </row>
    <row r="22" spans="1:33">
      <c r="A22" s="518" t="s">
        <v>141</v>
      </c>
      <c r="B22" s="3"/>
      <c r="C22" s="3"/>
      <c r="D22" s="615"/>
      <c r="E22" s="615"/>
      <c r="F22" s="3"/>
      <c r="G22" s="3"/>
      <c r="H22" s="615"/>
      <c r="I22" s="615"/>
      <c r="J22" s="3"/>
      <c r="K22" s="3"/>
      <c r="L22" s="3"/>
    </row>
    <row r="23" spans="1:33" ht="3" customHeight="1">
      <c r="A23" s="3"/>
      <c r="B23" s="3"/>
      <c r="C23" s="3"/>
      <c r="D23" s="3"/>
      <c r="E23" s="3"/>
      <c r="F23" s="3"/>
      <c r="G23" s="3"/>
      <c r="H23" s="3"/>
      <c r="I23" s="3"/>
      <c r="J23" s="3"/>
      <c r="K23" s="3"/>
      <c r="L23" s="3"/>
    </row>
    <row r="24" spans="1:33" ht="15.75" thickBot="1">
      <c r="A24" s="618" t="s">
        <v>142</v>
      </c>
      <c r="B24" s="277"/>
      <c r="C24" s="904" t="s">
        <v>143</v>
      </c>
      <c r="D24" s="904"/>
      <c r="E24" s="278"/>
      <c r="F24" s="904" t="s">
        <v>144</v>
      </c>
      <c r="G24" s="904"/>
      <c r="H24" s="905"/>
      <c r="I24" s="906"/>
      <c r="J24" s="3"/>
      <c r="K24" s="3"/>
      <c r="L24" s="3"/>
      <c r="M24" s="20"/>
    </row>
    <row r="25" spans="1:33" ht="19.5" thickBot="1">
      <c r="A25" s="79" t="s">
        <v>142</v>
      </c>
      <c r="B25" s="80"/>
      <c r="C25" s="80"/>
      <c r="D25" s="80"/>
      <c r="E25" s="80"/>
      <c r="F25" s="80"/>
      <c r="G25" s="217"/>
      <c r="H25" s="519"/>
      <c r="I25" s="519"/>
      <c r="J25" s="520" t="s">
        <v>145</v>
      </c>
      <c r="K25" s="521"/>
      <c r="L25" s="521"/>
      <c r="M25" s="521"/>
      <c r="N25" s="522"/>
      <c r="AG25" s="41"/>
    </row>
    <row r="26" spans="1:33">
      <c r="A26" s="888" t="s">
        <v>146</v>
      </c>
      <c r="B26" s="889"/>
      <c r="C26" s="288" t="s">
        <v>147</v>
      </c>
      <c r="D26" s="82"/>
      <c r="E26" s="82"/>
      <c r="F26" s="82"/>
      <c r="G26" s="82"/>
      <c r="H26" s="82"/>
      <c r="I26" s="523"/>
      <c r="J26" s="82"/>
      <c r="K26" s="82"/>
      <c r="L26" s="82"/>
      <c r="M26" s="37"/>
      <c r="N26" s="37"/>
      <c r="AG26" s="41"/>
    </row>
    <row r="27" spans="1:33" ht="18.75">
      <c r="A27" s="81" t="s">
        <v>148</v>
      </c>
      <c r="B27" s="82"/>
      <c r="C27" s="82"/>
      <c r="D27" s="82"/>
      <c r="E27" s="82"/>
      <c r="F27" s="82"/>
      <c r="G27" s="82"/>
      <c r="H27" s="82"/>
      <c r="I27" s="523"/>
      <c r="J27" s="82"/>
      <c r="K27" s="82"/>
      <c r="L27" s="82"/>
      <c r="M27" s="37"/>
      <c r="N27" s="37"/>
      <c r="AG27" s="41"/>
    </row>
    <row r="28" spans="1:33" ht="15.75" thickBot="1">
      <c r="A28" s="3"/>
      <c r="B28" s="3"/>
      <c r="C28" s="3"/>
      <c r="D28" s="3"/>
      <c r="E28" s="3"/>
      <c r="F28" s="3"/>
      <c r="G28" s="3"/>
      <c r="H28" s="3"/>
      <c r="I28" s="3"/>
      <c r="J28" s="3"/>
      <c r="K28" s="3"/>
      <c r="L28" s="3"/>
    </row>
    <row r="29" spans="1:33" ht="15.75" thickBot="1">
      <c r="A29" s="895" t="s">
        <v>149</v>
      </c>
      <c r="B29" s="896"/>
      <c r="C29" s="896"/>
      <c r="D29" s="896"/>
      <c r="E29" s="896"/>
      <c r="F29" s="896"/>
      <c r="G29" s="896"/>
      <c r="H29" s="896"/>
      <c r="I29" s="896"/>
      <c r="J29" s="896"/>
      <c r="K29" s="896"/>
      <c r="L29" s="896"/>
      <c r="M29" s="897"/>
      <c r="O29" s="178"/>
      <c r="P29" s="179"/>
      <c r="Q29" s="180">
        <f>+B33</f>
        <v>7763873.9000000004</v>
      </c>
    </row>
    <row r="30" spans="1:33">
      <c r="A30" s="83" t="s">
        <v>134</v>
      </c>
      <c r="B30" s="265" t="s">
        <v>150</v>
      </c>
      <c r="C30" s="265" t="s">
        <v>135</v>
      </c>
      <c r="D30" s="265" t="s">
        <v>151</v>
      </c>
      <c r="E30" s="265" t="s">
        <v>152</v>
      </c>
      <c r="F30" s="265" t="s">
        <v>153</v>
      </c>
      <c r="G30" s="265" t="s">
        <v>154</v>
      </c>
      <c r="H30" s="265" t="s">
        <v>155</v>
      </c>
      <c r="I30" s="265" t="s">
        <v>156</v>
      </c>
      <c r="J30" s="265" t="s">
        <v>157</v>
      </c>
      <c r="K30" s="265" t="s">
        <v>158</v>
      </c>
      <c r="L30" s="265" t="s">
        <v>159</v>
      </c>
      <c r="M30" s="266" t="s">
        <v>160</v>
      </c>
      <c r="N30" s="267" t="s">
        <v>161</v>
      </c>
      <c r="O30" s="178"/>
      <c r="P30" s="179"/>
      <c r="Q30" s="180">
        <f>+C33</f>
        <v>12361316.41</v>
      </c>
    </row>
    <row r="31" spans="1:33">
      <c r="A31" s="224" t="s">
        <v>162</v>
      </c>
      <c r="B31" s="273">
        <v>7763873.9000000004</v>
      </c>
      <c r="C31" s="272">
        <v>4597442.51</v>
      </c>
      <c r="D31" s="272"/>
      <c r="E31" s="398"/>
      <c r="F31" s="398"/>
      <c r="G31" s="398"/>
      <c r="H31" s="399"/>
      <c r="I31" s="398"/>
      <c r="J31" s="398"/>
      <c r="K31" s="272"/>
      <c r="L31" s="400"/>
      <c r="M31" s="272"/>
      <c r="N31" s="826"/>
      <c r="O31" s="178"/>
      <c r="P31" s="179"/>
      <c r="Q31" s="180">
        <f>+D33</f>
        <v>0</v>
      </c>
    </row>
    <row r="32" spans="1:33">
      <c r="A32" s="83" t="str">
        <f>CONCATENATE("Выплаты ГФ (в ", $C$26,")")</f>
        <v>Выплаты ГФ (в $)</v>
      </c>
      <c r="B32" s="273">
        <v>9283289</v>
      </c>
      <c r="C32" s="273">
        <v>3078027.41</v>
      </c>
      <c r="D32" s="273"/>
      <c r="E32" s="273"/>
      <c r="F32" s="273"/>
      <c r="G32" s="273"/>
      <c r="H32" s="385"/>
      <c r="I32" s="272"/>
      <c r="J32" s="272"/>
      <c r="K32" s="272"/>
      <c r="L32" s="272"/>
      <c r="M32" s="272"/>
      <c r="N32" s="827"/>
      <c r="O32" s="178"/>
      <c r="P32" s="179"/>
      <c r="Q32" s="180">
        <f>+E33</f>
        <v>0</v>
      </c>
    </row>
    <row r="33" spans="1:33">
      <c r="A33" s="84" t="s">
        <v>163</v>
      </c>
      <c r="B33" s="274">
        <f>+B31</f>
        <v>7763873.9000000004</v>
      </c>
      <c r="C33" s="274">
        <f>IF(AND(C31=0,C32=0),0,+B33+C31)</f>
        <v>12361316.41</v>
      </c>
      <c r="D33" s="274">
        <f>IF(AND(D31=0,D32=0),0,+C33+D31)</f>
        <v>0</v>
      </c>
      <c r="E33" s="274">
        <f>IF(AND(E31=0,E32=0),0,+D33+E31)</f>
        <v>0</v>
      </c>
      <c r="F33" s="396"/>
      <c r="G33" s="396"/>
      <c r="H33" s="396"/>
      <c r="I33" s="396"/>
      <c r="J33" s="396"/>
      <c r="K33" s="396"/>
      <c r="L33" s="401"/>
      <c r="M33" s="274"/>
      <c r="N33" s="827"/>
      <c r="O33" s="262"/>
      <c r="P33" s="179"/>
      <c r="Q33" s="180">
        <f>+F33</f>
        <v>0</v>
      </c>
    </row>
    <row r="34" spans="1:33" ht="15.75" thickBot="1">
      <c r="A34" s="85" t="s">
        <v>164</v>
      </c>
      <c r="B34" s="275">
        <f>+B32</f>
        <v>9283289</v>
      </c>
      <c r="C34" s="275">
        <f>IF(AND(C31=0,C32=0),0,+B34+C32)</f>
        <v>12361316.41</v>
      </c>
      <c r="D34" s="275">
        <f>IF(AND(D31=0,D32=0),0,+C34+D32)</f>
        <v>0</v>
      </c>
      <c r="E34" s="275">
        <f>IF(AND(E31=0,E32=0),0,+D34+E32)</f>
        <v>0</v>
      </c>
      <c r="F34" s="397"/>
      <c r="G34" s="397"/>
      <c r="H34" s="397"/>
      <c r="I34" s="397"/>
      <c r="J34" s="397"/>
      <c r="K34" s="397"/>
      <c r="L34" s="402"/>
      <c r="M34" s="275"/>
      <c r="N34" s="828"/>
      <c r="O34" s="262"/>
      <c r="P34" s="179"/>
      <c r="Q34" s="180">
        <f>+G33</f>
        <v>0</v>
      </c>
    </row>
    <row r="35" spans="1:33">
      <c r="A35" s="3"/>
      <c r="B35" s="253">
        <f>+IF(AND(B30=$B$16,B33&lt;&gt;0),B34/B33,0)</f>
        <v>0</v>
      </c>
      <c r="C35" s="253">
        <f t="shared" ref="C35:M35" si="0">+IF(AND(C30=$B$16,C33&lt;&gt;0),C34/C33,0)</f>
        <v>1</v>
      </c>
      <c r="D35" s="253">
        <f t="shared" si="0"/>
        <v>0</v>
      </c>
      <c r="E35" s="253">
        <f>+IF(AND(E30=$B$16,E33&lt;&gt;0),E34/E33,0)</f>
        <v>0</v>
      </c>
      <c r="F35" s="253">
        <f t="shared" si="0"/>
        <v>0</v>
      </c>
      <c r="G35" s="253">
        <f t="shared" si="0"/>
        <v>0</v>
      </c>
      <c r="H35" s="253">
        <f t="shared" si="0"/>
        <v>0</v>
      </c>
      <c r="I35" s="253">
        <f t="shared" si="0"/>
        <v>0</v>
      </c>
      <c r="J35" s="253">
        <f t="shared" si="0"/>
        <v>0</v>
      </c>
      <c r="K35" s="253">
        <f t="shared" si="0"/>
        <v>0</v>
      </c>
      <c r="L35" s="253">
        <f t="shared" si="0"/>
        <v>0</v>
      </c>
      <c r="M35" s="253">
        <f t="shared" si="0"/>
        <v>0</v>
      </c>
      <c r="N35" s="228"/>
      <c r="O35" s="181"/>
      <c r="P35" s="182"/>
      <c r="Q35" s="180">
        <f>+H33</f>
        <v>0</v>
      </c>
    </row>
    <row r="36" spans="1:33" ht="18.75">
      <c r="A36" s="81" t="s">
        <v>165</v>
      </c>
      <c r="B36" s="3"/>
      <c r="C36" s="3"/>
      <c r="D36" s="259"/>
      <c r="E36" s="3"/>
      <c r="F36" s="215"/>
      <c r="G36" s="3"/>
      <c r="H36" s="3"/>
      <c r="I36" s="3"/>
      <c r="J36" s="3"/>
      <c r="K36" s="3"/>
      <c r="L36" s="3"/>
      <c r="M36" s="38"/>
      <c r="N36" s="38"/>
      <c r="AG36" s="20"/>
    </row>
    <row r="37" spans="1:33" ht="15.75" thickBot="1">
      <c r="A37" s="3"/>
      <c r="B37" s="3"/>
      <c r="C37" s="3"/>
      <c r="D37" s="3"/>
      <c r="E37" s="3"/>
      <c r="F37" s="3"/>
      <c r="G37" s="3"/>
      <c r="H37" s="3"/>
      <c r="I37" s="3"/>
      <c r="J37" s="3"/>
      <c r="K37" s="3"/>
      <c r="L37" s="3"/>
      <c r="M37" s="36"/>
      <c r="N37" s="36"/>
    </row>
    <row r="38" spans="1:33" ht="30" customHeight="1">
      <c r="A38" s="312"/>
      <c r="B38" s="524" t="str">
        <f>CONCATENATE("Общий бюджет (в ",'Ввод данных'!$C$26,")")</f>
        <v>Общий бюджет (в $)</v>
      </c>
      <c r="C38" s="525" t="str">
        <f>CONCATENATE("Общие расходы (в ",'Ввод данных'!$C$26,")")</f>
        <v>Общие расходы (в $)</v>
      </c>
      <c r="D38" s="221"/>
      <c r="E38" s="221" t="s">
        <v>166</v>
      </c>
      <c r="F38" s="3"/>
      <c r="G38" s="3"/>
      <c r="H38" s="3"/>
      <c r="I38" s="91"/>
      <c r="J38" s="39"/>
      <c r="M38"/>
      <c r="N38"/>
      <c r="AC38" s="20"/>
      <c r="AD38" s="33"/>
    </row>
    <row r="39" spans="1:33">
      <c r="A39" s="404" t="s">
        <v>167</v>
      </c>
      <c r="B39" s="279">
        <v>43968.75</v>
      </c>
      <c r="C39" s="282">
        <v>44269.86</v>
      </c>
      <c r="D39" s="15"/>
      <c r="E39" s="15" t="s">
        <v>168</v>
      </c>
      <c r="F39" s="264"/>
      <c r="G39" s="3"/>
      <c r="H39" s="3"/>
      <c r="I39" s="92"/>
      <c r="J39" s="40"/>
      <c r="M39"/>
      <c r="N39"/>
      <c r="AC39" s="20"/>
      <c r="AD39" s="33"/>
    </row>
    <row r="40" spans="1:33">
      <c r="A40" s="404" t="s">
        <v>169</v>
      </c>
      <c r="B40" s="279">
        <v>325214.09999999998</v>
      </c>
      <c r="C40" s="282">
        <v>469724.83</v>
      </c>
      <c r="D40" s="15"/>
      <c r="E40" s="15" t="s">
        <v>170</v>
      </c>
      <c r="F40" s="264"/>
      <c r="G40" s="3"/>
      <c r="H40" s="3"/>
      <c r="I40" s="92"/>
      <c r="J40" s="40"/>
      <c r="M40"/>
      <c r="N40"/>
      <c r="AC40" s="20"/>
      <c r="AD40" s="33"/>
    </row>
    <row r="41" spans="1:33">
      <c r="A41" s="404" t="s">
        <v>171</v>
      </c>
      <c r="B41" s="279" t="s">
        <v>172</v>
      </c>
      <c r="C41" s="282">
        <v>678.93</v>
      </c>
      <c r="D41" s="15"/>
      <c r="E41" s="15" t="s">
        <v>173</v>
      </c>
      <c r="F41" s="264"/>
      <c r="G41" s="3"/>
      <c r="H41" s="3"/>
      <c r="I41" s="92"/>
      <c r="J41" s="40"/>
      <c r="M41"/>
      <c r="N41"/>
      <c r="AC41" s="20"/>
      <c r="AD41" s="33"/>
    </row>
    <row r="42" spans="1:33">
      <c r="A42" s="281" t="s">
        <v>174</v>
      </c>
      <c r="B42" s="279">
        <v>966</v>
      </c>
      <c r="C42" s="282">
        <v>15884.08</v>
      </c>
      <c r="D42" s="15"/>
      <c r="E42" s="15" t="s">
        <v>175</v>
      </c>
      <c r="F42" s="264"/>
      <c r="G42" s="3"/>
      <c r="H42" s="3"/>
      <c r="I42" s="92"/>
      <c r="J42" s="40"/>
      <c r="M42"/>
      <c r="N42"/>
      <c r="AC42" s="20"/>
      <c r="AD42" s="33"/>
    </row>
    <row r="43" spans="1:33">
      <c r="A43" s="404" t="s">
        <v>176</v>
      </c>
      <c r="B43" s="279">
        <v>606868.87</v>
      </c>
      <c r="C43" s="282">
        <v>443704.78</v>
      </c>
      <c r="D43" s="15"/>
      <c r="E43" s="15" t="s">
        <v>177</v>
      </c>
      <c r="F43" s="264"/>
      <c r="G43" s="3"/>
      <c r="H43" s="3"/>
      <c r="I43" s="92"/>
      <c r="J43" s="40"/>
      <c r="M43"/>
      <c r="N43"/>
      <c r="AC43" s="20"/>
      <c r="AD43" s="33"/>
    </row>
    <row r="44" spans="1:33">
      <c r="A44" s="405" t="s">
        <v>178</v>
      </c>
      <c r="B44" s="279" t="s">
        <v>172</v>
      </c>
      <c r="C44" s="282" t="s">
        <v>179</v>
      </c>
      <c r="D44" s="15"/>
      <c r="E44" s="15" t="s">
        <v>180</v>
      </c>
      <c r="F44" s="264"/>
      <c r="G44" s="3"/>
      <c r="H44" s="3"/>
      <c r="I44" s="92"/>
      <c r="J44" s="40"/>
      <c r="M44"/>
      <c r="N44"/>
      <c r="AC44" s="20"/>
      <c r="AD44" s="33"/>
    </row>
    <row r="45" spans="1:33">
      <c r="A45" s="281" t="s">
        <v>181</v>
      </c>
      <c r="B45" s="279">
        <v>2115069.0099999998</v>
      </c>
      <c r="C45" s="282">
        <v>2075635.84</v>
      </c>
      <c r="D45" s="15"/>
      <c r="E45" s="15" t="s">
        <v>182</v>
      </c>
      <c r="F45" s="264"/>
      <c r="G45" s="3"/>
      <c r="H45" s="3"/>
      <c r="I45" s="92"/>
      <c r="J45" s="40"/>
      <c r="M45"/>
      <c r="N45"/>
      <c r="AC45" s="20"/>
      <c r="AD45" s="33"/>
    </row>
    <row r="46" spans="1:33">
      <c r="A46" s="281" t="s">
        <v>183</v>
      </c>
      <c r="B46" s="279">
        <v>10973.43</v>
      </c>
      <c r="C46" s="282">
        <v>16892.22</v>
      </c>
      <c r="D46" s="15"/>
      <c r="E46" s="15" t="s">
        <v>184</v>
      </c>
      <c r="F46" s="264"/>
      <c r="G46" s="3"/>
      <c r="H46" s="3"/>
      <c r="I46" s="92"/>
      <c r="J46" s="40"/>
      <c r="M46"/>
      <c r="N46"/>
      <c r="AC46" s="20"/>
      <c r="AD46" s="33"/>
    </row>
    <row r="47" spans="1:33">
      <c r="A47" s="281" t="s">
        <v>185</v>
      </c>
      <c r="B47" s="280">
        <v>30173.84</v>
      </c>
      <c r="C47" s="282">
        <v>21790.13</v>
      </c>
      <c r="D47" s="15"/>
      <c r="E47" s="15" t="s">
        <v>186</v>
      </c>
      <c r="F47" s="264"/>
      <c r="G47" s="3"/>
      <c r="H47" s="3"/>
      <c r="I47" s="92"/>
      <c r="J47" s="40"/>
      <c r="M47"/>
      <c r="N47"/>
      <c r="AC47" s="20"/>
      <c r="AD47" s="33"/>
    </row>
    <row r="48" spans="1:33">
      <c r="A48" s="281" t="s">
        <v>187</v>
      </c>
      <c r="B48" s="279">
        <v>1100787.98</v>
      </c>
      <c r="C48" s="282">
        <v>839762.55</v>
      </c>
      <c r="D48" s="15"/>
      <c r="E48" s="15" t="s">
        <v>188</v>
      </c>
      <c r="F48" s="264"/>
      <c r="G48" s="3"/>
      <c r="H48" s="3"/>
      <c r="I48" s="92"/>
      <c r="J48" s="40"/>
      <c r="M48"/>
      <c r="N48"/>
      <c r="AC48" s="20"/>
      <c r="AD48" s="33"/>
    </row>
    <row r="49" spans="1:32">
      <c r="A49" s="281" t="s">
        <v>189</v>
      </c>
      <c r="B49" s="279">
        <v>10327.94</v>
      </c>
      <c r="C49" s="282">
        <v>34770.19</v>
      </c>
      <c r="D49" s="15"/>
      <c r="E49" s="15" t="s">
        <v>190</v>
      </c>
      <c r="F49" s="264"/>
      <c r="G49" s="3"/>
      <c r="H49" s="3"/>
      <c r="I49" s="92"/>
      <c r="J49" s="40"/>
      <c r="M49"/>
      <c r="N49"/>
      <c r="AC49" s="20"/>
      <c r="AD49" s="33"/>
    </row>
    <row r="50" spans="1:32">
      <c r="A50" s="281" t="s">
        <v>191</v>
      </c>
      <c r="B50" s="279">
        <v>71405.25</v>
      </c>
      <c r="C50" s="282">
        <v>85111.11</v>
      </c>
      <c r="D50" s="15"/>
      <c r="E50" s="15" t="s">
        <v>192</v>
      </c>
      <c r="F50" s="264"/>
      <c r="G50" s="3"/>
      <c r="H50" s="3"/>
      <c r="I50" s="92"/>
      <c r="J50" s="40"/>
      <c r="M50"/>
      <c r="N50"/>
      <c r="AC50" s="20"/>
      <c r="AD50" s="33"/>
    </row>
    <row r="51" spans="1:32">
      <c r="A51" s="283" t="s">
        <v>193</v>
      </c>
      <c r="B51" s="280">
        <v>281687.34999999998</v>
      </c>
      <c r="C51" s="282">
        <v>125964.92</v>
      </c>
      <c r="D51" s="15"/>
      <c r="E51" s="264" t="s">
        <v>194</v>
      </c>
      <c r="F51" s="264"/>
      <c r="G51" s="3"/>
      <c r="H51" s="3"/>
      <c r="I51" s="92"/>
      <c r="J51" s="40"/>
      <c r="M51"/>
      <c r="N51"/>
      <c r="AC51" s="20"/>
      <c r="AD51" s="33"/>
    </row>
    <row r="52" spans="1:32">
      <c r="A52" s="405"/>
      <c r="B52" s="280"/>
      <c r="C52" s="282"/>
      <c r="D52" s="15"/>
      <c r="E52" s="263"/>
      <c r="F52" s="264"/>
      <c r="G52" s="3"/>
      <c r="H52" s="3"/>
      <c r="I52" s="92"/>
      <c r="J52" s="40"/>
      <c r="M52"/>
      <c r="N52"/>
      <c r="AC52" s="20"/>
      <c r="AD52" s="33"/>
    </row>
    <row r="53" spans="1:32">
      <c r="A53" s="281"/>
      <c r="B53" s="386"/>
      <c r="C53" s="282"/>
      <c r="D53" s="15"/>
      <c r="E53" s="263"/>
      <c r="F53" s="264"/>
      <c r="G53" s="3"/>
      <c r="H53" s="3"/>
      <c r="I53" s="92"/>
      <c r="J53" s="40"/>
      <c r="M53"/>
      <c r="N53"/>
      <c r="AC53" s="20"/>
      <c r="AD53" s="33"/>
    </row>
    <row r="54" spans="1:32">
      <c r="A54" s="281"/>
      <c r="B54" s="386"/>
      <c r="C54" s="282"/>
      <c r="D54" s="228"/>
      <c r="E54" s="263"/>
      <c r="F54" s="264"/>
      <c r="G54" s="3"/>
      <c r="H54" s="3"/>
      <c r="I54" s="3"/>
      <c r="J54" s="40"/>
      <c r="M54"/>
      <c r="N54"/>
      <c r="AC54" s="20"/>
      <c r="AD54" s="33"/>
    </row>
    <row r="55" spans="1:32" ht="15.75" thickBot="1">
      <c r="A55" s="283"/>
      <c r="B55" s="387"/>
      <c r="C55" s="394"/>
      <c r="D55" s="219"/>
      <c r="E55" s="263"/>
      <c r="F55" s="3"/>
      <c r="G55" s="3"/>
      <c r="H55" s="3"/>
      <c r="I55" s="3"/>
      <c r="J55" s="40"/>
      <c r="M55"/>
      <c r="N55"/>
      <c r="AC55" s="20"/>
      <c r="AD55" s="33"/>
    </row>
    <row r="56" spans="1:32" ht="15.75" thickBot="1">
      <c r="A56" s="284" t="s">
        <v>195</v>
      </c>
      <c r="B56" s="451">
        <f>SUM(B39:B55)</f>
        <v>4597442.5199999996</v>
      </c>
      <c r="C56" s="452">
        <f>SUM(C39:C55)</f>
        <v>4174189.4400000004</v>
      </c>
      <c r="D56" s="3"/>
      <c r="E56" s="833" t="str">
        <f ca="1">+IF((ROUND(B56,0)=ROUND(OFFSET(A31,0,RIGHT('Ввод данных'!$B$16,LEN('Ввод данных'!$B$16)-1),1,1),0)),"Все правильно: данные верны","Предупреждение: данные не совпадают")</f>
        <v>Все правильно: данные верны</v>
      </c>
      <c r="F56" s="834"/>
      <c r="G56" s="834"/>
      <c r="H56" s="835"/>
      <c r="I56" s="173"/>
      <c r="J56" s="173"/>
      <c r="K56" s="173"/>
      <c r="L56" s="181"/>
      <c r="M56" s="182"/>
      <c r="N56" s="180"/>
      <c r="O56" s="178"/>
      <c r="AC56" s="33"/>
      <c r="AD56" s="33"/>
    </row>
    <row r="57" spans="1:32">
      <c r="A57" s="3"/>
      <c r="B57" s="173"/>
      <c r="C57" s="173"/>
      <c r="E57" s="173"/>
      <c r="F57" s="173"/>
      <c r="G57" s="173"/>
      <c r="H57" s="173"/>
      <c r="I57" s="173"/>
      <c r="J57" s="173"/>
      <c r="K57" s="173"/>
      <c r="L57" s="173"/>
      <c r="M57" s="173"/>
      <c r="N57" s="173"/>
      <c r="O57" s="181"/>
      <c r="P57" s="182"/>
      <c r="Q57" s="180"/>
    </row>
    <row r="58" spans="1:32" ht="18.75">
      <c r="A58" s="81" t="s">
        <v>196</v>
      </c>
      <c r="B58" s="3"/>
      <c r="C58" s="173"/>
      <c r="D58" s="360"/>
      <c r="E58" s="3"/>
      <c r="F58" s="3"/>
      <c r="G58" s="3"/>
      <c r="H58" s="3"/>
      <c r="I58" s="3"/>
      <c r="J58" s="3"/>
      <c r="K58" s="3"/>
      <c r="L58" s="3"/>
      <c r="O58" s="178"/>
      <c r="P58" s="179"/>
      <c r="Q58" s="180">
        <f>+I33</f>
        <v>0</v>
      </c>
    </row>
    <row r="59" spans="1:32" ht="15.75" thickBot="1">
      <c r="A59" s="3"/>
      <c r="B59" s="3"/>
      <c r="C59" s="3"/>
      <c r="D59" s="3"/>
      <c r="E59" s="3"/>
      <c r="F59" s="3"/>
      <c r="G59" s="3"/>
      <c r="H59" s="3"/>
      <c r="I59" s="3"/>
      <c r="J59" s="3"/>
      <c r="K59" s="3"/>
      <c r="L59" s="3"/>
      <c r="O59" s="178"/>
      <c r="P59" s="179"/>
      <c r="Q59" s="180">
        <f>+J33</f>
        <v>0</v>
      </c>
    </row>
    <row r="60" spans="1:32" ht="51" customHeight="1">
      <c r="A60" s="372"/>
      <c r="B60" s="373" t="s">
        <v>197</v>
      </c>
      <c r="C60" s="373" t="s">
        <v>198</v>
      </c>
      <c r="D60" s="374" t="str">
        <f>CONCATENATE("Всего израсходовано и выплачено (в ",C26,")")</f>
        <v>Всего израсходовано и выплачено (в $)</v>
      </c>
      <c r="E60" s="3"/>
      <c r="F60" s="232"/>
      <c r="G60" s="526"/>
      <c r="H60" s="225"/>
      <c r="I60" s="225"/>
      <c r="J60" s="225"/>
      <c r="K60" s="225"/>
      <c r="L60" s="21"/>
      <c r="M60" s="21"/>
      <c r="N60" s="178"/>
      <c r="O60" s="179"/>
      <c r="P60" s="180">
        <f>+L33</f>
        <v>0</v>
      </c>
      <c r="Q60" s="178"/>
      <c r="AF60" s="20"/>
    </row>
    <row r="61" spans="1:32">
      <c r="A61" s="375" t="s">
        <v>199</v>
      </c>
      <c r="B61" s="406">
        <v>9283289</v>
      </c>
      <c r="C61" s="406">
        <v>3078027</v>
      </c>
      <c r="D61" s="377">
        <f>+C61+B61</f>
        <v>12361316</v>
      </c>
      <c r="E61" s="3"/>
      <c r="F61" s="87"/>
      <c r="G61" s="230"/>
      <c r="H61" s="86"/>
      <c r="I61" s="176"/>
      <c r="J61" s="177"/>
      <c r="K61" s="88"/>
      <c r="L61" s="34"/>
      <c r="M61" s="34"/>
      <c r="N61" s="178"/>
      <c r="O61" s="178"/>
      <c r="P61" s="178"/>
      <c r="Q61" s="178"/>
      <c r="AF61" s="20"/>
    </row>
    <row r="62" spans="1:32">
      <c r="A62" s="375" t="s">
        <v>200</v>
      </c>
      <c r="B62" s="406">
        <v>5559757</v>
      </c>
      <c r="C62" s="406">
        <v>7370949</v>
      </c>
      <c r="D62" s="377">
        <f>+C62+B62</f>
        <v>12930706</v>
      </c>
      <c r="E62" s="3"/>
      <c r="F62" s="210"/>
      <c r="G62" s="230"/>
      <c r="H62" s="86"/>
      <c r="I62" s="176"/>
      <c r="J62" s="176"/>
      <c r="K62" s="88"/>
      <c r="L62" s="35"/>
      <c r="M62" s="35"/>
      <c r="N62" s="178"/>
      <c r="O62" s="178"/>
      <c r="P62" s="178"/>
      <c r="Q62" s="178"/>
      <c r="AF62" s="20"/>
    </row>
    <row r="63" spans="1:32">
      <c r="A63" s="375" t="s">
        <v>201</v>
      </c>
      <c r="B63" s="406">
        <v>1045893</v>
      </c>
      <c r="C63" s="406">
        <v>967750</v>
      </c>
      <c r="D63" s="377">
        <f>+C63+B63</f>
        <v>2013643</v>
      </c>
      <c r="E63" s="3"/>
      <c r="F63" s="87"/>
      <c r="G63" s="230"/>
      <c r="H63" s="86"/>
      <c r="I63" s="176"/>
      <c r="J63" s="177"/>
      <c r="K63" s="88"/>
      <c r="L63" s="34"/>
      <c r="M63" s="34"/>
      <c r="N63"/>
      <c r="AF63" s="20"/>
    </row>
    <row r="64" spans="1:32">
      <c r="A64" s="376" t="s">
        <v>202</v>
      </c>
      <c r="B64" s="406">
        <v>997821</v>
      </c>
      <c r="C64" s="406">
        <v>776059</v>
      </c>
      <c r="D64" s="378">
        <f>+C64+B64</f>
        <v>1773880</v>
      </c>
      <c r="E64" s="173"/>
      <c r="F64" s="211"/>
      <c r="G64" s="231"/>
      <c r="H64" s="89"/>
      <c r="I64" s="89"/>
      <c r="J64" s="89"/>
      <c r="K64" s="88"/>
      <c r="L64" s="35"/>
      <c r="M64" s="35"/>
      <c r="N64"/>
      <c r="AF64" s="20"/>
    </row>
    <row r="65" spans="1:33" ht="15.75" customHeight="1">
      <c r="A65" s="3"/>
      <c r="B65" s="3"/>
      <c r="C65" s="173"/>
      <c r="D65" s="3"/>
      <c r="E65" s="173"/>
      <c r="F65" s="3"/>
      <c r="G65" s="3"/>
      <c r="H65" s="3"/>
      <c r="I65" s="3"/>
      <c r="J65" s="3"/>
      <c r="K65" s="3"/>
      <c r="L65" s="3"/>
      <c r="AG65" s="20"/>
    </row>
    <row r="66" spans="1:33">
      <c r="A66" s="3"/>
      <c r="B66" s="3"/>
      <c r="C66" s="371"/>
      <c r="D66" s="3"/>
      <c r="E66" s="3"/>
      <c r="F66" s="3"/>
      <c r="G66" s="3"/>
      <c r="H66" s="3"/>
      <c r="I66" s="3"/>
      <c r="J66" s="3"/>
      <c r="K66" s="3"/>
      <c r="L66" s="3"/>
    </row>
    <row r="67" spans="1:33" ht="18.75">
      <c r="A67" s="81" t="s">
        <v>203</v>
      </c>
      <c r="B67" s="3"/>
      <c r="C67" s="173"/>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92" t="s">
        <v>204</v>
      </c>
      <c r="B69" s="893"/>
      <c r="C69" s="894"/>
      <c r="D69" s="393"/>
      <c r="E69" s="3"/>
      <c r="F69" s="3"/>
      <c r="G69" s="3"/>
      <c r="H69" s="3"/>
      <c r="I69" s="3"/>
      <c r="J69" s="3"/>
      <c r="K69" s="3"/>
      <c r="L69" s="33"/>
      <c r="N69"/>
    </row>
    <row r="70" spans="1:33">
      <c r="A70" s="388"/>
      <c r="B70" s="324"/>
      <c r="C70" s="341" t="s">
        <v>205</v>
      </c>
      <c r="D70" s="389" t="s">
        <v>206</v>
      </c>
      <c r="E70" s="3"/>
      <c r="F70" s="3"/>
      <c r="G70" s="3"/>
      <c r="H70" s="3"/>
      <c r="I70" s="3"/>
      <c r="J70" s="3"/>
      <c r="K70" s="3"/>
      <c r="L70" s="33"/>
      <c r="N70"/>
    </row>
    <row r="71" spans="1:33">
      <c r="A71" s="390" t="s">
        <v>207</v>
      </c>
      <c r="B71" s="42"/>
      <c r="C71" s="407">
        <v>45</v>
      </c>
      <c r="D71" s="408">
        <v>46</v>
      </c>
      <c r="E71" s="3"/>
      <c r="F71" s="3"/>
      <c r="G71" s="3"/>
      <c r="H71" s="3"/>
      <c r="I71" s="3"/>
      <c r="J71" s="3"/>
      <c r="K71" s="3"/>
      <c r="L71" s="33"/>
      <c r="N71"/>
    </row>
    <row r="72" spans="1:33">
      <c r="A72" s="233" t="s">
        <v>208</v>
      </c>
      <c r="B72" s="42"/>
      <c r="C72" s="407">
        <v>60</v>
      </c>
      <c r="D72" s="408" t="s">
        <v>209</v>
      </c>
      <c r="E72" s="3"/>
      <c r="F72" s="3"/>
      <c r="G72" s="230"/>
      <c r="H72" s="230"/>
      <c r="I72" s="3"/>
      <c r="J72" s="3"/>
      <c r="K72" s="3"/>
      <c r="L72" s="33"/>
      <c r="N72"/>
    </row>
    <row r="73" spans="1:33" ht="15.75" thickBot="1">
      <c r="A73" s="391" t="s">
        <v>210</v>
      </c>
      <c r="B73" s="392"/>
      <c r="C73" s="409">
        <v>10</v>
      </c>
      <c r="D73" s="408" t="s">
        <v>209</v>
      </c>
      <c r="E73" s="3"/>
      <c r="F73" s="3"/>
      <c r="G73" s="230"/>
      <c r="H73" s="230"/>
      <c r="I73" s="3"/>
      <c r="J73" s="3"/>
      <c r="K73" s="3"/>
      <c r="L73" s="33"/>
      <c r="N73"/>
    </row>
    <row r="74" spans="1:33">
      <c r="A74" s="3"/>
      <c r="B74" s="3"/>
      <c r="C74" s="342"/>
      <c r="D74" s="342"/>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93" t="s">
        <v>211</v>
      </c>
      <c r="B76" s="94"/>
      <c r="C76" s="94"/>
      <c r="D76" s="94"/>
      <c r="E76" s="94"/>
      <c r="F76" s="94"/>
      <c r="G76" s="527" t="s">
        <v>212</v>
      </c>
      <c r="H76" s="528"/>
      <c r="I76" s="529"/>
      <c r="J76" s="529"/>
      <c r="K76" s="530"/>
      <c r="L76" s="95"/>
      <c r="M76" s="77"/>
      <c r="N76" s="77"/>
      <c r="O76" s="77"/>
      <c r="AA76" s="19"/>
      <c r="AB76" s="19"/>
    </row>
    <row r="77" spans="1:33" ht="18.75">
      <c r="A77" s="96"/>
      <c r="B77" s="95"/>
      <c r="C77" s="95"/>
      <c r="D77" s="95"/>
      <c r="E77" s="95"/>
      <c r="F77" s="95"/>
      <c r="G77" s="95"/>
      <c r="H77" s="95"/>
      <c r="I77" s="95"/>
      <c r="J77" s="97"/>
      <c r="K77" s="97"/>
      <c r="L77" s="95"/>
      <c r="M77" s="77"/>
      <c r="N77" s="77"/>
      <c r="O77" s="77"/>
      <c r="AA77" s="19"/>
      <c r="AB77" s="19"/>
    </row>
    <row r="78" spans="1:33" ht="18.75">
      <c r="A78" s="96" t="s">
        <v>213</v>
      </c>
      <c r="B78" s="95"/>
      <c r="C78" s="95"/>
      <c r="D78" s="95"/>
      <c r="E78" s="95"/>
      <c r="F78" s="95"/>
      <c r="G78" s="95"/>
      <c r="H78" s="95"/>
      <c r="I78" s="95"/>
      <c r="J78" s="97"/>
      <c r="K78" s="97"/>
      <c r="L78" s="95"/>
      <c r="M78" s="77"/>
      <c r="N78" s="77"/>
      <c r="O78" s="77"/>
      <c r="AA78" s="19"/>
      <c r="AB78" s="19"/>
    </row>
    <row r="79" spans="1:33" ht="15.75" thickBot="1">
      <c r="A79" s="2"/>
      <c r="B79" s="98"/>
      <c r="C79" s="98"/>
      <c r="D79" s="98"/>
      <c r="E79" s="98"/>
      <c r="F79" s="98"/>
      <c r="G79" s="2"/>
      <c r="H79" s="98"/>
      <c r="I79" s="2"/>
      <c r="J79" s="2"/>
      <c r="K79" s="2"/>
      <c r="L79" s="2"/>
      <c r="M79" s="20"/>
      <c r="N79" s="19"/>
      <c r="O79" s="19"/>
      <c r="P79" s="19"/>
      <c r="Q79" s="19"/>
      <c r="AB79" s="19"/>
    </row>
    <row r="80" spans="1:33" ht="45">
      <c r="A80" s="890"/>
      <c r="B80" s="891"/>
      <c r="C80" s="99" t="s">
        <v>214</v>
      </c>
      <c r="D80" s="100" t="s">
        <v>215</v>
      </c>
      <c r="E80" s="303" t="s">
        <v>216</v>
      </c>
      <c r="F80" s="304" t="s">
        <v>217</v>
      </c>
      <c r="G80" s="531"/>
      <c r="H80" s="532"/>
      <c r="I80" s="15"/>
      <c r="J80" s="2"/>
      <c r="K80" s="2"/>
      <c r="L80" s="2"/>
      <c r="M80" s="20"/>
      <c r="N80" s="19"/>
      <c r="O80" s="19"/>
      <c r="P80" s="19"/>
      <c r="Q80" s="19"/>
    </row>
    <row r="81" spans="1:17">
      <c r="A81" s="822" t="s">
        <v>218</v>
      </c>
      <c r="B81" s="823"/>
      <c r="C81" s="212">
        <v>0</v>
      </c>
      <c r="D81" s="212">
        <v>0</v>
      </c>
      <c r="E81" s="212">
        <v>0</v>
      </c>
      <c r="F81" s="101"/>
      <c r="G81" s="531"/>
      <c r="H81" s="532"/>
      <c r="I81" s="15"/>
      <c r="J81" s="2"/>
      <c r="K81" s="2"/>
      <c r="L81" s="2"/>
      <c r="M81" s="20"/>
      <c r="N81" s="19"/>
      <c r="O81" s="19"/>
      <c r="P81" s="19"/>
      <c r="Q81" s="19"/>
    </row>
    <row r="82" spans="1:17" ht="15.75" thickBot="1">
      <c r="A82" s="824" t="s">
        <v>219</v>
      </c>
      <c r="B82" s="825"/>
      <c r="C82" s="212">
        <v>0</v>
      </c>
      <c r="D82" s="212">
        <v>0</v>
      </c>
      <c r="E82" s="212">
        <v>0</v>
      </c>
      <c r="F82" s="212">
        <v>0</v>
      </c>
      <c r="G82" s="531"/>
      <c r="H82" s="532"/>
      <c r="I82" s="15"/>
      <c r="J82" s="2"/>
      <c r="K82" s="2"/>
      <c r="L82" s="2"/>
      <c r="M82" s="20"/>
      <c r="N82" s="19"/>
      <c r="O82" s="19"/>
      <c r="P82" s="19"/>
      <c r="Q82" s="19"/>
    </row>
    <row r="83" spans="1:17">
      <c r="A83" s="822" t="s">
        <v>220</v>
      </c>
      <c r="B83" s="823"/>
      <c r="C83" s="212">
        <v>0</v>
      </c>
      <c r="D83" s="212">
        <v>0</v>
      </c>
      <c r="E83" s="212">
        <v>0</v>
      </c>
      <c r="F83" s="101">
        <f>SUM(C83:E83)</f>
        <v>0</v>
      </c>
      <c r="G83" s="229"/>
      <c r="H83" s="240"/>
      <c r="I83" s="240"/>
      <c r="J83" s="2"/>
      <c r="K83" s="2"/>
      <c r="L83" s="2"/>
      <c r="M83" s="20"/>
      <c r="N83" s="19"/>
      <c r="O83" s="19"/>
      <c r="P83" s="19"/>
      <c r="Q83" s="19"/>
    </row>
    <row r="84" spans="1:17" ht="15.75" thickBot="1">
      <c r="A84" s="824" t="s">
        <v>221</v>
      </c>
      <c r="B84" s="825"/>
      <c r="C84" s="213">
        <v>0</v>
      </c>
      <c r="D84" s="213">
        <v>0</v>
      </c>
      <c r="E84" s="213">
        <v>0</v>
      </c>
      <c r="F84" s="102">
        <f>SUM(C84:E84)</f>
        <v>0</v>
      </c>
      <c r="G84" s="229"/>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96" t="s">
        <v>222</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442" t="s">
        <v>223</v>
      </c>
      <c r="B89" s="300" t="s">
        <v>224</v>
      </c>
      <c r="C89" s="300" t="s">
        <v>225</v>
      </c>
      <c r="D89" s="103" t="s">
        <v>226</v>
      </c>
      <c r="E89" s="15"/>
      <c r="F89" s="15"/>
      <c r="G89" s="15"/>
      <c r="H89" s="532"/>
      <c r="I89" s="2"/>
      <c r="J89" s="2"/>
      <c r="K89" s="2"/>
      <c r="L89" s="2"/>
      <c r="M89" s="19"/>
      <c r="N89" s="19"/>
      <c r="O89" s="19"/>
    </row>
    <row r="90" spans="1:17" ht="15.75" thickBot="1">
      <c r="A90" s="326" t="s">
        <v>227</v>
      </c>
      <c r="B90" s="557">
        <v>4</v>
      </c>
      <c r="C90" s="557">
        <v>4</v>
      </c>
      <c r="D90" s="562">
        <f>B90-C90</f>
        <v>0</v>
      </c>
      <c r="E90" s="15"/>
      <c r="F90" s="15"/>
      <c r="G90" s="15"/>
      <c r="H90" s="532"/>
      <c r="I90" s="2"/>
      <c r="J90" s="2"/>
      <c r="K90" s="2"/>
      <c r="L90" s="2"/>
      <c r="M90" s="19"/>
      <c r="N90" s="19"/>
      <c r="O90" s="19"/>
    </row>
    <row r="91" spans="1:17" ht="15.75" thickBot="1">
      <c r="A91" s="326" t="s">
        <v>228</v>
      </c>
      <c r="B91" s="558">
        <v>2</v>
      </c>
      <c r="C91" s="558">
        <v>2</v>
      </c>
      <c r="D91" s="560">
        <v>0</v>
      </c>
      <c r="E91" s="15"/>
      <c r="F91" s="15"/>
      <c r="G91" s="15"/>
      <c r="H91" s="532"/>
      <c r="I91" s="2"/>
      <c r="J91" s="2"/>
      <c r="K91" s="2"/>
      <c r="L91" s="2"/>
      <c r="M91" s="19"/>
      <c r="N91" s="19"/>
      <c r="O91" s="19"/>
    </row>
    <row r="92" spans="1:17" ht="15.75" thickBot="1">
      <c r="A92" s="326" t="s">
        <v>229</v>
      </c>
      <c r="B92" s="558">
        <v>16</v>
      </c>
      <c r="C92" s="558">
        <v>16</v>
      </c>
      <c r="D92" s="561">
        <f>+B92-C92</f>
        <v>0</v>
      </c>
      <c r="E92" s="216"/>
      <c r="F92" s="533"/>
      <c r="G92" s="15"/>
      <c r="H92" s="240"/>
      <c r="I92" s="2"/>
      <c r="J92" s="2"/>
      <c r="K92" s="2"/>
      <c r="L92" s="2"/>
      <c r="M92" s="19"/>
      <c r="N92" s="19"/>
      <c r="O92" s="19"/>
    </row>
    <row r="93" spans="1:17">
      <c r="A93" s="2"/>
      <c r="B93" s="534"/>
      <c r="C93" s="534"/>
      <c r="D93" s="534"/>
      <c r="E93" s="2"/>
      <c r="F93" s="2"/>
      <c r="G93" s="2"/>
      <c r="H93" s="2"/>
      <c r="I93" s="2"/>
      <c r="J93" s="2"/>
      <c r="K93" s="2"/>
      <c r="L93" s="2"/>
      <c r="M93" s="19"/>
      <c r="N93" s="19"/>
      <c r="O93" s="19"/>
    </row>
    <row r="94" spans="1:17" ht="18.75">
      <c r="A94" s="96" t="s">
        <v>230</v>
      </c>
      <c r="B94" s="2"/>
      <c r="C94" s="2"/>
      <c r="D94" s="2"/>
      <c r="E94" s="2"/>
      <c r="F94" s="2"/>
      <c r="G94" s="2"/>
      <c r="H94" s="2"/>
      <c r="I94" s="2"/>
      <c r="J94" s="2"/>
      <c r="K94" s="2"/>
      <c r="L94" s="2"/>
      <c r="M94" s="19"/>
      <c r="N94" s="19"/>
      <c r="O94" s="19"/>
    </row>
    <row r="95" spans="1:17" ht="15.75" thickBot="1">
      <c r="A95" s="2"/>
      <c r="B95" s="2"/>
      <c r="C95" s="2"/>
      <c r="D95" s="2"/>
      <c r="E95" s="2"/>
      <c r="F95" s="2"/>
      <c r="G95" s="2"/>
      <c r="H95" s="2"/>
      <c r="I95" s="2"/>
      <c r="J95" s="2"/>
      <c r="K95" s="2"/>
      <c r="L95" s="2"/>
      <c r="M95" s="19"/>
      <c r="N95" s="19"/>
      <c r="O95" s="19"/>
    </row>
    <row r="96" spans="1:17" ht="30">
      <c r="A96" s="457"/>
      <c r="B96" s="473" t="s">
        <v>231</v>
      </c>
      <c r="C96" s="474" t="s">
        <v>232</v>
      </c>
      <c r="D96" s="474" t="s">
        <v>233</v>
      </c>
      <c r="E96" s="475" t="s">
        <v>234</v>
      </c>
      <c r="F96" s="476" t="s">
        <v>235</v>
      </c>
      <c r="G96" s="220"/>
      <c r="H96" s="532"/>
      <c r="I96" s="2"/>
      <c r="J96" s="2"/>
      <c r="K96" s="2"/>
      <c r="L96" s="2"/>
      <c r="M96" s="19"/>
      <c r="N96" s="19"/>
      <c r="O96" s="19"/>
    </row>
    <row r="97" spans="1:34" ht="15.75" thickBot="1">
      <c r="A97" s="477" t="s">
        <v>236</v>
      </c>
      <c r="B97" s="443">
        <v>22</v>
      </c>
      <c r="C97" s="444">
        <v>22</v>
      </c>
      <c r="D97" s="444">
        <v>22</v>
      </c>
      <c r="E97" s="444">
        <v>22</v>
      </c>
      <c r="F97" s="444">
        <v>22</v>
      </c>
      <c r="G97" s="241"/>
      <c r="H97" s="229"/>
      <c r="I97" s="2"/>
      <c r="J97" s="2"/>
      <c r="K97" s="2"/>
      <c r="L97" s="2"/>
      <c r="M97" s="19"/>
      <c r="N97" s="19"/>
      <c r="O97" s="19"/>
    </row>
    <row r="98" spans="1:34" ht="15.75" thickBot="1">
      <c r="A98" s="478" t="s">
        <v>237</v>
      </c>
      <c r="B98" s="559">
        <v>3</v>
      </c>
      <c r="C98" s="444">
        <v>11</v>
      </c>
      <c r="D98" s="444">
        <v>11</v>
      </c>
      <c r="E98" s="444">
        <v>11</v>
      </c>
      <c r="F98" s="479">
        <v>11</v>
      </c>
      <c r="G98" s="241"/>
      <c r="H98" s="229"/>
      <c r="I98" s="2"/>
      <c r="J98" s="2"/>
      <c r="K98" s="2"/>
      <c r="L98" s="2"/>
      <c r="M98" s="19"/>
      <c r="N98" s="19"/>
      <c r="O98" s="19"/>
    </row>
    <row r="99" spans="1:34">
      <c r="A99" s="2"/>
      <c r="B99" s="2"/>
      <c r="C99" s="2"/>
      <c r="D99" s="2"/>
      <c r="E99" s="2"/>
      <c r="F99" s="2"/>
      <c r="G99" s="2"/>
      <c r="I99" s="2"/>
      <c r="J99" s="2"/>
      <c r="K99" s="2"/>
      <c r="L99" s="2"/>
      <c r="M99" s="19"/>
      <c r="N99" s="19"/>
      <c r="O99" s="19"/>
    </row>
    <row r="100" spans="1:34" ht="18.75">
      <c r="A100" s="96" t="s">
        <v>238</v>
      </c>
      <c r="B100" s="2"/>
      <c r="C100" s="2"/>
      <c r="D100" s="2"/>
      <c r="E100" s="2"/>
      <c r="F100" s="2"/>
      <c r="G100" s="2"/>
      <c r="H100" s="2"/>
      <c r="I100" s="2"/>
      <c r="J100" s="2"/>
      <c r="K100" s="2"/>
      <c r="L100" s="2"/>
      <c r="M100" s="19"/>
      <c r="N100" s="19"/>
      <c r="O100" s="19"/>
    </row>
    <row r="101" spans="1:34" ht="15.75" thickBot="1">
      <c r="A101" s="2"/>
      <c r="B101" s="2"/>
      <c r="C101" s="2"/>
      <c r="D101" s="2"/>
      <c r="E101" s="2"/>
      <c r="F101" s="2"/>
      <c r="G101" s="2"/>
      <c r="H101" s="2"/>
      <c r="I101" s="2"/>
      <c r="J101" s="2"/>
      <c r="K101" s="2"/>
      <c r="L101" s="2"/>
      <c r="M101" s="19"/>
      <c r="N101" s="19"/>
      <c r="O101" s="19"/>
    </row>
    <row r="102" spans="1:34" ht="27.75" customHeight="1">
      <c r="A102" s="457"/>
      <c r="B102" s="458" t="s">
        <v>239</v>
      </c>
      <c r="C102" s="458" t="s">
        <v>240</v>
      </c>
      <c r="D102" s="459" t="s">
        <v>241</v>
      </c>
      <c r="E102" s="2"/>
      <c r="F102" s="2"/>
      <c r="G102" s="2"/>
      <c r="H102" s="2"/>
      <c r="I102" s="19"/>
      <c r="J102" s="19"/>
      <c r="K102" s="19"/>
      <c r="M102"/>
      <c r="N102" s="19"/>
      <c r="AE102" s="33"/>
      <c r="AH102"/>
    </row>
    <row r="103" spans="1:34" ht="27.75" customHeight="1">
      <c r="A103" s="460" t="s">
        <v>242</v>
      </c>
      <c r="B103" s="212">
        <v>0</v>
      </c>
      <c r="C103" s="214">
        <v>0</v>
      </c>
      <c r="D103" s="461">
        <v>0</v>
      </c>
      <c r="E103" s="2"/>
      <c r="F103" s="2"/>
      <c r="G103" s="2"/>
      <c r="H103" s="2"/>
      <c r="I103" s="19"/>
      <c r="J103" s="19"/>
      <c r="K103" s="19"/>
      <c r="M103"/>
      <c r="N103" s="19"/>
      <c r="AE103" s="33"/>
      <c r="AH103"/>
    </row>
    <row r="104" spans="1:34" ht="27.75" customHeight="1">
      <c r="A104" s="460" t="s">
        <v>243</v>
      </c>
      <c r="B104" s="212">
        <v>28</v>
      </c>
      <c r="C104" s="214">
        <v>28</v>
      </c>
      <c r="D104" s="461">
        <f>B104-C104</f>
        <v>0</v>
      </c>
      <c r="E104" s="2"/>
      <c r="F104" s="2"/>
      <c r="G104" s="2"/>
      <c r="H104" s="2"/>
      <c r="I104" s="19"/>
      <c r="J104" s="19"/>
      <c r="K104" s="19"/>
      <c r="M104"/>
      <c r="N104" s="19"/>
      <c r="AE104" s="33"/>
      <c r="AH104"/>
    </row>
    <row r="105" spans="1:34">
      <c r="A105" s="460" t="s">
        <v>244</v>
      </c>
      <c r="B105" s="212"/>
      <c r="C105" s="214"/>
      <c r="D105" s="461">
        <f t="shared" ref="D105:D106" si="1">B105-C105</f>
        <v>0</v>
      </c>
      <c r="E105" s="2"/>
      <c r="F105" s="2"/>
      <c r="G105" s="2"/>
      <c r="H105" s="2"/>
      <c r="I105" s="19"/>
      <c r="J105" s="19"/>
      <c r="K105" s="19"/>
      <c r="M105"/>
      <c r="N105" s="19"/>
      <c r="AE105" s="33"/>
      <c r="AH105"/>
    </row>
    <row r="106" spans="1:34" ht="15.75" thickBot="1">
      <c r="A106" s="462" t="s">
        <v>245</v>
      </c>
      <c r="B106" s="463">
        <v>11</v>
      </c>
      <c r="C106" s="464">
        <v>11</v>
      </c>
      <c r="D106" s="465">
        <f t="shared" si="1"/>
        <v>0</v>
      </c>
      <c r="E106" s="2"/>
      <c r="F106" s="2"/>
      <c r="G106" s="2"/>
      <c r="H106" s="2"/>
      <c r="I106" s="19"/>
      <c r="J106" s="19"/>
      <c r="K106" s="19"/>
      <c r="M106"/>
      <c r="N106" s="19"/>
      <c r="AE106" s="33"/>
      <c r="AH106"/>
    </row>
    <row r="107" spans="1:34">
      <c r="A107" s="2"/>
      <c r="B107" s="2"/>
      <c r="C107" s="2"/>
      <c r="D107" s="2"/>
      <c r="E107" s="2"/>
      <c r="F107" s="2"/>
      <c r="G107" s="2"/>
      <c r="H107" s="2"/>
      <c r="I107" s="2"/>
      <c r="J107" s="2"/>
      <c r="K107" s="2"/>
      <c r="L107" s="2"/>
      <c r="M107" s="19"/>
      <c r="N107" s="19"/>
      <c r="O107" s="19"/>
    </row>
    <row r="108" spans="1:34" ht="18.75">
      <c r="A108" s="96" t="s">
        <v>246</v>
      </c>
      <c r="B108" s="2"/>
      <c r="C108" s="2"/>
      <c r="D108" s="2"/>
      <c r="E108" s="2"/>
      <c r="F108" s="2"/>
      <c r="G108" s="2"/>
      <c r="H108" s="2"/>
      <c r="I108" s="2"/>
      <c r="J108" s="2"/>
      <c r="K108" s="2"/>
      <c r="L108" s="2"/>
      <c r="M108" s="19"/>
      <c r="N108" s="19"/>
      <c r="O108" s="19"/>
    </row>
    <row r="109" spans="1:34" ht="15.75" thickBot="1">
      <c r="A109" s="2"/>
      <c r="B109" s="2"/>
      <c r="C109" s="2"/>
      <c r="D109" s="2"/>
      <c r="E109" s="2"/>
      <c r="F109" s="2"/>
      <c r="G109" s="2"/>
      <c r="H109" s="15"/>
      <c r="I109" s="15"/>
      <c r="J109" s="15"/>
      <c r="K109" s="15"/>
      <c r="L109" s="15"/>
      <c r="M109" s="20"/>
      <c r="N109" s="20"/>
      <c r="O109" s="20"/>
    </row>
    <row r="110" spans="1:34">
      <c r="A110" s="379"/>
      <c r="B110" s="268" t="s">
        <v>150</v>
      </c>
      <c r="C110" s="268" t="s">
        <v>135</v>
      </c>
      <c r="D110" s="268" t="s">
        <v>151</v>
      </c>
      <c r="E110" s="268" t="s">
        <v>152</v>
      </c>
      <c r="F110" s="268" t="s">
        <v>153</v>
      </c>
      <c r="G110" s="268" t="s">
        <v>154</v>
      </c>
      <c r="H110" s="268" t="s">
        <v>155</v>
      </c>
      <c r="I110" s="268" t="s">
        <v>156</v>
      </c>
      <c r="J110" s="268" t="s">
        <v>157</v>
      </c>
      <c r="K110" s="268" t="s">
        <v>158</v>
      </c>
      <c r="L110" s="268" t="s">
        <v>159</v>
      </c>
      <c r="M110" s="466" t="s">
        <v>160</v>
      </c>
      <c r="N110" s="20"/>
      <c r="O110" s="20"/>
    </row>
    <row r="111" spans="1:34" ht="15" customHeight="1">
      <c r="A111" s="380" t="s">
        <v>247</v>
      </c>
      <c r="B111" s="453">
        <v>4455859.42</v>
      </c>
      <c r="C111" s="453">
        <v>2112945.87</v>
      </c>
      <c r="D111" s="453"/>
      <c r="E111" s="260"/>
      <c r="F111" s="260"/>
      <c r="G111" s="260"/>
      <c r="H111" s="260"/>
      <c r="I111" s="260"/>
      <c r="J111" s="260"/>
      <c r="K111" s="260"/>
      <c r="L111" s="260"/>
      <c r="M111" s="467"/>
      <c r="N111" s="20"/>
      <c r="O111" s="20"/>
    </row>
    <row r="112" spans="1:34" ht="15" customHeight="1">
      <c r="A112" s="380" t="s">
        <v>248</v>
      </c>
      <c r="B112" s="453">
        <v>2863012.59</v>
      </c>
      <c r="C112" s="453">
        <v>3484983.39</v>
      </c>
      <c r="D112" s="453"/>
      <c r="E112" s="260"/>
      <c r="F112" s="260"/>
      <c r="G112" s="260"/>
      <c r="H112" s="260"/>
      <c r="I112" s="260"/>
      <c r="J112" s="260"/>
      <c r="K112" s="260"/>
      <c r="L112" s="260"/>
      <c r="M112" s="467"/>
      <c r="N112" s="20"/>
      <c r="O112" s="20"/>
    </row>
    <row r="113" spans="1:35" ht="15" customHeight="1">
      <c r="A113" s="380" t="s">
        <v>249</v>
      </c>
      <c r="B113" s="453">
        <v>1337830.7</v>
      </c>
      <c r="C113" s="453">
        <v>2375665.38</v>
      </c>
      <c r="D113" s="453"/>
      <c r="E113" s="260"/>
      <c r="F113" s="260"/>
      <c r="G113" s="260"/>
      <c r="H113" s="260"/>
      <c r="I113" s="260"/>
      <c r="J113" s="260"/>
      <c r="K113" s="260"/>
      <c r="L113" s="260"/>
      <c r="M113" s="467"/>
      <c r="N113" s="20"/>
      <c r="O113" s="20"/>
    </row>
    <row r="114" spans="1:35" ht="15" customHeight="1">
      <c r="A114" s="381" t="s">
        <v>250</v>
      </c>
      <c r="B114" s="454">
        <v>4455859.42</v>
      </c>
      <c r="C114" s="454">
        <f>B114+C111</f>
        <v>6568805.29</v>
      </c>
      <c r="D114" s="454"/>
      <c r="E114" s="261"/>
      <c r="F114" s="261">
        <f>F111</f>
        <v>0</v>
      </c>
      <c r="G114" s="261"/>
      <c r="H114" s="261"/>
      <c r="I114" s="261"/>
      <c r="J114" s="261"/>
      <c r="K114" s="261"/>
      <c r="L114" s="261"/>
      <c r="M114" s="468"/>
      <c r="N114" s="20"/>
      <c r="O114" s="20"/>
    </row>
    <row r="115" spans="1:35" ht="15" customHeight="1">
      <c r="A115" s="381" t="s">
        <v>251</v>
      </c>
      <c r="B115" s="454">
        <v>2863012.59</v>
      </c>
      <c r="C115" s="454">
        <f>C112</f>
        <v>3484983.39</v>
      </c>
      <c r="D115" s="454"/>
      <c r="E115" s="261">
        <f>E112</f>
        <v>0</v>
      </c>
      <c r="F115" s="261">
        <f>F112</f>
        <v>0</v>
      </c>
      <c r="G115" s="261"/>
      <c r="H115" s="261"/>
      <c r="I115" s="261"/>
      <c r="J115" s="261"/>
      <c r="K115" s="261"/>
      <c r="L115" s="261"/>
      <c r="M115" s="468"/>
      <c r="N115" s="20"/>
      <c r="O115" s="20"/>
    </row>
    <row r="116" spans="1:35">
      <c r="A116" s="469" t="s">
        <v>252</v>
      </c>
      <c r="B116" s="470">
        <v>1337830.7</v>
      </c>
      <c r="C116" s="470">
        <f>B113+C113</f>
        <v>3713496.08</v>
      </c>
      <c r="D116" s="470"/>
      <c r="E116" s="471">
        <f>D116+E113</f>
        <v>0</v>
      </c>
      <c r="F116" s="261">
        <f>F113</f>
        <v>0</v>
      </c>
      <c r="G116" s="471"/>
      <c r="H116" s="471"/>
      <c r="I116" s="471"/>
      <c r="J116" s="471"/>
      <c r="K116" s="471"/>
      <c r="L116" s="471"/>
      <c r="M116" s="472"/>
      <c r="N116" s="20"/>
      <c r="O116" s="20"/>
    </row>
    <row r="117" spans="1:35">
      <c r="A117" s="3"/>
      <c r="B117" s="2"/>
      <c r="C117" s="2"/>
      <c r="D117" s="2"/>
      <c r="E117" s="2"/>
      <c r="F117" s="2"/>
      <c r="G117" s="2"/>
      <c r="H117" s="15"/>
      <c r="I117" s="104"/>
      <c r="J117" s="535"/>
      <c r="K117" s="15"/>
      <c r="L117" s="105"/>
      <c r="M117" s="20"/>
      <c r="N117" s="20"/>
      <c r="O117" s="20"/>
    </row>
    <row r="118" spans="1:35">
      <c r="A118" s="2" t="s">
        <v>253</v>
      </c>
      <c r="B118" s="2"/>
      <c r="C118" s="2"/>
      <c r="D118" s="2"/>
      <c r="E118" s="2"/>
      <c r="F118" s="2"/>
      <c r="G118" s="2"/>
      <c r="H118" s="15"/>
      <c r="I118" s="104"/>
      <c r="J118" s="535"/>
      <c r="K118" s="15"/>
      <c r="L118" s="105"/>
      <c r="M118" s="20"/>
      <c r="N118" s="20"/>
      <c r="O118" s="20"/>
    </row>
    <row r="119" spans="1:35">
      <c r="B119" s="2"/>
      <c r="C119" s="2"/>
      <c r="D119" s="2"/>
      <c r="E119" s="2"/>
      <c r="F119" s="2"/>
      <c r="G119" s="2"/>
      <c r="H119" s="15"/>
      <c r="I119" s="104"/>
      <c r="J119" s="105"/>
      <c r="K119" s="15"/>
      <c r="L119" s="105"/>
      <c r="M119" s="20"/>
      <c r="N119" s="20"/>
      <c r="O119" s="20"/>
    </row>
    <row r="120" spans="1:35">
      <c r="A120" s="3"/>
      <c r="B120" s="3"/>
      <c r="C120" s="3"/>
      <c r="D120" s="3"/>
      <c r="E120" s="3"/>
      <c r="F120" s="3"/>
      <c r="G120" s="3"/>
      <c r="H120" s="15"/>
      <c r="I120" s="15"/>
      <c r="J120" s="15"/>
      <c r="K120" s="15"/>
      <c r="L120" s="15"/>
      <c r="M120" s="20"/>
      <c r="N120" s="20"/>
      <c r="O120" s="20"/>
    </row>
    <row r="121" spans="1:35" ht="19.5" thickBot="1">
      <c r="A121" s="96" t="s">
        <v>254</v>
      </c>
      <c r="B121" s="3"/>
      <c r="C121" s="3"/>
      <c r="D121" s="3"/>
      <c r="E121" s="3"/>
      <c r="F121" s="3"/>
      <c r="G121" s="3"/>
      <c r="H121" s="15"/>
      <c r="I121" s="15"/>
      <c r="J121" s="15"/>
      <c r="K121" s="15"/>
      <c r="L121" s="15"/>
      <c r="M121" s="20"/>
      <c r="N121" s="20"/>
      <c r="O121" s="20"/>
    </row>
    <row r="122" spans="1:35" ht="127.5">
      <c r="A122" s="480" t="s">
        <v>255</v>
      </c>
      <c r="B122" s="481" t="s">
        <v>256</v>
      </c>
      <c r="C122" s="482" t="s">
        <v>257</v>
      </c>
      <c r="D122" s="482" t="s">
        <v>258</v>
      </c>
      <c r="E122" s="483" t="s">
        <v>259</v>
      </c>
      <c r="F122" s="484" t="s">
        <v>260</v>
      </c>
      <c r="G122" s="485" t="s">
        <v>261</v>
      </c>
      <c r="H122" s="482" t="s">
        <v>262</v>
      </c>
      <c r="I122" s="482" t="s">
        <v>263</v>
      </c>
      <c r="J122" s="486" t="s">
        <v>264</v>
      </c>
      <c r="K122" s="2"/>
      <c r="L122" s="20"/>
      <c r="M122" s="20"/>
      <c r="N122" s="20"/>
      <c r="O122" s="19"/>
      <c r="Q122" s="20"/>
      <c r="AF122"/>
      <c r="AI122" s="33"/>
    </row>
    <row r="123" spans="1:35">
      <c r="A123" s="798" t="s">
        <v>265</v>
      </c>
      <c r="B123" s="506" t="s">
        <v>266</v>
      </c>
      <c r="C123" s="569">
        <v>2</v>
      </c>
      <c r="D123" s="509">
        <f t="shared" ref="D123:D136" si="2">IF(ISBLANK(C123),"",C123*30)</f>
        <v>60</v>
      </c>
      <c r="E123" s="570">
        <v>28</v>
      </c>
      <c r="F123" s="510">
        <f t="shared" ref="F123:F136" si="3">E123*D123</f>
        <v>1680</v>
      </c>
      <c r="G123" s="571">
        <v>14314</v>
      </c>
      <c r="H123" s="511">
        <f t="shared" ref="H123:H137" si="4">G123/F123</f>
        <v>8.5202380952380956</v>
      </c>
      <c r="I123" s="512">
        <v>3</v>
      </c>
      <c r="J123" s="513">
        <f t="shared" ref="J123:J137" si="5">IF(AND(H123&gt;0,I123&gt;0),H123-I123,"")</f>
        <v>5.5202380952380956</v>
      </c>
      <c r="K123" s="2"/>
      <c r="L123" s="20"/>
      <c r="M123" s="20"/>
      <c r="N123" s="20"/>
      <c r="O123" s="19"/>
      <c r="Q123" s="20"/>
      <c r="AF123"/>
      <c r="AI123" s="33"/>
    </row>
    <row r="124" spans="1:35">
      <c r="A124" s="799"/>
      <c r="B124" s="506" t="s">
        <v>267</v>
      </c>
      <c r="C124" s="569">
        <v>2</v>
      </c>
      <c r="D124" s="509">
        <f t="shared" si="2"/>
        <v>60</v>
      </c>
      <c r="E124" s="570">
        <v>41</v>
      </c>
      <c r="F124" s="510">
        <f t="shared" si="3"/>
        <v>2460</v>
      </c>
      <c r="G124" s="571">
        <v>32139</v>
      </c>
      <c r="H124" s="511">
        <f t="shared" si="4"/>
        <v>13.064634146341463</v>
      </c>
      <c r="I124" s="512">
        <v>3</v>
      </c>
      <c r="J124" s="513">
        <f t="shared" si="5"/>
        <v>10.064634146341463</v>
      </c>
      <c r="K124" s="2"/>
      <c r="L124" s="20"/>
      <c r="M124" s="20"/>
      <c r="N124" s="20"/>
      <c r="O124" s="19"/>
      <c r="Q124" s="20"/>
      <c r="AF124"/>
      <c r="AI124" s="33"/>
    </row>
    <row r="125" spans="1:35">
      <c r="A125" s="799"/>
      <c r="B125" s="506" t="s">
        <v>268</v>
      </c>
      <c r="C125" s="569">
        <v>2</v>
      </c>
      <c r="D125" s="509">
        <f t="shared" si="2"/>
        <v>60</v>
      </c>
      <c r="E125" s="570">
        <v>1</v>
      </c>
      <c r="F125" s="510">
        <f>E125*D125</f>
        <v>60</v>
      </c>
      <c r="G125" s="571">
        <v>525</v>
      </c>
      <c r="H125" s="511">
        <f t="shared" si="4"/>
        <v>8.75</v>
      </c>
      <c r="I125" s="512">
        <v>3</v>
      </c>
      <c r="J125" s="513">
        <f t="shared" si="5"/>
        <v>5.75</v>
      </c>
      <c r="K125" s="2"/>
      <c r="L125" s="20"/>
      <c r="M125" s="20"/>
      <c r="N125" s="20"/>
      <c r="O125" s="19"/>
      <c r="Q125" s="20"/>
      <c r="AF125"/>
      <c r="AI125" s="33"/>
    </row>
    <row r="126" spans="1:35">
      <c r="A126" s="799"/>
      <c r="B126" s="506" t="s">
        <v>269</v>
      </c>
      <c r="C126" s="507">
        <v>2</v>
      </c>
      <c r="D126" s="509">
        <f t="shared" si="2"/>
        <v>60</v>
      </c>
      <c r="E126" s="515">
        <v>318</v>
      </c>
      <c r="F126" s="510">
        <f t="shared" si="3"/>
        <v>19080</v>
      </c>
      <c r="G126" s="517">
        <v>135639</v>
      </c>
      <c r="H126" s="511">
        <f t="shared" si="4"/>
        <v>7.1089622641509438</v>
      </c>
      <c r="I126" s="512">
        <v>3</v>
      </c>
      <c r="J126" s="513">
        <f t="shared" si="5"/>
        <v>4.1089622641509438</v>
      </c>
      <c r="K126" s="2"/>
      <c r="L126" s="20"/>
      <c r="M126" s="20"/>
      <c r="N126" s="20"/>
      <c r="O126" s="19"/>
      <c r="Q126" s="20"/>
      <c r="AF126"/>
      <c r="AI126" s="33"/>
    </row>
    <row r="127" spans="1:35">
      <c r="A127" s="799"/>
      <c r="B127" s="506" t="s">
        <v>270</v>
      </c>
      <c r="C127" s="507">
        <v>3</v>
      </c>
      <c r="D127" s="509">
        <f t="shared" si="2"/>
        <v>90</v>
      </c>
      <c r="E127" s="515">
        <v>128</v>
      </c>
      <c r="F127" s="510">
        <f t="shared" si="3"/>
        <v>11520</v>
      </c>
      <c r="G127" s="517">
        <v>118313</v>
      </c>
      <c r="H127" s="511">
        <f t="shared" si="4"/>
        <v>10.270225694444445</v>
      </c>
      <c r="I127" s="512">
        <v>3</v>
      </c>
      <c r="J127" s="513">
        <f t="shared" si="5"/>
        <v>7.270225694444445</v>
      </c>
      <c r="K127" s="2"/>
      <c r="L127" s="20"/>
      <c r="M127" s="20"/>
      <c r="N127" s="20"/>
      <c r="O127" s="19"/>
      <c r="Q127" s="20"/>
      <c r="AF127"/>
      <c r="AI127" s="33"/>
    </row>
    <row r="128" spans="1:35">
      <c r="A128" s="799"/>
      <c r="B128" s="506" t="s">
        <v>271</v>
      </c>
      <c r="C128" s="507">
        <v>1</v>
      </c>
      <c r="D128" s="509">
        <f t="shared" si="2"/>
        <v>30</v>
      </c>
      <c r="E128" s="515">
        <v>87</v>
      </c>
      <c r="F128" s="510">
        <f t="shared" si="3"/>
        <v>2610</v>
      </c>
      <c r="G128" s="517">
        <v>22014</v>
      </c>
      <c r="H128" s="511">
        <f t="shared" si="4"/>
        <v>8.434482758620689</v>
      </c>
      <c r="I128" s="512">
        <v>3</v>
      </c>
      <c r="J128" s="513">
        <f t="shared" si="5"/>
        <v>5.434482758620689</v>
      </c>
      <c r="K128" s="2"/>
      <c r="L128" s="20"/>
      <c r="M128" s="20"/>
      <c r="N128" s="20"/>
      <c r="O128" s="19"/>
      <c r="Q128" s="20"/>
      <c r="AF128"/>
      <c r="AI128" s="33"/>
    </row>
    <row r="129" spans="1:35">
      <c r="A129" s="799"/>
      <c r="B129" s="506" t="s">
        <v>272</v>
      </c>
      <c r="C129" s="507">
        <v>4</v>
      </c>
      <c r="D129" s="509">
        <f t="shared" si="2"/>
        <v>120</v>
      </c>
      <c r="E129" s="515">
        <v>252</v>
      </c>
      <c r="F129" s="510">
        <f t="shared" si="3"/>
        <v>30240</v>
      </c>
      <c r="G129" s="517">
        <v>177726</v>
      </c>
      <c r="H129" s="511">
        <f t="shared" si="4"/>
        <v>5.8771825396825399</v>
      </c>
      <c r="I129" s="512">
        <v>3</v>
      </c>
      <c r="J129" s="513">
        <f t="shared" si="5"/>
        <v>2.8771825396825399</v>
      </c>
      <c r="K129" s="2"/>
      <c r="L129" s="20"/>
      <c r="M129" s="20"/>
      <c r="N129" s="20"/>
      <c r="O129" s="19"/>
      <c r="Q129" s="20"/>
      <c r="AF129"/>
      <c r="AI129" s="33"/>
    </row>
    <row r="130" spans="1:35">
      <c r="A130" s="799"/>
      <c r="B130" s="506" t="s">
        <v>273</v>
      </c>
      <c r="C130" s="507">
        <v>2</v>
      </c>
      <c r="D130" s="509">
        <f t="shared" si="2"/>
        <v>60</v>
      </c>
      <c r="E130" s="515">
        <v>104</v>
      </c>
      <c r="F130" s="510">
        <f t="shared" si="3"/>
        <v>6240</v>
      </c>
      <c r="G130" s="517">
        <v>88794</v>
      </c>
      <c r="H130" s="511">
        <f t="shared" si="4"/>
        <v>14.229807692307693</v>
      </c>
      <c r="I130" s="512">
        <v>3</v>
      </c>
      <c r="J130" s="513">
        <f t="shared" si="5"/>
        <v>11.229807692307693</v>
      </c>
      <c r="K130" s="2"/>
      <c r="L130" s="20"/>
      <c r="M130" s="20"/>
      <c r="N130" s="20"/>
      <c r="O130" s="19"/>
      <c r="Q130" s="20"/>
      <c r="AF130"/>
      <c r="AI130" s="33"/>
    </row>
    <row r="131" spans="1:35">
      <c r="A131" s="799"/>
      <c r="B131" s="506" t="s">
        <v>274</v>
      </c>
      <c r="C131" s="507">
        <v>1</v>
      </c>
      <c r="D131" s="509">
        <f t="shared" si="2"/>
        <v>30</v>
      </c>
      <c r="E131" s="515">
        <v>7</v>
      </c>
      <c r="F131" s="510">
        <f t="shared" si="3"/>
        <v>210</v>
      </c>
      <c r="G131" s="517">
        <v>2940</v>
      </c>
      <c r="H131" s="511">
        <f t="shared" si="4"/>
        <v>14</v>
      </c>
      <c r="I131" s="512">
        <v>3</v>
      </c>
      <c r="J131" s="513">
        <f t="shared" si="5"/>
        <v>11</v>
      </c>
      <c r="K131" s="2"/>
      <c r="L131" s="20"/>
      <c r="M131" s="20"/>
      <c r="N131" s="20"/>
      <c r="O131" s="19"/>
      <c r="Q131" s="20"/>
      <c r="AF131"/>
      <c r="AI131" s="33"/>
    </row>
    <row r="132" spans="1:35">
      <c r="A132" s="799"/>
      <c r="B132" s="506" t="s">
        <v>275</v>
      </c>
      <c r="C132" s="569">
        <v>1</v>
      </c>
      <c r="D132" s="509">
        <f t="shared" si="2"/>
        <v>30</v>
      </c>
      <c r="E132" s="577">
        <v>597</v>
      </c>
      <c r="F132" s="578">
        <f t="shared" si="3"/>
        <v>17910</v>
      </c>
      <c r="G132" s="517">
        <v>50347</v>
      </c>
      <c r="H132" s="579">
        <f t="shared" si="4"/>
        <v>2.8111111111111109</v>
      </c>
      <c r="I132" s="508">
        <v>3</v>
      </c>
      <c r="J132" s="580">
        <f t="shared" si="5"/>
        <v>-0.18888888888888911</v>
      </c>
      <c r="K132" s="2"/>
      <c r="L132" s="20"/>
      <c r="M132" s="20"/>
      <c r="N132" s="20"/>
      <c r="O132" s="19"/>
      <c r="Q132" s="20"/>
      <c r="AF132"/>
      <c r="AI132" s="33"/>
    </row>
    <row r="133" spans="1:35">
      <c r="A133" s="799"/>
      <c r="B133" s="506" t="s">
        <v>276</v>
      </c>
      <c r="C133" s="569">
        <v>1</v>
      </c>
      <c r="D133" s="509">
        <f t="shared" si="2"/>
        <v>30</v>
      </c>
      <c r="E133" s="577">
        <v>2561</v>
      </c>
      <c r="F133" s="578">
        <f t="shared" si="3"/>
        <v>76830</v>
      </c>
      <c r="G133" s="517">
        <f>225504+369606</f>
        <v>595110</v>
      </c>
      <c r="H133" s="579">
        <f t="shared" si="4"/>
        <v>7.7458024209293246</v>
      </c>
      <c r="I133" s="508">
        <v>3</v>
      </c>
      <c r="J133" s="580">
        <f t="shared" si="5"/>
        <v>4.7458024209293246</v>
      </c>
      <c r="K133" s="2"/>
      <c r="L133" s="20"/>
      <c r="M133" s="20"/>
      <c r="N133" s="20"/>
      <c r="O133" s="19"/>
      <c r="Q133" s="20"/>
      <c r="AF133"/>
      <c r="AI133" s="33"/>
    </row>
    <row r="134" spans="1:35">
      <c r="A134" s="799"/>
      <c r="B134" s="506" t="s">
        <v>277</v>
      </c>
      <c r="C134" s="512">
        <v>1</v>
      </c>
      <c r="D134" s="509">
        <f t="shared" si="2"/>
        <v>30</v>
      </c>
      <c r="E134" s="516">
        <v>196</v>
      </c>
      <c r="F134" s="578">
        <f t="shared" si="3"/>
        <v>5880</v>
      </c>
      <c r="G134" s="517">
        <v>20852</v>
      </c>
      <c r="H134" s="579">
        <f t="shared" si="4"/>
        <v>3.5462585034013605</v>
      </c>
      <c r="I134" s="508">
        <v>3</v>
      </c>
      <c r="J134" s="580">
        <f t="shared" si="5"/>
        <v>0.54625850340136051</v>
      </c>
      <c r="K134" s="2"/>
      <c r="L134" s="20"/>
      <c r="M134" s="20"/>
      <c r="N134" s="20"/>
      <c r="O134" s="19"/>
      <c r="Q134" s="20"/>
      <c r="AF134"/>
      <c r="AI134" s="33"/>
    </row>
    <row r="135" spans="1:35" s="60" customFormat="1">
      <c r="A135" s="799"/>
      <c r="B135" s="506" t="s">
        <v>278</v>
      </c>
      <c r="C135" s="512">
        <v>6</v>
      </c>
      <c r="D135" s="509">
        <f>IF(ISBLANK(C135),"",C135*30)</f>
        <v>180</v>
      </c>
      <c r="E135" s="572">
        <v>23</v>
      </c>
      <c r="F135" s="510">
        <f t="shared" si="3"/>
        <v>4140</v>
      </c>
      <c r="G135" s="571">
        <v>41431</v>
      </c>
      <c r="H135" s="511">
        <f t="shared" si="4"/>
        <v>10.007487922705314</v>
      </c>
      <c r="I135" s="512">
        <v>3</v>
      </c>
      <c r="J135" s="513">
        <f t="shared" si="5"/>
        <v>7.0074879227053142</v>
      </c>
      <c r="K135" s="573"/>
      <c r="L135" s="574"/>
      <c r="M135" s="574"/>
      <c r="N135" s="574"/>
      <c r="O135" s="575"/>
      <c r="Q135" s="574"/>
      <c r="AG135" s="576"/>
      <c r="AH135" s="576"/>
      <c r="AI135" s="576"/>
    </row>
    <row r="136" spans="1:35">
      <c r="A136" s="799"/>
      <c r="B136" s="506" t="s">
        <v>279</v>
      </c>
      <c r="C136" s="508">
        <v>4</v>
      </c>
      <c r="D136" s="509">
        <f t="shared" si="2"/>
        <v>120</v>
      </c>
      <c r="E136" s="516">
        <v>18</v>
      </c>
      <c r="F136" s="510">
        <f t="shared" si="3"/>
        <v>2160</v>
      </c>
      <c r="G136" s="517">
        <v>14908</v>
      </c>
      <c r="H136" s="511">
        <f t="shared" si="4"/>
        <v>6.9018518518518519</v>
      </c>
      <c r="I136" s="512">
        <v>3</v>
      </c>
      <c r="J136" s="513">
        <f t="shared" si="5"/>
        <v>3.9018518518518519</v>
      </c>
      <c r="K136" s="2"/>
      <c r="L136" s="20"/>
      <c r="M136" s="20"/>
      <c r="N136" s="20"/>
      <c r="O136" s="19"/>
      <c r="Q136" s="20"/>
      <c r="AF136"/>
      <c r="AI136" s="33"/>
    </row>
    <row r="137" spans="1:35">
      <c r="A137" s="799"/>
      <c r="B137" s="506" t="s">
        <v>280</v>
      </c>
      <c r="C137" s="508"/>
      <c r="D137" s="509">
        <v>2</v>
      </c>
      <c r="E137" s="516">
        <v>6</v>
      </c>
      <c r="F137" s="510">
        <f>E137*D137</f>
        <v>12</v>
      </c>
      <c r="G137" s="517">
        <v>105</v>
      </c>
      <c r="H137" s="511">
        <f t="shared" si="4"/>
        <v>8.75</v>
      </c>
      <c r="I137" s="512">
        <v>3</v>
      </c>
      <c r="J137" s="513">
        <f t="shared" si="5"/>
        <v>5.75</v>
      </c>
      <c r="K137" s="2"/>
      <c r="L137" s="20"/>
      <c r="M137" s="20"/>
      <c r="N137" s="20"/>
      <c r="O137" s="19"/>
      <c r="Q137" s="20"/>
      <c r="AF137"/>
      <c r="AI137" s="33"/>
    </row>
    <row r="138" spans="1:35">
      <c r="A138" s="799"/>
      <c r="B138" s="514" t="s">
        <v>281</v>
      </c>
      <c r="C138" s="508">
        <v>6</v>
      </c>
      <c r="D138" s="509">
        <f>IF(ISBLANK(C138),"",C138*30)</f>
        <v>180</v>
      </c>
      <c r="E138" s="516">
        <v>23</v>
      </c>
      <c r="F138" s="510">
        <f>E138*D138</f>
        <v>4140</v>
      </c>
      <c r="G138" s="517">
        <v>14710</v>
      </c>
      <c r="H138" s="511">
        <f>G138/F138</f>
        <v>3.5531400966183573</v>
      </c>
      <c r="I138" s="512">
        <v>3</v>
      </c>
      <c r="J138" s="513">
        <f>IF(AND(H138&gt;0,I138&gt;0),H138-I138,"")</f>
        <v>0.55314009661835728</v>
      </c>
      <c r="K138" s="2"/>
      <c r="L138" s="20"/>
      <c r="M138" s="20"/>
      <c r="N138" s="20"/>
      <c r="O138" s="19"/>
      <c r="Q138" s="20"/>
      <c r="AF138"/>
      <c r="AI138" s="33"/>
    </row>
    <row r="139" spans="1:35">
      <c r="A139" s="799"/>
      <c r="B139" s="506" t="s">
        <v>282</v>
      </c>
      <c r="C139" s="508">
        <v>1</v>
      </c>
      <c r="D139" s="509">
        <v>30</v>
      </c>
      <c r="E139" s="516">
        <v>397</v>
      </c>
      <c r="F139" s="510">
        <f t="shared" ref="F139:F140" si="6">E139*D139</f>
        <v>11910</v>
      </c>
      <c r="G139" s="517">
        <v>43577</v>
      </c>
      <c r="H139" s="511">
        <f t="shared" ref="H139:H140" si="7">G139/F139</f>
        <v>3.6588581024349285</v>
      </c>
      <c r="I139" s="512">
        <v>3</v>
      </c>
      <c r="J139" s="513">
        <f t="shared" ref="J139:J140" si="8">IF(AND(H139&gt;0,I139&gt;0),H139-I139,"")</f>
        <v>0.65885810243492848</v>
      </c>
      <c r="K139" s="2"/>
      <c r="L139" s="20"/>
      <c r="M139" s="20"/>
      <c r="N139" s="20"/>
      <c r="O139" s="19"/>
      <c r="Q139" s="20"/>
      <c r="AF139"/>
      <c r="AI139" s="33"/>
    </row>
    <row r="140" spans="1:35">
      <c r="A140" s="800"/>
      <c r="B140" s="514" t="s">
        <v>283</v>
      </c>
      <c r="C140" s="508">
        <v>1</v>
      </c>
      <c r="D140" s="509">
        <v>30</v>
      </c>
      <c r="E140" s="516">
        <v>149</v>
      </c>
      <c r="F140" s="510">
        <f t="shared" si="6"/>
        <v>4470</v>
      </c>
      <c r="G140" s="517">
        <v>20507</v>
      </c>
      <c r="H140" s="511">
        <f t="shared" si="7"/>
        <v>4.5876957494407158</v>
      </c>
      <c r="I140" s="512">
        <v>3</v>
      </c>
      <c r="J140" s="513">
        <f t="shared" si="8"/>
        <v>1.5876957494407158</v>
      </c>
      <c r="K140" s="2"/>
      <c r="L140" s="20"/>
      <c r="M140" s="20"/>
      <c r="N140" s="20"/>
      <c r="O140" s="19"/>
      <c r="Q140" s="20"/>
      <c r="AF140"/>
      <c r="AI140" s="33"/>
    </row>
    <row r="141" spans="1:35">
      <c r="A141" s="819" t="s">
        <v>228</v>
      </c>
      <c r="B141" s="494" t="s">
        <v>284</v>
      </c>
      <c r="C141" s="497">
        <v>1</v>
      </c>
      <c r="D141" s="498">
        <v>26</v>
      </c>
      <c r="E141" s="499">
        <v>517</v>
      </c>
      <c r="F141" s="500">
        <f>C141*D141*E141</f>
        <v>13442</v>
      </c>
      <c r="G141" s="499">
        <v>67812</v>
      </c>
      <c r="H141" s="501">
        <f t="shared" ref="H141:H158" si="9">G141/F141</f>
        <v>5.0447850022318104</v>
      </c>
      <c r="I141" s="502">
        <v>3</v>
      </c>
      <c r="J141" s="503">
        <f>H141-I141</f>
        <v>2.0447850022318104</v>
      </c>
      <c r="K141" s="2"/>
      <c r="L141" s="20"/>
      <c r="M141" s="20"/>
      <c r="N141" s="20"/>
      <c r="O141" s="19"/>
      <c r="Q141" s="20"/>
      <c r="AF141"/>
      <c r="AI141" s="33"/>
    </row>
    <row r="142" spans="1:35">
      <c r="A142" s="819"/>
      <c r="B142" s="383" t="s">
        <v>285</v>
      </c>
      <c r="C142" s="504">
        <v>1</v>
      </c>
      <c r="D142" s="505">
        <v>26</v>
      </c>
      <c r="E142" s="499">
        <v>162</v>
      </c>
      <c r="F142" s="500">
        <f t="shared" ref="F142:F156" si="10">C142*D142*E142</f>
        <v>4212</v>
      </c>
      <c r="G142" s="499">
        <v>66169</v>
      </c>
      <c r="H142" s="501">
        <f t="shared" si="9"/>
        <v>15.709639126305794</v>
      </c>
      <c r="I142" s="502">
        <v>3</v>
      </c>
      <c r="J142" s="503">
        <f t="shared" ref="J142:J158" si="11">H142-I142</f>
        <v>12.709639126305794</v>
      </c>
      <c r="K142" s="2"/>
      <c r="L142" s="20"/>
      <c r="M142" s="20"/>
      <c r="N142" s="20"/>
      <c r="O142" s="19"/>
      <c r="Q142" s="20"/>
      <c r="AF142"/>
      <c r="AI142" s="33"/>
    </row>
    <row r="143" spans="1:35">
      <c r="A143" s="819"/>
      <c r="B143" s="383" t="s">
        <v>286</v>
      </c>
      <c r="C143" s="581">
        <v>2</v>
      </c>
      <c r="D143" s="582">
        <v>30</v>
      </c>
      <c r="E143" s="583">
        <v>40</v>
      </c>
      <c r="F143" s="584">
        <f t="shared" si="10"/>
        <v>2400</v>
      </c>
      <c r="G143" s="583">
        <v>82873</v>
      </c>
      <c r="H143" s="585">
        <f t="shared" si="9"/>
        <v>34.530416666666667</v>
      </c>
      <c r="I143" s="586">
        <v>3</v>
      </c>
      <c r="J143" s="587">
        <f t="shared" si="11"/>
        <v>31.530416666666667</v>
      </c>
      <c r="K143" s="2"/>
      <c r="L143" s="20"/>
      <c r="M143" s="20"/>
      <c r="N143" s="20"/>
      <c r="O143" s="19"/>
      <c r="Q143" s="20"/>
      <c r="AF143"/>
      <c r="AI143" s="33"/>
    </row>
    <row r="144" spans="1:35">
      <c r="A144" s="819"/>
      <c r="B144" s="383" t="s">
        <v>287</v>
      </c>
      <c r="C144" s="581">
        <v>2</v>
      </c>
      <c r="D144" s="582">
        <v>30</v>
      </c>
      <c r="E144" s="583">
        <v>135</v>
      </c>
      <c r="F144" s="584">
        <f t="shared" ref="F144" si="12">C144*D144*E144</f>
        <v>8100</v>
      </c>
      <c r="G144" s="583">
        <v>44388</v>
      </c>
      <c r="H144" s="585">
        <f t="shared" ref="H144" si="13">G144/F144</f>
        <v>5.48</v>
      </c>
      <c r="I144" s="586">
        <v>3</v>
      </c>
      <c r="J144" s="587">
        <f t="shared" ref="J144" si="14">H144-I144</f>
        <v>2.4800000000000004</v>
      </c>
      <c r="K144" s="2"/>
      <c r="L144" s="20"/>
      <c r="M144" s="20"/>
      <c r="N144" s="20"/>
      <c r="O144" s="19"/>
      <c r="Q144" s="20"/>
      <c r="AF144"/>
      <c r="AI144" s="33"/>
    </row>
    <row r="145" spans="1:35">
      <c r="A145" s="819"/>
      <c r="B145" s="383" t="s">
        <v>288</v>
      </c>
      <c r="C145" s="581">
        <v>3</v>
      </c>
      <c r="D145" s="582">
        <v>30</v>
      </c>
      <c r="E145" s="583">
        <v>1054</v>
      </c>
      <c r="F145" s="584">
        <f t="shared" si="10"/>
        <v>94860</v>
      </c>
      <c r="G145" s="583">
        <v>1385437</v>
      </c>
      <c r="H145" s="585">
        <f t="shared" si="9"/>
        <v>14.605070630402698</v>
      </c>
      <c r="I145" s="586">
        <v>3</v>
      </c>
      <c r="J145" s="587">
        <f t="shared" si="11"/>
        <v>11.605070630402698</v>
      </c>
      <c r="K145" s="2"/>
      <c r="L145" s="20"/>
      <c r="M145" s="20"/>
      <c r="N145" s="20"/>
      <c r="O145" s="19"/>
      <c r="Q145" s="20"/>
      <c r="AF145"/>
      <c r="AI145" s="33"/>
    </row>
    <row r="146" spans="1:35">
      <c r="A146" s="819"/>
      <c r="B146" s="383" t="s">
        <v>289</v>
      </c>
      <c r="C146" s="581">
        <v>4</v>
      </c>
      <c r="D146" s="582">
        <v>30</v>
      </c>
      <c r="E146" s="583">
        <v>726</v>
      </c>
      <c r="F146" s="584">
        <f t="shared" si="10"/>
        <v>87120</v>
      </c>
      <c r="G146" s="583">
        <v>257855</v>
      </c>
      <c r="H146" s="585">
        <f t="shared" si="9"/>
        <v>2.9597681359044996</v>
      </c>
      <c r="I146" s="586">
        <v>3</v>
      </c>
      <c r="J146" s="587">
        <f t="shared" si="11"/>
        <v>-4.0231864095500391E-2</v>
      </c>
      <c r="K146" s="2"/>
      <c r="L146" s="20"/>
      <c r="M146" s="20"/>
      <c r="N146" s="20"/>
      <c r="O146" s="19"/>
      <c r="Q146" s="20"/>
      <c r="AF146"/>
      <c r="AI146" s="33"/>
    </row>
    <row r="147" spans="1:35">
      <c r="A147" s="819"/>
      <c r="B147" s="383" t="s">
        <v>290</v>
      </c>
      <c r="C147" s="581">
        <v>2</v>
      </c>
      <c r="D147" s="582">
        <v>30</v>
      </c>
      <c r="E147" s="583">
        <v>262</v>
      </c>
      <c r="F147" s="584">
        <f t="shared" si="10"/>
        <v>15720</v>
      </c>
      <c r="G147" s="583">
        <v>51259</v>
      </c>
      <c r="H147" s="585">
        <f t="shared" si="9"/>
        <v>3.2607506361323155</v>
      </c>
      <c r="I147" s="586">
        <v>3</v>
      </c>
      <c r="J147" s="587">
        <f t="shared" si="11"/>
        <v>0.26075063613231553</v>
      </c>
      <c r="K147" s="2"/>
      <c r="L147" s="20"/>
      <c r="M147" s="20"/>
      <c r="N147" s="20"/>
      <c r="O147" s="19"/>
      <c r="Q147" s="20"/>
      <c r="AF147"/>
      <c r="AI147" s="33"/>
    </row>
    <row r="148" spans="1:35">
      <c r="A148" s="819"/>
      <c r="B148" s="383" t="s">
        <v>291</v>
      </c>
      <c r="C148" s="581">
        <v>4</v>
      </c>
      <c r="D148" s="582">
        <v>30</v>
      </c>
      <c r="E148" s="583">
        <v>1008</v>
      </c>
      <c r="F148" s="584">
        <f t="shared" si="10"/>
        <v>120960</v>
      </c>
      <c r="G148" s="583">
        <v>1377963</v>
      </c>
      <c r="H148" s="585">
        <f t="shared" si="9"/>
        <v>11.39188988095238</v>
      </c>
      <c r="I148" s="586">
        <v>3</v>
      </c>
      <c r="J148" s="587">
        <f t="shared" si="11"/>
        <v>8.3918898809523803</v>
      </c>
      <c r="K148" s="2"/>
      <c r="L148" s="20"/>
      <c r="M148" s="20"/>
      <c r="N148" s="20"/>
      <c r="O148" s="19"/>
      <c r="Q148" s="20"/>
      <c r="AF148"/>
      <c r="AI148" s="33"/>
    </row>
    <row r="149" spans="1:35">
      <c r="A149" s="819"/>
      <c r="B149" s="383" t="s">
        <v>292</v>
      </c>
      <c r="C149" s="581">
        <v>1</v>
      </c>
      <c r="D149" s="582">
        <v>30</v>
      </c>
      <c r="E149" s="583">
        <v>525</v>
      </c>
      <c r="F149" s="584">
        <f t="shared" si="10"/>
        <v>15750</v>
      </c>
      <c r="G149" s="583">
        <v>143902</v>
      </c>
      <c r="H149" s="585">
        <f t="shared" si="9"/>
        <v>9.1366349206349202</v>
      </c>
      <c r="I149" s="586">
        <v>3</v>
      </c>
      <c r="J149" s="587">
        <f t="shared" si="11"/>
        <v>6.1366349206349202</v>
      </c>
      <c r="K149" s="2"/>
      <c r="L149" s="20"/>
      <c r="M149" s="20"/>
      <c r="N149" s="20"/>
      <c r="O149" s="19"/>
      <c r="Q149" s="20"/>
      <c r="AF149"/>
      <c r="AI149" s="33"/>
    </row>
    <row r="150" spans="1:35">
      <c r="A150" s="819"/>
      <c r="B150" s="384" t="s">
        <v>293</v>
      </c>
      <c r="C150" s="581">
        <v>2</v>
      </c>
      <c r="D150" s="582">
        <v>30</v>
      </c>
      <c r="E150" s="583">
        <v>202</v>
      </c>
      <c r="F150" s="584">
        <f t="shared" si="10"/>
        <v>12120</v>
      </c>
      <c r="G150" s="583">
        <v>147502</v>
      </c>
      <c r="H150" s="585">
        <f t="shared" si="9"/>
        <v>12.17013201320132</v>
      </c>
      <c r="I150" s="586">
        <v>3</v>
      </c>
      <c r="J150" s="587">
        <f t="shared" si="11"/>
        <v>9.1701320132013198</v>
      </c>
      <c r="K150" s="2"/>
      <c r="L150" s="20"/>
      <c r="M150" s="20"/>
      <c r="N150" s="20"/>
      <c r="O150" s="19"/>
      <c r="Q150" s="20"/>
      <c r="AF150"/>
      <c r="AI150" s="33"/>
    </row>
    <row r="151" spans="1:35">
      <c r="A151" s="819"/>
      <c r="B151" s="384" t="s">
        <v>294</v>
      </c>
      <c r="C151" s="581">
        <v>3</v>
      </c>
      <c r="D151" s="582">
        <v>30</v>
      </c>
      <c r="E151" s="583">
        <v>806</v>
      </c>
      <c r="F151" s="584">
        <f t="shared" si="10"/>
        <v>72540</v>
      </c>
      <c r="G151" s="583">
        <v>390562</v>
      </c>
      <c r="H151" s="585">
        <f t="shared" si="9"/>
        <v>5.3840915357044388</v>
      </c>
      <c r="I151" s="586">
        <v>3</v>
      </c>
      <c r="J151" s="587">
        <f t="shared" si="11"/>
        <v>2.3840915357044388</v>
      </c>
      <c r="K151" s="2"/>
      <c r="L151" s="20"/>
      <c r="M151" s="20"/>
      <c r="N151" s="20"/>
      <c r="O151" s="19"/>
      <c r="Q151" s="20"/>
      <c r="AF151"/>
      <c r="AI151" s="33"/>
    </row>
    <row r="152" spans="1:35">
      <c r="A152" s="819"/>
      <c r="B152" s="588" t="s">
        <v>295</v>
      </c>
      <c r="C152" s="581">
        <v>4</v>
      </c>
      <c r="D152" s="582">
        <v>30</v>
      </c>
      <c r="E152" s="583">
        <v>301</v>
      </c>
      <c r="F152" s="584">
        <f t="shared" si="10"/>
        <v>36120</v>
      </c>
      <c r="G152" s="583">
        <v>448834</v>
      </c>
      <c r="H152" s="585">
        <f t="shared" si="9"/>
        <v>12.426190476190476</v>
      </c>
      <c r="I152" s="586">
        <v>3</v>
      </c>
      <c r="J152" s="587">
        <f t="shared" si="11"/>
        <v>9.4261904761904756</v>
      </c>
      <c r="K152" s="2"/>
      <c r="L152" s="20"/>
      <c r="M152" s="20"/>
      <c r="N152" s="20"/>
      <c r="O152" s="19"/>
      <c r="Q152" s="20"/>
      <c r="AF152"/>
      <c r="AI152" s="33"/>
    </row>
    <row r="153" spans="1:35">
      <c r="A153" s="819"/>
      <c r="B153" s="589" t="s">
        <v>296</v>
      </c>
      <c r="C153" s="590">
        <v>5</v>
      </c>
      <c r="D153" s="582">
        <v>30</v>
      </c>
      <c r="E153" s="583">
        <v>931</v>
      </c>
      <c r="F153" s="584">
        <f t="shared" si="10"/>
        <v>139650</v>
      </c>
      <c r="G153" s="583">
        <v>1449920</v>
      </c>
      <c r="H153" s="585">
        <f t="shared" si="9"/>
        <v>10.382527747941282</v>
      </c>
      <c r="I153" s="586">
        <v>3</v>
      </c>
      <c r="J153" s="587">
        <f t="shared" si="11"/>
        <v>7.3825277479412819</v>
      </c>
      <c r="K153" s="2"/>
      <c r="L153" s="20"/>
      <c r="M153" s="20"/>
      <c r="N153" s="20"/>
      <c r="O153" s="19"/>
      <c r="Q153" s="20"/>
      <c r="AF153"/>
      <c r="AI153" s="33"/>
    </row>
    <row r="154" spans="1:35">
      <c r="A154" s="819"/>
      <c r="B154" s="589" t="s">
        <v>297</v>
      </c>
      <c r="C154" s="590">
        <v>2</v>
      </c>
      <c r="D154" s="582">
        <v>30</v>
      </c>
      <c r="E154" s="583">
        <v>1009</v>
      </c>
      <c r="F154" s="584">
        <f t="shared" si="10"/>
        <v>60540</v>
      </c>
      <c r="G154" s="583">
        <v>59411</v>
      </c>
      <c r="H154" s="585">
        <f t="shared" si="9"/>
        <v>0.9813511727783284</v>
      </c>
      <c r="I154" s="586">
        <v>3</v>
      </c>
      <c r="J154" s="587">
        <f t="shared" si="11"/>
        <v>-2.0186488272216714</v>
      </c>
      <c r="K154" s="2"/>
      <c r="L154" s="20"/>
      <c r="M154" s="20"/>
      <c r="N154" s="20"/>
      <c r="O154" s="19"/>
      <c r="Q154" s="20"/>
      <c r="AF154"/>
      <c r="AI154" s="33"/>
    </row>
    <row r="155" spans="1:35">
      <c r="A155" s="819"/>
      <c r="B155" s="589" t="s">
        <v>298</v>
      </c>
      <c r="C155" s="590">
        <v>4</v>
      </c>
      <c r="D155" s="582">
        <v>30</v>
      </c>
      <c r="E155" s="591">
        <v>69</v>
      </c>
      <c r="F155" s="584">
        <f t="shared" si="10"/>
        <v>8280</v>
      </c>
      <c r="G155" s="592">
        <v>8100</v>
      </c>
      <c r="H155" s="585">
        <f t="shared" si="9"/>
        <v>0.97826086956521741</v>
      </c>
      <c r="I155" s="586">
        <v>3</v>
      </c>
      <c r="J155" s="587">
        <f t="shared" si="11"/>
        <v>-2.0217391304347827</v>
      </c>
      <c r="K155" s="2"/>
      <c r="L155" s="20"/>
      <c r="M155" s="20"/>
      <c r="N155" s="20"/>
      <c r="O155" s="19"/>
      <c r="Q155" s="20"/>
      <c r="AF155"/>
      <c r="AI155" s="33"/>
    </row>
    <row r="156" spans="1:35">
      <c r="A156" s="819"/>
      <c r="B156" s="589" t="s">
        <v>299</v>
      </c>
      <c r="C156" s="590">
        <v>1</v>
      </c>
      <c r="D156" s="582">
        <v>30</v>
      </c>
      <c r="E156" s="591">
        <v>450</v>
      </c>
      <c r="F156" s="584">
        <f t="shared" si="10"/>
        <v>13500</v>
      </c>
      <c r="G156" s="592">
        <v>112803</v>
      </c>
      <c r="H156" s="585">
        <f t="shared" si="9"/>
        <v>8.355777777777778</v>
      </c>
      <c r="I156" s="586">
        <v>3</v>
      </c>
      <c r="J156" s="587">
        <f t="shared" si="11"/>
        <v>5.355777777777778</v>
      </c>
      <c r="K156" s="2"/>
      <c r="L156" s="20"/>
      <c r="M156" s="20"/>
      <c r="N156" s="20"/>
      <c r="O156" s="19"/>
      <c r="Q156" s="20"/>
      <c r="AF156"/>
      <c r="AI156" s="33"/>
    </row>
    <row r="157" spans="1:35">
      <c r="A157" s="820"/>
      <c r="B157" s="589" t="s">
        <v>300</v>
      </c>
      <c r="C157" s="590">
        <v>1</v>
      </c>
      <c r="D157" s="593">
        <v>26</v>
      </c>
      <c r="E157" s="594">
        <v>332</v>
      </c>
      <c r="F157" s="595">
        <f>C157*D157*E157</f>
        <v>8632</v>
      </c>
      <c r="G157" s="596">
        <v>65216</v>
      </c>
      <c r="H157" s="597">
        <f t="shared" ref="H157" si="15">G157/F157</f>
        <v>7.5551436515291934</v>
      </c>
      <c r="I157" s="598">
        <v>3</v>
      </c>
      <c r="J157" s="599">
        <f t="shared" ref="J157" si="16">H157-I157</f>
        <v>4.5551436515291934</v>
      </c>
      <c r="K157" s="2"/>
      <c r="L157" s="20"/>
      <c r="M157" s="20"/>
      <c r="N157" s="20"/>
      <c r="O157" s="19"/>
      <c r="Q157" s="20"/>
      <c r="AF157"/>
      <c r="AI157" s="33"/>
    </row>
    <row r="158" spans="1:35" ht="15.75" thickBot="1">
      <c r="A158" s="821"/>
      <c r="B158" s="600" t="s">
        <v>301</v>
      </c>
      <c r="C158" s="601">
        <v>4</v>
      </c>
      <c r="D158" s="602">
        <v>26</v>
      </c>
      <c r="E158" s="603">
        <v>14</v>
      </c>
      <c r="F158" s="604">
        <f>C158*D158*E158</f>
        <v>1456</v>
      </c>
      <c r="G158" s="605">
        <v>51208</v>
      </c>
      <c r="H158" s="606">
        <f t="shared" si="9"/>
        <v>35.170329670329672</v>
      </c>
      <c r="I158" s="607">
        <v>3</v>
      </c>
      <c r="J158" s="608">
        <f t="shared" si="11"/>
        <v>32.170329670329672</v>
      </c>
      <c r="K158" s="2"/>
      <c r="L158" s="20"/>
      <c r="M158" s="20"/>
      <c r="N158" s="20"/>
      <c r="O158" s="19"/>
      <c r="Q158" s="20"/>
      <c r="AF158"/>
      <c r="AI158" s="33"/>
    </row>
    <row r="159" spans="1:35">
      <c r="K159" s="2"/>
      <c r="L159" s="20"/>
      <c r="M159" s="20"/>
      <c r="N159" s="20"/>
      <c r="O159" s="19"/>
      <c r="Q159" s="20"/>
      <c r="AF159"/>
      <c r="AI159" s="33"/>
    </row>
    <row r="160" spans="1:35">
      <c r="K160" s="2"/>
      <c r="L160" s="20"/>
      <c r="M160" s="20"/>
      <c r="N160" s="20"/>
      <c r="O160" s="19"/>
      <c r="AF160"/>
      <c r="AI160" s="33"/>
    </row>
    <row r="161" spans="1:35">
      <c r="K161" s="2"/>
      <c r="L161" s="20"/>
      <c r="M161" s="20"/>
      <c r="N161" s="20"/>
      <c r="O161" s="19"/>
      <c r="Q161" s="20"/>
      <c r="AF161"/>
      <c r="AI161" s="33"/>
    </row>
    <row r="162" spans="1:35">
      <c r="K162" s="2"/>
      <c r="L162" s="20"/>
      <c r="M162" s="20"/>
      <c r="N162" s="20"/>
      <c r="O162" s="19"/>
      <c r="Q162" s="20"/>
      <c r="AF162"/>
      <c r="AI162" s="33"/>
    </row>
    <row r="163" spans="1:35">
      <c r="A163" s="3"/>
      <c r="B163" s="15"/>
      <c r="C163" s="15"/>
      <c r="D163" s="15"/>
      <c r="E163" s="15"/>
      <c r="F163" s="2"/>
      <c r="G163" s="2"/>
      <c r="H163" s="2"/>
      <c r="I163" s="15"/>
      <c r="J163" s="2"/>
      <c r="K163" s="15"/>
      <c r="L163" s="15"/>
      <c r="M163" s="20"/>
      <c r="N163" s="20"/>
      <c r="O163" s="20"/>
      <c r="P163" s="19"/>
    </row>
    <row r="164" spans="1:35" ht="15.75" thickBot="1">
      <c r="A164" s="3"/>
      <c r="B164" s="3"/>
      <c r="C164" s="3"/>
      <c r="D164" s="3"/>
      <c r="E164" s="3"/>
      <c r="F164" s="2"/>
      <c r="G164" s="2"/>
      <c r="H164" s="2" t="str">
        <f>IF(AND(F164&gt;0,G164&gt;0),G164/F164,"")</f>
        <v/>
      </c>
      <c r="I164" s="3"/>
      <c r="J164" s="3"/>
      <c r="K164" s="2"/>
      <c r="L164" s="2"/>
      <c r="M164" s="20"/>
      <c r="N164" s="20"/>
      <c r="O164" s="20"/>
      <c r="P164" s="19"/>
    </row>
    <row r="165" spans="1:35" ht="19.5" thickBot="1">
      <c r="A165" s="203" t="s">
        <v>302</v>
      </c>
      <c r="B165" s="106"/>
      <c r="C165" s="106"/>
      <c r="D165" s="107"/>
      <c r="E165" s="107"/>
      <c r="F165" s="107"/>
      <c r="G165" s="208"/>
      <c r="H165" s="204"/>
      <c r="I165" s="252"/>
      <c r="J165" s="410" t="s">
        <v>303</v>
      </c>
      <c r="K165" s="411"/>
      <c r="L165" s="412"/>
      <c r="M165" s="413"/>
      <c r="N165" s="412"/>
      <c r="O165" s="414"/>
      <c r="P165" s="33"/>
    </row>
    <row r="166" spans="1:35" ht="15.75" thickBot="1">
      <c r="A166" s="3"/>
      <c r="B166" s="3"/>
      <c r="C166" s="3"/>
      <c r="D166" s="3"/>
      <c r="E166" s="3"/>
      <c r="F166" s="3"/>
      <c r="G166" s="3"/>
      <c r="H166" s="3"/>
      <c r="I166" s="3"/>
      <c r="J166" s="3"/>
      <c r="K166" s="3"/>
      <c r="L166" s="3"/>
      <c r="M166"/>
      <c r="N166"/>
      <c r="O166" s="33"/>
      <c r="P166" s="33"/>
    </row>
    <row r="167" spans="1:35" ht="25.5">
      <c r="A167" s="836" t="s">
        <v>38</v>
      </c>
      <c r="B167" s="837"/>
      <c r="C167" s="838"/>
      <c r="D167" s="244" t="s">
        <v>304</v>
      </c>
      <c r="E167" s="305" t="s">
        <v>305</v>
      </c>
      <c r="F167" s="206"/>
      <c r="G167" s="276" t="s">
        <v>150</v>
      </c>
      <c r="H167" s="276" t="s">
        <v>135</v>
      </c>
      <c r="I167" s="276" t="s">
        <v>151</v>
      </c>
      <c r="J167" s="276" t="s">
        <v>152</v>
      </c>
      <c r="K167" s="276" t="s">
        <v>153</v>
      </c>
      <c r="L167" s="276" t="s">
        <v>154</v>
      </c>
      <c r="M167" s="276" t="s">
        <v>155</v>
      </c>
      <c r="N167" s="276" t="s">
        <v>156</v>
      </c>
      <c r="O167" s="276" t="s">
        <v>157</v>
      </c>
      <c r="P167" s="276" t="s">
        <v>158</v>
      </c>
      <c r="Q167" s="276" t="s">
        <v>159</v>
      </c>
      <c r="R167" s="60"/>
    </row>
    <row r="168" spans="1:35" ht="39.75" customHeight="1">
      <c r="A168" s="839" t="s">
        <v>41</v>
      </c>
      <c r="B168" s="840"/>
      <c r="C168" s="841"/>
      <c r="D168" s="804" t="s">
        <v>306</v>
      </c>
      <c r="E168" s="785" t="s">
        <v>307</v>
      </c>
      <c r="F168" s="415" t="s">
        <v>308</v>
      </c>
      <c r="G168" s="416">
        <v>16250</v>
      </c>
      <c r="H168" s="416">
        <v>16875</v>
      </c>
      <c r="I168" s="419"/>
      <c r="J168" s="416"/>
      <c r="K168" s="416"/>
      <c r="L168" s="416"/>
      <c r="M168" s="416"/>
      <c r="N168" s="417"/>
      <c r="O168" s="418"/>
      <c r="P168" s="418"/>
      <c r="Q168" s="419"/>
      <c r="R168" s="60"/>
    </row>
    <row r="169" spans="1:35" ht="40.5" customHeight="1">
      <c r="A169" s="842"/>
      <c r="B169" s="843"/>
      <c r="C169" s="844"/>
      <c r="D169" s="804"/>
      <c r="E169" s="785"/>
      <c r="F169" s="415" t="s">
        <v>309</v>
      </c>
      <c r="G169" s="416">
        <v>16530</v>
      </c>
      <c r="H169" s="416">
        <v>15835</v>
      </c>
      <c r="I169" s="419"/>
      <c r="J169" s="416"/>
      <c r="K169" s="416"/>
      <c r="L169" s="416"/>
      <c r="M169" s="416"/>
      <c r="N169" s="417"/>
      <c r="O169" s="418"/>
      <c r="P169" s="418"/>
      <c r="Q169" s="419"/>
      <c r="R169" s="60"/>
    </row>
    <row r="170" spans="1:35" ht="42" customHeight="1">
      <c r="A170" s="786" t="s">
        <v>45</v>
      </c>
      <c r="B170" s="787"/>
      <c r="C170" s="788"/>
      <c r="D170" s="789" t="s">
        <v>306</v>
      </c>
      <c r="E170" s="790" t="s">
        <v>307</v>
      </c>
      <c r="F170" s="420" t="s">
        <v>308</v>
      </c>
      <c r="G170" s="416">
        <v>4373</v>
      </c>
      <c r="H170" s="568">
        <v>5123</v>
      </c>
      <c r="I170" s="425"/>
      <c r="J170" s="422"/>
      <c r="K170" s="422"/>
      <c r="L170" s="422"/>
      <c r="M170" s="422"/>
      <c r="N170" s="423"/>
      <c r="O170" s="424"/>
      <c r="P170" s="424"/>
      <c r="Q170" s="425"/>
      <c r="R170" s="60"/>
    </row>
    <row r="171" spans="1:35" ht="48" customHeight="1">
      <c r="A171" s="786"/>
      <c r="B171" s="787"/>
      <c r="C171" s="788"/>
      <c r="D171" s="789"/>
      <c r="E171" s="790"/>
      <c r="F171" s="420" t="s">
        <v>309</v>
      </c>
      <c r="G171" s="416">
        <v>3718</v>
      </c>
      <c r="H171" s="416">
        <v>3762</v>
      </c>
      <c r="I171" s="425"/>
      <c r="J171" s="423"/>
      <c r="K171" s="423"/>
      <c r="L171" s="423"/>
      <c r="M171" s="423"/>
      <c r="N171" s="423"/>
      <c r="O171" s="424"/>
      <c r="P171" s="424"/>
      <c r="Q171" s="425"/>
      <c r="R171" s="60"/>
    </row>
    <row r="172" spans="1:35" ht="42" customHeight="1">
      <c r="A172" s="801" t="s">
        <v>310</v>
      </c>
      <c r="B172" s="802"/>
      <c r="C172" s="803"/>
      <c r="D172" s="804" t="s">
        <v>306</v>
      </c>
      <c r="E172" s="785" t="s">
        <v>307</v>
      </c>
      <c r="F172" s="415" t="s">
        <v>308</v>
      </c>
      <c r="G172" s="555">
        <v>0.54900000000000004</v>
      </c>
      <c r="H172" s="418"/>
      <c r="I172" s="419"/>
      <c r="J172" s="416"/>
      <c r="K172" s="426"/>
      <c r="L172" s="416"/>
      <c r="M172" s="416"/>
      <c r="N172" s="417"/>
      <c r="O172" s="418"/>
      <c r="P172" s="418"/>
      <c r="Q172" s="419"/>
      <c r="R172" s="60"/>
    </row>
    <row r="173" spans="1:35" ht="38.25" customHeight="1">
      <c r="A173" s="801"/>
      <c r="B173" s="802"/>
      <c r="C173" s="803"/>
      <c r="D173" s="804"/>
      <c r="E173" s="785"/>
      <c r="F173" s="415" t="s">
        <v>309</v>
      </c>
      <c r="G173" s="555">
        <v>0.68500000000000005</v>
      </c>
      <c r="H173" s="418"/>
      <c r="I173" s="419"/>
      <c r="J173" s="416"/>
      <c r="K173" s="426"/>
      <c r="L173" s="416"/>
      <c r="M173" s="416"/>
      <c r="N173" s="417"/>
      <c r="O173" s="418"/>
      <c r="P173" s="418"/>
      <c r="Q173" s="419"/>
      <c r="R173" s="60"/>
    </row>
    <row r="174" spans="1:35" ht="39.75" customHeight="1">
      <c r="A174" s="786" t="s">
        <v>52</v>
      </c>
      <c r="B174" s="787"/>
      <c r="C174" s="788"/>
      <c r="D174" s="789" t="s">
        <v>306</v>
      </c>
      <c r="E174" s="790" t="s">
        <v>307</v>
      </c>
      <c r="F174" s="420" t="s">
        <v>308</v>
      </c>
      <c r="G174" s="429" t="s">
        <v>311</v>
      </c>
      <c r="H174" s="429" t="s">
        <v>312</v>
      </c>
      <c r="I174" s="429"/>
      <c r="J174" s="429"/>
      <c r="K174" s="429"/>
      <c r="L174" s="427"/>
      <c r="M174" s="428"/>
      <c r="N174" s="428"/>
      <c r="O174" s="428"/>
      <c r="P174" s="429"/>
      <c r="Q174" s="430"/>
      <c r="R174" s="60"/>
    </row>
    <row r="175" spans="1:35" ht="39.75" customHeight="1">
      <c r="A175" s="786"/>
      <c r="B175" s="787"/>
      <c r="C175" s="788"/>
      <c r="D175" s="789"/>
      <c r="E175" s="790"/>
      <c r="F175" s="420" t="s">
        <v>309</v>
      </c>
      <c r="G175" s="429" t="s">
        <v>313</v>
      </c>
      <c r="H175" s="429" t="s">
        <v>314</v>
      </c>
      <c r="I175" s="429"/>
      <c r="J175" s="429"/>
      <c r="K175" s="429"/>
      <c r="L175" s="427"/>
      <c r="M175" s="427"/>
      <c r="N175" s="428"/>
      <c r="O175" s="428"/>
      <c r="P175" s="429"/>
      <c r="Q175" s="430"/>
      <c r="R175" s="60"/>
    </row>
    <row r="176" spans="1:35" ht="39.75" customHeight="1">
      <c r="A176" s="801" t="s">
        <v>59</v>
      </c>
      <c r="B176" s="802"/>
      <c r="C176" s="803"/>
      <c r="D176" s="804" t="s">
        <v>306</v>
      </c>
      <c r="E176" s="785" t="s">
        <v>307</v>
      </c>
      <c r="F176" s="415" t="s">
        <v>308</v>
      </c>
      <c r="G176" s="433" t="s">
        <v>315</v>
      </c>
      <c r="H176" s="433" t="s">
        <v>316</v>
      </c>
      <c r="I176" s="433"/>
      <c r="J176" s="433"/>
      <c r="K176" s="433"/>
      <c r="L176" s="431"/>
      <c r="M176" s="431"/>
      <c r="N176" s="432"/>
      <c r="O176" s="433"/>
      <c r="P176" s="433"/>
      <c r="Q176" s="434"/>
      <c r="R176" s="60"/>
    </row>
    <row r="177" spans="1:18" ht="35.25" customHeight="1">
      <c r="A177" s="801"/>
      <c r="B177" s="802"/>
      <c r="C177" s="803"/>
      <c r="D177" s="804"/>
      <c r="E177" s="785"/>
      <c r="F177" s="415" t="s">
        <v>309</v>
      </c>
      <c r="G177" s="433" t="s">
        <v>317</v>
      </c>
      <c r="H177" s="433" t="s">
        <v>318</v>
      </c>
      <c r="I177" s="433"/>
      <c r="J177" s="433"/>
      <c r="K177" s="433"/>
      <c r="L177" s="431"/>
      <c r="M177" s="431"/>
      <c r="N177" s="432"/>
      <c r="O177" s="433"/>
      <c r="P177" s="433"/>
      <c r="Q177" s="434"/>
      <c r="R177" s="60"/>
    </row>
    <row r="178" spans="1:18" ht="39" customHeight="1">
      <c r="A178" s="786" t="s">
        <v>63</v>
      </c>
      <c r="B178" s="787"/>
      <c r="C178" s="788"/>
      <c r="D178" s="789" t="s">
        <v>306</v>
      </c>
      <c r="E178" s="790" t="s">
        <v>307</v>
      </c>
      <c r="F178" s="420" t="s">
        <v>308</v>
      </c>
      <c r="G178" s="429" t="s">
        <v>319</v>
      </c>
      <c r="H178" s="429" t="s">
        <v>320</v>
      </c>
      <c r="I178" s="429"/>
      <c r="J178" s="429"/>
      <c r="K178" s="429"/>
      <c r="L178" s="427"/>
      <c r="M178" s="427"/>
      <c r="N178" s="427"/>
      <c r="O178" s="429"/>
      <c r="P178" s="429"/>
      <c r="Q178" s="435"/>
      <c r="R178" s="60"/>
    </row>
    <row r="179" spans="1:18" ht="43.5" customHeight="1">
      <c r="A179" s="786"/>
      <c r="B179" s="787"/>
      <c r="C179" s="788"/>
      <c r="D179" s="789"/>
      <c r="E179" s="790"/>
      <c r="F179" s="420" t="s">
        <v>309</v>
      </c>
      <c r="G179" s="429" t="s">
        <v>321</v>
      </c>
      <c r="H179" s="429" t="s">
        <v>322</v>
      </c>
      <c r="I179" s="429"/>
      <c r="J179" s="429"/>
      <c r="K179" s="429"/>
      <c r="L179" s="421"/>
      <c r="M179" s="421"/>
      <c r="N179" s="427"/>
      <c r="O179" s="429"/>
      <c r="P179" s="429"/>
      <c r="Q179" s="435"/>
      <c r="R179" s="60"/>
    </row>
    <row r="180" spans="1:18" ht="40.5" customHeight="1">
      <c r="A180" s="801" t="s">
        <v>70</v>
      </c>
      <c r="B180" s="802"/>
      <c r="C180" s="803"/>
      <c r="D180" s="804" t="s">
        <v>323</v>
      </c>
      <c r="E180" s="785" t="s">
        <v>307</v>
      </c>
      <c r="F180" s="415" t="s">
        <v>308</v>
      </c>
      <c r="G180" s="433" t="s">
        <v>324</v>
      </c>
      <c r="H180" s="433" t="s">
        <v>325</v>
      </c>
      <c r="I180" s="433"/>
      <c r="J180" s="433"/>
      <c r="K180" s="433"/>
      <c r="L180" s="431"/>
      <c r="M180" s="431"/>
      <c r="N180" s="432"/>
      <c r="O180" s="433"/>
      <c r="P180" s="433"/>
      <c r="Q180" s="434"/>
      <c r="R180" s="60"/>
    </row>
    <row r="181" spans="1:18" ht="36.75" customHeight="1">
      <c r="A181" s="801"/>
      <c r="B181" s="802"/>
      <c r="C181" s="803"/>
      <c r="D181" s="804"/>
      <c r="E181" s="785"/>
      <c r="F181" s="415" t="s">
        <v>309</v>
      </c>
      <c r="G181" s="433" t="s">
        <v>326</v>
      </c>
      <c r="H181" s="433" t="s">
        <v>327</v>
      </c>
      <c r="I181" s="433"/>
      <c r="J181" s="433"/>
      <c r="K181" s="433"/>
      <c r="L181" s="431"/>
      <c r="M181" s="431"/>
      <c r="N181" s="432"/>
      <c r="O181" s="433"/>
      <c r="P181" s="433"/>
      <c r="Q181" s="431"/>
      <c r="R181" s="60"/>
    </row>
    <row r="182" spans="1:18" ht="36" customHeight="1">
      <c r="A182" s="786" t="s">
        <v>56</v>
      </c>
      <c r="B182" s="787"/>
      <c r="C182" s="788"/>
      <c r="D182" s="789" t="s">
        <v>323</v>
      </c>
      <c r="E182" s="790" t="s">
        <v>307</v>
      </c>
      <c r="F182" s="420" t="s">
        <v>308</v>
      </c>
      <c r="G182" s="429" t="s">
        <v>328</v>
      </c>
      <c r="H182" s="429" t="s">
        <v>329</v>
      </c>
      <c r="I182" s="429"/>
      <c r="J182" s="429"/>
      <c r="K182" s="429"/>
      <c r="L182" s="427"/>
      <c r="M182" s="421"/>
      <c r="N182" s="427"/>
      <c r="O182" s="429"/>
      <c r="P182" s="429"/>
      <c r="Q182" s="421"/>
      <c r="R182" s="60"/>
    </row>
    <row r="183" spans="1:18" ht="35.25" customHeight="1">
      <c r="A183" s="786"/>
      <c r="B183" s="787"/>
      <c r="C183" s="788"/>
      <c r="D183" s="789"/>
      <c r="E183" s="790"/>
      <c r="F183" s="420" t="s">
        <v>309</v>
      </c>
      <c r="G183" s="429" t="s">
        <v>330</v>
      </c>
      <c r="H183" s="429" t="s">
        <v>331</v>
      </c>
      <c r="I183" s="429"/>
      <c r="J183" s="429"/>
      <c r="K183" s="429"/>
      <c r="L183" s="427"/>
      <c r="M183" s="427"/>
      <c r="N183" s="427"/>
      <c r="O183" s="429"/>
      <c r="P183" s="429"/>
      <c r="Q183" s="427"/>
      <c r="R183" s="60"/>
    </row>
    <row r="184" spans="1:18" ht="36.75" customHeight="1">
      <c r="A184" s="801" t="s">
        <v>67</v>
      </c>
      <c r="B184" s="802"/>
      <c r="C184" s="803"/>
      <c r="D184" s="804" t="s">
        <v>323</v>
      </c>
      <c r="E184" s="805" t="s">
        <v>307</v>
      </c>
      <c r="F184" s="415" t="s">
        <v>308</v>
      </c>
      <c r="G184" s="433" t="s">
        <v>332</v>
      </c>
      <c r="H184" s="433" t="s">
        <v>333</v>
      </c>
      <c r="I184" s="433"/>
      <c r="J184" s="433"/>
      <c r="K184" s="433"/>
      <c r="L184" s="431"/>
      <c r="M184" s="431"/>
      <c r="N184" s="432"/>
      <c r="O184" s="433"/>
      <c r="P184" s="433"/>
      <c r="Q184" s="431"/>
      <c r="R184" s="60"/>
    </row>
    <row r="185" spans="1:18" ht="38.25" customHeight="1">
      <c r="A185" s="801"/>
      <c r="B185" s="802"/>
      <c r="C185" s="803"/>
      <c r="D185" s="804"/>
      <c r="E185" s="805"/>
      <c r="F185" s="415" t="s">
        <v>309</v>
      </c>
      <c r="G185" s="433" t="s">
        <v>334</v>
      </c>
      <c r="H185" s="433" t="s">
        <v>335</v>
      </c>
      <c r="I185" s="433"/>
      <c r="J185" s="433"/>
      <c r="K185" s="433"/>
      <c r="L185" s="431"/>
      <c r="M185" s="431"/>
      <c r="N185" s="432"/>
      <c r="O185" s="433"/>
      <c r="P185" s="433"/>
      <c r="Q185" s="431"/>
      <c r="R185" s="60"/>
    </row>
    <row r="186" spans="1:18" ht="42.75" customHeight="1">
      <c r="A186" s="786" t="s">
        <v>73</v>
      </c>
      <c r="B186" s="787"/>
      <c r="C186" s="788"/>
      <c r="D186" s="789" t="s">
        <v>323</v>
      </c>
      <c r="E186" s="790" t="s">
        <v>307</v>
      </c>
      <c r="F186" s="420" t="s">
        <v>308</v>
      </c>
      <c r="G186" s="429" t="s">
        <v>336</v>
      </c>
      <c r="H186" s="429" t="s">
        <v>337</v>
      </c>
      <c r="I186" s="429"/>
      <c r="J186" s="429"/>
      <c r="K186" s="429"/>
      <c r="L186" s="427"/>
      <c r="M186" s="427"/>
      <c r="N186" s="427"/>
      <c r="O186" s="429"/>
      <c r="P186" s="429"/>
      <c r="Q186" s="427"/>
      <c r="R186" s="60"/>
    </row>
    <row r="187" spans="1:18" ht="39.75" customHeight="1">
      <c r="A187" s="786"/>
      <c r="B187" s="787"/>
      <c r="C187" s="788"/>
      <c r="D187" s="789"/>
      <c r="E187" s="790"/>
      <c r="F187" s="420" t="s">
        <v>309</v>
      </c>
      <c r="G187" s="429" t="s">
        <v>338</v>
      </c>
      <c r="H187" s="429" t="s">
        <v>339</v>
      </c>
      <c r="I187" s="429"/>
      <c r="J187" s="429"/>
      <c r="K187" s="429"/>
      <c r="L187" s="427"/>
      <c r="M187" s="427"/>
      <c r="N187" s="427"/>
      <c r="O187" s="429"/>
      <c r="P187" s="429"/>
      <c r="Q187" s="427"/>
      <c r="R187" s="60"/>
    </row>
    <row r="188" spans="1:18" ht="18.75" customHeight="1">
      <c r="A188" s="801" t="s">
        <v>340</v>
      </c>
      <c r="B188" s="802"/>
      <c r="C188" s="803"/>
      <c r="D188" s="804" t="s">
        <v>306</v>
      </c>
      <c r="E188" s="805" t="s">
        <v>341</v>
      </c>
      <c r="F188" s="415" t="s">
        <v>308</v>
      </c>
      <c r="G188" s="436">
        <v>0.95</v>
      </c>
      <c r="H188" s="436">
        <v>0.95</v>
      </c>
      <c r="I188" s="436"/>
      <c r="J188" s="436"/>
      <c r="K188" s="436"/>
      <c r="L188" s="431"/>
      <c r="M188" s="431"/>
      <c r="N188" s="432"/>
      <c r="O188" s="436"/>
      <c r="P188" s="436"/>
      <c r="Q188" s="431"/>
      <c r="R188" s="60"/>
    </row>
    <row r="189" spans="1:18" ht="21" customHeight="1">
      <c r="A189" s="801"/>
      <c r="B189" s="802"/>
      <c r="C189" s="803"/>
      <c r="D189" s="804"/>
      <c r="E189" s="805"/>
      <c r="F189" s="415" t="s">
        <v>309</v>
      </c>
      <c r="G189" s="436">
        <v>0.96</v>
      </c>
      <c r="H189" s="436">
        <v>0.96</v>
      </c>
      <c r="I189" s="436"/>
      <c r="J189" s="436"/>
      <c r="K189" s="436"/>
      <c r="L189" s="431"/>
      <c r="M189" s="431"/>
      <c r="N189" s="432"/>
      <c r="O189" s="436"/>
      <c r="P189" s="432"/>
      <c r="Q189" s="431"/>
      <c r="R189" s="60"/>
    </row>
    <row r="190" spans="1:18" ht="19.5" customHeight="1">
      <c r="A190" s="786" t="s">
        <v>79</v>
      </c>
      <c r="B190" s="787"/>
      <c r="C190" s="788"/>
      <c r="D190" s="789" t="s">
        <v>323</v>
      </c>
      <c r="E190" s="790" t="s">
        <v>307</v>
      </c>
      <c r="F190" s="420" t="s">
        <v>308</v>
      </c>
      <c r="G190" s="428">
        <v>0.9</v>
      </c>
      <c r="H190" s="428">
        <v>0.9</v>
      </c>
      <c r="I190" s="428"/>
      <c r="J190" s="428"/>
      <c r="K190" s="428"/>
      <c r="L190" s="427"/>
      <c r="M190" s="427"/>
      <c r="N190" s="427"/>
      <c r="O190" s="428"/>
      <c r="P190" s="428"/>
      <c r="Q190" s="427"/>
      <c r="R190" s="60"/>
    </row>
    <row r="191" spans="1:18" ht="21" customHeight="1">
      <c r="A191" s="786"/>
      <c r="B191" s="787"/>
      <c r="C191" s="788"/>
      <c r="D191" s="789"/>
      <c r="E191" s="790"/>
      <c r="F191" s="420" t="s">
        <v>309</v>
      </c>
      <c r="G191" s="428">
        <v>0.93</v>
      </c>
      <c r="H191" s="428">
        <v>0.92</v>
      </c>
      <c r="I191" s="428"/>
      <c r="J191" s="428"/>
      <c r="K191" s="428"/>
      <c r="L191" s="427"/>
      <c r="M191" s="427"/>
      <c r="N191" s="427"/>
      <c r="O191" s="427"/>
      <c r="P191" s="427"/>
      <c r="Q191" s="427"/>
      <c r="R191" s="60"/>
    </row>
    <row r="192" spans="1:18">
      <c r="A192" s="3"/>
      <c r="B192" s="3"/>
      <c r="C192" s="3"/>
      <c r="D192" s="3"/>
      <c r="E192" s="3"/>
      <c r="F192" s="2"/>
      <c r="G192" s="3"/>
      <c r="H192" s="3"/>
      <c r="I192" s="3"/>
      <c r="J192" s="3"/>
      <c r="K192" s="3"/>
      <c r="L192" s="3"/>
      <c r="M192" s="3"/>
      <c r="N192"/>
      <c r="P192" s="33"/>
      <c r="Q192" s="33"/>
    </row>
    <row r="193" spans="1:34" ht="16.5" thickBot="1">
      <c r="A193" s="245"/>
      <c r="B193" s="3"/>
      <c r="C193" s="3"/>
      <c r="D193" s="3"/>
      <c r="E193" s="3"/>
      <c r="F193" s="2"/>
      <c r="G193" s="3"/>
      <c r="H193" s="3"/>
      <c r="I193" s="3"/>
      <c r="J193" s="3"/>
      <c r="K193" s="3"/>
      <c r="L193" s="3"/>
      <c r="M193" s="3"/>
      <c r="N193"/>
      <c r="P193" s="33"/>
      <c r="Q193" s="33"/>
    </row>
    <row r="194" spans="1:34" ht="25.5">
      <c r="A194" s="3" t="s">
        <v>342</v>
      </c>
      <c r="B194" s="3"/>
      <c r="C194" s="3"/>
      <c r="D194" s="244" t="s">
        <v>304</v>
      </c>
      <c r="E194" s="305" t="s">
        <v>305</v>
      </c>
      <c r="F194" s="206"/>
      <c r="G194" s="276" t="s">
        <v>150</v>
      </c>
      <c r="H194" s="276" t="s">
        <v>135</v>
      </c>
      <c r="I194" s="276" t="s">
        <v>151</v>
      </c>
      <c r="J194" s="276" t="s">
        <v>152</v>
      </c>
      <c r="K194" s="276" t="s">
        <v>153</v>
      </c>
      <c r="L194" s="276" t="s">
        <v>154</v>
      </c>
      <c r="M194" s="276" t="s">
        <v>155</v>
      </c>
      <c r="N194" s="276" t="s">
        <v>156</v>
      </c>
      <c r="O194" s="276" t="s">
        <v>157</v>
      </c>
      <c r="P194" s="276" t="s">
        <v>158</v>
      </c>
      <c r="Q194" s="276" t="s">
        <v>159</v>
      </c>
      <c r="R194" s="33"/>
      <c r="S194" s="33"/>
    </row>
    <row r="195" spans="1:34">
      <c r="A195" s="808" t="str">
        <f>IF(ISBLANK(A168),"",(A168))</f>
        <v>Процент ЛУИН, охваченных программами по профилактике ВИЧ</v>
      </c>
      <c r="B195" s="809"/>
      <c r="C195" s="810"/>
      <c r="D195" s="814" t="str">
        <f>IF(ISBLANK(D168),"",(D168))</f>
        <v>Топ 10</v>
      </c>
      <c r="E195" s="791" t="str">
        <f>IF(ISBLANK(E168),"",(E168))</f>
        <v>с текущим грантом</v>
      </c>
      <c r="F195" s="415" t="s">
        <v>308</v>
      </c>
      <c r="G195" s="437">
        <f t="shared" ref="G195:H200" si="17">G168</f>
        <v>16250</v>
      </c>
      <c r="H195" s="437">
        <f t="shared" si="17"/>
        <v>16875</v>
      </c>
      <c r="I195" s="437"/>
      <c r="J195" s="437"/>
      <c r="K195" s="437"/>
      <c r="L195" s="437"/>
      <c r="M195" s="437"/>
      <c r="N195" s="438"/>
      <c r="O195" s="438"/>
      <c r="P195" s="438"/>
      <c r="Q195" s="438"/>
      <c r="R195" s="33"/>
      <c r="S195" s="33"/>
    </row>
    <row r="196" spans="1:34" ht="15.75" thickBot="1">
      <c r="A196" s="811"/>
      <c r="B196" s="812"/>
      <c r="C196" s="813"/>
      <c r="D196" s="814"/>
      <c r="E196" s="791"/>
      <c r="F196" s="415" t="s">
        <v>309</v>
      </c>
      <c r="G196" s="437">
        <f t="shared" si="17"/>
        <v>16530</v>
      </c>
      <c r="H196" s="437">
        <f t="shared" si="17"/>
        <v>15835</v>
      </c>
      <c r="I196" s="437"/>
      <c r="J196" s="437"/>
      <c r="K196" s="437"/>
      <c r="L196" s="437"/>
      <c r="M196" s="437"/>
      <c r="N196" s="438"/>
      <c r="O196" s="438"/>
      <c r="P196" s="438"/>
      <c r="Q196" s="438"/>
      <c r="R196" s="33"/>
      <c r="S196" s="33"/>
    </row>
    <row r="197" spans="1:34">
      <c r="A197" s="792" t="str">
        <f>IF(ISBLANK(A170),"",(A170))</f>
        <v>Процент взрослых и детей, получающих в настоящее время антиретровирусную терапию, от оценочного числа всех взрослых и детей, живущих с ВИЧ</v>
      </c>
      <c r="B197" s="793"/>
      <c r="C197" s="794"/>
      <c r="D197" s="815" t="str">
        <f>IF(ISBLANK(D170),"",(D170))</f>
        <v>Топ 10</v>
      </c>
      <c r="E197" s="816" t="str">
        <f>IF(ISBLANK(E170),"",(E170))</f>
        <v>с текущим грантом</v>
      </c>
      <c r="F197" s="420" t="s">
        <v>308</v>
      </c>
      <c r="G197" s="439">
        <f t="shared" si="17"/>
        <v>4373</v>
      </c>
      <c r="H197" s="439">
        <f t="shared" si="17"/>
        <v>5123</v>
      </c>
      <c r="I197" s="439"/>
      <c r="J197" s="439"/>
      <c r="K197" s="439"/>
      <c r="L197" s="439"/>
      <c r="M197" s="439"/>
      <c r="N197" s="440"/>
      <c r="O197" s="440"/>
      <c r="P197" s="440"/>
      <c r="Q197" s="440"/>
      <c r="R197" s="33"/>
      <c r="S197" s="33"/>
    </row>
    <row r="198" spans="1:34" ht="15.75" thickBot="1">
      <c r="A198" s="795"/>
      <c r="B198" s="796"/>
      <c r="C198" s="797"/>
      <c r="D198" s="815"/>
      <c r="E198" s="816"/>
      <c r="F198" s="420" t="s">
        <v>309</v>
      </c>
      <c r="G198" s="439">
        <f t="shared" si="17"/>
        <v>3718</v>
      </c>
      <c r="H198" s="439">
        <f t="shared" si="17"/>
        <v>3762</v>
      </c>
      <c r="I198" s="439"/>
      <c r="J198" s="439"/>
      <c r="K198" s="439"/>
      <c r="L198" s="439"/>
      <c r="M198" s="439"/>
      <c r="N198" s="440"/>
      <c r="O198" s="440"/>
      <c r="P198" s="440"/>
      <c r="Q198" s="440"/>
      <c r="R198" s="33"/>
      <c r="S198" s="33"/>
    </row>
    <row r="199" spans="1:34">
      <c r="A199" s="808" t="str">
        <f>IF(ISBLANK(A172),"",(A172))</f>
        <v>Процент ЛЖВ, получающих АРТ и достигших неопределяемую вирусную нагрузку (т.е. ≤1000 копий)</v>
      </c>
      <c r="B199" s="809"/>
      <c r="C199" s="810"/>
      <c r="D199" s="814" t="str">
        <f>IF(ISBLANK(D172),"",(D172))</f>
        <v>Топ 10</v>
      </c>
      <c r="E199" s="791" t="str">
        <f>IF(ISBLANK(E172),"",(E172))</f>
        <v>с текущим грантом</v>
      </c>
      <c r="F199" s="441" t="s">
        <v>308</v>
      </c>
      <c r="G199" s="556">
        <f t="shared" si="17"/>
        <v>0.54900000000000004</v>
      </c>
      <c r="H199" s="556">
        <f t="shared" si="17"/>
        <v>0</v>
      </c>
      <c r="I199" s="437"/>
      <c r="J199" s="437"/>
      <c r="K199" s="437"/>
      <c r="L199" s="437"/>
      <c r="M199" s="437"/>
      <c r="N199" s="438"/>
      <c r="O199" s="438"/>
      <c r="P199" s="438"/>
      <c r="Q199" s="438"/>
      <c r="R199" s="33"/>
      <c r="S199" s="33"/>
    </row>
    <row r="200" spans="1:34" ht="15.75" thickBot="1">
      <c r="A200" s="811"/>
      <c r="B200" s="812"/>
      <c r="C200" s="813"/>
      <c r="D200" s="817"/>
      <c r="E200" s="818"/>
      <c r="F200" s="415" t="s">
        <v>309</v>
      </c>
      <c r="G200" s="556">
        <f t="shared" si="17"/>
        <v>0.68500000000000005</v>
      </c>
      <c r="H200" s="556">
        <f t="shared" si="17"/>
        <v>0</v>
      </c>
      <c r="I200" s="437"/>
      <c r="J200" s="437"/>
      <c r="K200" s="437"/>
      <c r="L200" s="437"/>
      <c r="M200" s="437"/>
      <c r="N200" s="438"/>
      <c r="O200" s="438"/>
      <c r="P200" s="438"/>
      <c r="Q200" s="438"/>
      <c r="R200" s="33"/>
      <c r="S200" s="33"/>
    </row>
    <row r="201" spans="1:34" s="19" customFormat="1" ht="15" customHeight="1">
      <c r="A201" s="801" t="s">
        <v>83</v>
      </c>
      <c r="B201" s="802"/>
      <c r="C201" s="803"/>
      <c r="D201" s="804" t="s">
        <v>323</v>
      </c>
      <c r="E201" s="806" t="s">
        <v>307</v>
      </c>
      <c r="F201" s="415" t="s">
        <v>308</v>
      </c>
      <c r="G201" s="436">
        <v>0.95</v>
      </c>
      <c r="H201" s="436"/>
      <c r="I201" s="436"/>
      <c r="J201" s="431"/>
      <c r="K201" s="436"/>
      <c r="L201" s="431"/>
      <c r="M201" s="432"/>
      <c r="N201" s="436"/>
      <c r="O201" s="436"/>
      <c r="P201" s="436"/>
      <c r="Q201" s="436"/>
      <c r="AF201" s="20"/>
      <c r="AG201" s="20"/>
      <c r="AH201" s="20"/>
    </row>
    <row r="202" spans="1:34">
      <c r="A202" s="801"/>
      <c r="B202" s="802"/>
      <c r="C202" s="803"/>
      <c r="D202" s="804"/>
      <c r="E202" s="807"/>
      <c r="F202" s="415" t="s">
        <v>309</v>
      </c>
      <c r="G202" s="436">
        <v>0.98</v>
      </c>
      <c r="H202" s="436"/>
      <c r="I202" s="436"/>
      <c r="J202" s="431"/>
      <c r="K202" s="436"/>
      <c r="L202" s="431"/>
      <c r="M202" s="432"/>
      <c r="N202" s="436"/>
      <c r="O202" s="436"/>
      <c r="P202" s="436"/>
      <c r="Q202" s="436"/>
    </row>
    <row r="203" spans="1:34" ht="15.75" thickBot="1">
      <c r="A203" s="3"/>
      <c r="B203" s="3"/>
      <c r="C203" s="3"/>
      <c r="D203" s="3"/>
      <c r="E203" s="3"/>
      <c r="F203" s="3"/>
      <c r="G203" s="3"/>
      <c r="H203" s="2" t="str">
        <f>IF(AND(F203&gt;0,G203&gt;0),G203/F203,"")</f>
        <v/>
      </c>
      <c r="I203" s="95"/>
      <c r="J203" s="95"/>
      <c r="K203" s="3"/>
      <c r="L203" s="3"/>
    </row>
    <row r="204" spans="1:34" ht="19.5" thickBot="1">
      <c r="A204" s="456" t="s">
        <v>343</v>
      </c>
      <c r="B204" s="106"/>
      <c r="C204" s="106"/>
      <c r="D204" s="107"/>
      <c r="E204" s="107"/>
      <c r="F204" s="107"/>
      <c r="G204" s="208"/>
      <c r="H204" s="204"/>
      <c r="I204" s="252"/>
      <c r="J204" s="536" t="s">
        <v>303</v>
      </c>
      <c r="K204" s="537"/>
      <c r="L204" s="538"/>
      <c r="M204" s="539"/>
      <c r="N204" s="538"/>
      <c r="O204" s="540"/>
      <c r="P204" s="33"/>
    </row>
    <row r="205" spans="1:34" ht="15.75" thickBot="1">
      <c r="A205" s="3"/>
      <c r="B205" s="3"/>
      <c r="C205" s="3"/>
      <c r="D205" s="3"/>
      <c r="E205" s="3"/>
      <c r="F205" s="3"/>
      <c r="G205" s="3"/>
      <c r="H205" s="3"/>
      <c r="I205" s="3"/>
      <c r="J205" s="3"/>
      <c r="K205" s="3"/>
      <c r="L205" s="3"/>
      <c r="M205"/>
      <c r="N205"/>
      <c r="O205" s="33"/>
      <c r="P205" s="33"/>
    </row>
    <row r="206" spans="1:34" ht="39.75" customHeight="1">
      <c r="A206" s="836" t="s">
        <v>38</v>
      </c>
      <c r="B206" s="837"/>
      <c r="C206" s="838"/>
      <c r="D206" s="244" t="s">
        <v>304</v>
      </c>
      <c r="E206" s="305" t="s">
        <v>305</v>
      </c>
      <c r="F206" s="206"/>
      <c r="G206" s="276" t="s">
        <v>344</v>
      </c>
      <c r="H206" s="276" t="s">
        <v>345</v>
      </c>
      <c r="I206" s="276" t="s">
        <v>151</v>
      </c>
      <c r="J206" s="276" t="s">
        <v>152</v>
      </c>
      <c r="K206" s="276" t="s">
        <v>153</v>
      </c>
      <c r="L206" s="276" t="s">
        <v>154</v>
      </c>
      <c r="M206" s="276" t="s">
        <v>155</v>
      </c>
      <c r="N206" s="276" t="s">
        <v>156</v>
      </c>
      <c r="O206" s="276" t="s">
        <v>157</v>
      </c>
      <c r="P206" s="276" t="s">
        <v>158</v>
      </c>
      <c r="Q206" s="276" t="s">
        <v>159</v>
      </c>
      <c r="R206" s="60"/>
    </row>
    <row r="207" spans="1:34" ht="40.5" customHeight="1">
      <c r="A207" s="898" t="s">
        <v>88</v>
      </c>
      <c r="B207" s="899"/>
      <c r="C207" s="900"/>
      <c r="D207" s="804" t="s">
        <v>323</v>
      </c>
      <c r="E207" s="829" t="s">
        <v>346</v>
      </c>
      <c r="F207" s="541" t="s">
        <v>308</v>
      </c>
      <c r="G207" s="222">
        <v>3500</v>
      </c>
      <c r="H207" s="222">
        <v>3475</v>
      </c>
      <c r="I207" s="222"/>
      <c r="J207" s="222"/>
      <c r="K207" s="222"/>
      <c r="L207" s="222"/>
      <c r="M207" s="222"/>
      <c r="N207" s="222"/>
      <c r="O207" s="222"/>
      <c r="P207" s="222"/>
      <c r="Q207" s="222"/>
      <c r="R207" s="60"/>
    </row>
    <row r="208" spans="1:34" ht="23.25" customHeight="1">
      <c r="A208" s="901"/>
      <c r="B208" s="902"/>
      <c r="C208" s="903"/>
      <c r="D208" s="804"/>
      <c r="E208" s="830"/>
      <c r="F208" s="541" t="s">
        <v>347</v>
      </c>
      <c r="G208" s="222">
        <v>3191</v>
      </c>
      <c r="H208" s="222">
        <v>3023</v>
      </c>
      <c r="I208" s="222"/>
      <c r="J208" s="222"/>
      <c r="K208" s="222"/>
      <c r="L208" s="222"/>
      <c r="M208" s="222"/>
      <c r="N208" s="222"/>
      <c r="O208" s="222"/>
      <c r="P208" s="222"/>
      <c r="Q208" s="222"/>
      <c r="R208" s="60"/>
    </row>
    <row r="209" spans="1:19" ht="48" customHeight="1">
      <c r="A209" s="898" t="s">
        <v>348</v>
      </c>
      <c r="B209" s="899"/>
      <c r="C209" s="900"/>
      <c r="D209" s="789" t="s">
        <v>306</v>
      </c>
      <c r="E209" s="831" t="s">
        <v>346</v>
      </c>
      <c r="F209" s="541" t="s">
        <v>308</v>
      </c>
      <c r="G209" s="328">
        <v>700</v>
      </c>
      <c r="H209" s="328">
        <v>720</v>
      </c>
      <c r="I209" s="223"/>
      <c r="J209" s="223"/>
      <c r="K209" s="382"/>
      <c r="L209" s="223"/>
      <c r="M209" s="223"/>
      <c r="N209" s="223"/>
      <c r="O209" s="223"/>
      <c r="P209" s="223"/>
      <c r="Q209" s="223"/>
      <c r="R209" s="60"/>
    </row>
    <row r="210" spans="1:19" ht="15.75" customHeight="1">
      <c r="A210" s="901"/>
      <c r="B210" s="902"/>
      <c r="C210" s="903"/>
      <c r="D210" s="789"/>
      <c r="E210" s="832"/>
      <c r="F210" s="542" t="s">
        <v>347</v>
      </c>
      <c r="G210" s="328">
        <v>847</v>
      </c>
      <c r="H210" s="328">
        <v>709</v>
      </c>
      <c r="I210" s="243"/>
      <c r="J210" s="243"/>
      <c r="K210" s="243"/>
      <c r="L210" s="243"/>
      <c r="M210" s="243"/>
      <c r="N210" s="243"/>
      <c r="O210" s="223"/>
      <c r="P210" s="223"/>
      <c r="Q210" s="223"/>
      <c r="R210" s="60"/>
    </row>
    <row r="211" spans="1:19" ht="38.25" customHeight="1">
      <c r="A211" s="878" t="s">
        <v>349</v>
      </c>
      <c r="B211" s="879"/>
      <c r="C211" s="880"/>
      <c r="D211" s="804" t="s">
        <v>323</v>
      </c>
      <c r="E211" s="829" t="s">
        <v>346</v>
      </c>
      <c r="F211" s="541" t="s">
        <v>308</v>
      </c>
      <c r="G211" s="328">
        <v>700</v>
      </c>
      <c r="H211" s="328">
        <v>720</v>
      </c>
      <c r="I211" s="223"/>
      <c r="J211" s="223"/>
      <c r="K211" s="382"/>
      <c r="L211" s="222"/>
      <c r="M211" s="222"/>
      <c r="N211" s="222"/>
      <c r="O211" s="222"/>
      <c r="P211" s="222"/>
      <c r="Q211" s="222"/>
      <c r="R211" s="60"/>
    </row>
    <row r="212" spans="1:19" ht="39.75" customHeight="1">
      <c r="A212" s="881"/>
      <c r="B212" s="882"/>
      <c r="C212" s="883"/>
      <c r="D212" s="804"/>
      <c r="E212" s="830"/>
      <c r="F212" s="541" t="s">
        <v>347</v>
      </c>
      <c r="G212" s="328">
        <v>671</v>
      </c>
      <c r="H212" s="328">
        <v>674</v>
      </c>
      <c r="I212" s="328"/>
      <c r="J212" s="328"/>
      <c r="K212" s="328"/>
      <c r="L212" s="222"/>
      <c r="M212" s="222"/>
      <c r="N212" s="222"/>
      <c r="O212" s="222"/>
      <c r="P212" s="222"/>
      <c r="Q212" s="222"/>
      <c r="R212" s="60"/>
    </row>
    <row r="213" spans="1:19" ht="39.75" customHeight="1">
      <c r="A213" s="878" t="s">
        <v>98</v>
      </c>
      <c r="B213" s="879"/>
      <c r="C213" s="880"/>
      <c r="D213" s="789" t="s">
        <v>306</v>
      </c>
      <c r="E213" s="831" t="s">
        <v>346</v>
      </c>
      <c r="F213" s="541" t="s">
        <v>308</v>
      </c>
      <c r="G213" s="455">
        <v>0.55000000000000004</v>
      </c>
      <c r="H213" s="455">
        <v>0.6</v>
      </c>
      <c r="I213" s="455"/>
      <c r="J213" s="455"/>
      <c r="K213" s="455"/>
      <c r="L213" s="328"/>
      <c r="M213" s="328"/>
      <c r="N213" s="328"/>
      <c r="O213" s="328"/>
      <c r="P213" s="328"/>
      <c r="Q213" s="328"/>
      <c r="R213" s="60"/>
    </row>
    <row r="214" spans="1:19" ht="39.75" customHeight="1">
      <c r="A214" s="881" t="s">
        <v>98</v>
      </c>
      <c r="B214" s="882"/>
      <c r="C214" s="883"/>
      <c r="D214" s="789"/>
      <c r="E214" s="832"/>
      <c r="F214" s="541" t="s">
        <v>347</v>
      </c>
      <c r="G214" s="455">
        <v>0.51900000000000002</v>
      </c>
      <c r="H214" s="455">
        <v>0.65</v>
      </c>
      <c r="I214" s="455"/>
      <c r="J214" s="455"/>
      <c r="K214" s="455"/>
      <c r="L214" s="328"/>
      <c r="M214" s="328"/>
      <c r="N214" s="328"/>
      <c r="O214" s="328"/>
      <c r="P214" s="328"/>
      <c r="Q214" s="328"/>
      <c r="R214" s="60"/>
    </row>
    <row r="215" spans="1:19" ht="35.25" customHeight="1">
      <c r="A215" s="845" t="s">
        <v>350</v>
      </c>
      <c r="B215" s="846"/>
      <c r="C215" s="847"/>
      <c r="D215" s="804" t="s">
        <v>323</v>
      </c>
      <c r="E215" s="829" t="s">
        <v>346</v>
      </c>
      <c r="F215" s="541" t="s">
        <v>308</v>
      </c>
      <c r="G215" s="329">
        <v>42</v>
      </c>
      <c r="H215" s="329">
        <v>53</v>
      </c>
      <c r="I215" s="329"/>
      <c r="J215" s="329"/>
      <c r="K215" s="329"/>
      <c r="L215" s="329"/>
      <c r="M215" s="329"/>
      <c r="N215" s="329"/>
      <c r="O215" s="329"/>
      <c r="P215" s="329"/>
      <c r="Q215" s="329"/>
      <c r="R215" s="60"/>
    </row>
    <row r="216" spans="1:19" ht="39" customHeight="1">
      <c r="A216" s="848"/>
      <c r="B216" s="849"/>
      <c r="C216" s="850"/>
      <c r="D216" s="804"/>
      <c r="E216" s="830"/>
      <c r="F216" s="542" t="s">
        <v>347</v>
      </c>
      <c r="G216" s="329">
        <v>45</v>
      </c>
      <c r="H216" s="329">
        <v>54</v>
      </c>
      <c r="I216" s="329"/>
      <c r="J216" s="329"/>
      <c r="K216" s="329"/>
      <c r="L216" s="329"/>
      <c r="M216" s="329"/>
      <c r="N216" s="329"/>
      <c r="O216" s="329"/>
      <c r="P216" s="329"/>
      <c r="Q216" s="329"/>
      <c r="R216" s="60"/>
    </row>
    <row r="217" spans="1:19" ht="43.5" customHeight="1">
      <c r="A217" s="878" t="s">
        <v>351</v>
      </c>
      <c r="B217" s="879"/>
      <c r="C217" s="880"/>
      <c r="D217" s="851" t="s">
        <v>306</v>
      </c>
      <c r="E217" s="831" t="s">
        <v>346</v>
      </c>
      <c r="F217" s="541" t="s">
        <v>308</v>
      </c>
      <c r="G217" s="455">
        <v>0.9</v>
      </c>
      <c r="H217" s="455">
        <v>0.91</v>
      </c>
      <c r="I217" s="455"/>
      <c r="J217" s="455"/>
      <c r="K217" s="455"/>
      <c r="L217" s="330"/>
      <c r="M217" s="330"/>
      <c r="N217" s="330"/>
      <c r="O217" s="330"/>
      <c r="P217" s="330"/>
      <c r="Q217" s="395"/>
      <c r="R217" s="60"/>
    </row>
    <row r="218" spans="1:19" ht="40.5" customHeight="1">
      <c r="A218" s="881"/>
      <c r="B218" s="882"/>
      <c r="C218" s="883"/>
      <c r="D218" s="852"/>
      <c r="E218" s="832"/>
      <c r="F218" s="541" t="s">
        <v>347</v>
      </c>
      <c r="G218" s="455">
        <v>0.93</v>
      </c>
      <c r="H218" s="455">
        <v>0.92</v>
      </c>
      <c r="I218" s="455"/>
      <c r="J218" s="455"/>
      <c r="K218" s="455"/>
      <c r="L218" s="328"/>
      <c r="M218" s="328"/>
      <c r="N218" s="328"/>
      <c r="O218" s="330"/>
      <c r="P218" s="330"/>
      <c r="Q218" s="330"/>
      <c r="R218" s="60"/>
    </row>
    <row r="219" spans="1:19" ht="20.25" customHeight="1">
      <c r="A219" s="3"/>
      <c r="B219" s="3"/>
      <c r="C219" s="3"/>
      <c r="D219" s="3"/>
      <c r="E219" s="3"/>
      <c r="F219" s="2"/>
      <c r="G219" s="3"/>
      <c r="H219" s="3"/>
      <c r="I219" s="3"/>
      <c r="J219" s="3"/>
      <c r="K219" s="3"/>
      <c r="L219" s="3"/>
      <c r="M219" s="3"/>
      <c r="N219" s="3"/>
      <c r="Q219" s="33"/>
    </row>
    <row r="220" spans="1:19">
      <c r="A220" s="3"/>
      <c r="B220" s="3"/>
      <c r="C220" s="3"/>
      <c r="D220" s="3"/>
      <c r="E220" s="3"/>
      <c r="F220" s="2"/>
      <c r="G220" s="3"/>
      <c r="H220" s="3"/>
      <c r="I220" s="3"/>
      <c r="J220" s="3"/>
      <c r="K220" s="3"/>
      <c r="L220" s="3"/>
      <c r="M220" s="3"/>
      <c r="N220" s="3"/>
      <c r="Q220" s="33"/>
    </row>
    <row r="221" spans="1:19" ht="4.5" customHeight="1" thickBot="1">
      <c r="A221" s="3"/>
      <c r="B221" s="3"/>
      <c r="C221" s="3"/>
      <c r="D221" s="3"/>
      <c r="E221" s="3"/>
      <c r="F221" s="2"/>
      <c r="G221" s="3"/>
      <c r="H221" s="3"/>
      <c r="I221" s="3"/>
      <c r="J221" s="3"/>
      <c r="K221" s="3"/>
      <c r="L221" s="3"/>
      <c r="M221" s="3"/>
      <c r="N221" s="3"/>
      <c r="Q221" s="33"/>
    </row>
    <row r="222" spans="1:19" ht="16.5" hidden="1" thickBot="1">
      <c r="A222" s="245"/>
      <c r="B222" s="3"/>
      <c r="C222" s="3"/>
      <c r="D222" s="3"/>
      <c r="E222" s="3"/>
      <c r="F222" s="2"/>
      <c r="G222" s="3"/>
      <c r="H222" s="3"/>
      <c r="I222" s="3"/>
      <c r="J222" s="3"/>
      <c r="K222" s="3"/>
      <c r="L222" s="3"/>
      <c r="M222" s="3"/>
      <c r="N222" s="3"/>
      <c r="Q222" s="33"/>
    </row>
    <row r="223" spans="1:19" ht="72" customHeight="1">
      <c r="A223" s="3" t="s">
        <v>342</v>
      </c>
      <c r="B223" s="3"/>
      <c r="C223" s="3"/>
      <c r="D223" s="244" t="s">
        <v>304</v>
      </c>
      <c r="E223" s="305" t="s">
        <v>305</v>
      </c>
      <c r="F223" s="206"/>
      <c r="G223" s="276" t="str">
        <f t="shared" ref="G223:Q223" si="18">B30</f>
        <v>P1</v>
      </c>
      <c r="H223" s="276" t="str">
        <f t="shared" si="18"/>
        <v>P2</v>
      </c>
      <c r="I223" s="276" t="str">
        <f t="shared" si="18"/>
        <v>P3</v>
      </c>
      <c r="J223" s="276" t="str">
        <f t="shared" si="18"/>
        <v>P4</v>
      </c>
      <c r="K223" s="276" t="str">
        <f t="shared" si="18"/>
        <v>P5</v>
      </c>
      <c r="L223" s="276" t="str">
        <f t="shared" si="18"/>
        <v>P6</v>
      </c>
      <c r="M223" s="276" t="str">
        <f t="shared" si="18"/>
        <v>P7</v>
      </c>
      <c r="N223" s="276" t="str">
        <f t="shared" si="18"/>
        <v>P8</v>
      </c>
      <c r="O223" s="276" t="str">
        <f t="shared" si="18"/>
        <v>P9</v>
      </c>
      <c r="P223" s="276" t="str">
        <f t="shared" si="18"/>
        <v>P10</v>
      </c>
      <c r="Q223" s="276" t="str">
        <f t="shared" si="18"/>
        <v>P11</v>
      </c>
      <c r="R223" s="33"/>
      <c r="S223" s="33"/>
    </row>
    <row r="224" spans="1:19">
      <c r="A224" s="863" t="str">
        <f>IF(ISBLANK(A207),"",(A207))</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B224" s="864"/>
      <c r="C224" s="865"/>
      <c r="D224" s="861" t="str">
        <f>IF(ISBLANK(D207),"",(D207))</f>
        <v xml:space="preserve"> Топ 10</v>
      </c>
      <c r="E224" s="872" t="str">
        <f>IF(ISBLANK(E207),"",(E207))</f>
        <v>да</v>
      </c>
      <c r="F224" s="541" t="s">
        <v>308</v>
      </c>
      <c r="G224" s="543">
        <f t="shared" ref="G224:Q224" si="19">G207</f>
        <v>3500</v>
      </c>
      <c r="H224" s="543">
        <f t="shared" si="19"/>
        <v>3475</v>
      </c>
      <c r="I224" s="543">
        <f t="shared" si="19"/>
        <v>0</v>
      </c>
      <c r="J224" s="543">
        <f t="shared" si="19"/>
        <v>0</v>
      </c>
      <c r="K224" s="543">
        <f t="shared" si="19"/>
        <v>0</v>
      </c>
      <c r="L224" s="543">
        <f t="shared" si="19"/>
        <v>0</v>
      </c>
      <c r="M224" s="543">
        <f t="shared" si="19"/>
        <v>0</v>
      </c>
      <c r="N224" s="543">
        <f t="shared" si="19"/>
        <v>0</v>
      </c>
      <c r="O224" s="543">
        <f t="shared" si="19"/>
        <v>0</v>
      </c>
      <c r="P224" s="543">
        <f t="shared" si="19"/>
        <v>0</v>
      </c>
      <c r="Q224" s="543">
        <f t="shared" si="19"/>
        <v>0</v>
      </c>
      <c r="R224" s="33"/>
      <c r="S224" s="33"/>
    </row>
    <row r="225" spans="1:19" ht="88.5" customHeight="1" thickBot="1">
      <c r="A225" s="856"/>
      <c r="B225" s="857"/>
      <c r="C225" s="858"/>
      <c r="D225" s="876"/>
      <c r="E225" s="877"/>
      <c r="F225" s="544" t="s">
        <v>347</v>
      </c>
      <c r="G225" s="543">
        <f t="shared" ref="G225:J229" si="20">G208</f>
        <v>3191</v>
      </c>
      <c r="H225" s="543">
        <f t="shared" si="20"/>
        <v>3023</v>
      </c>
      <c r="I225" s="543">
        <f t="shared" si="20"/>
        <v>0</v>
      </c>
      <c r="J225" s="543">
        <f t="shared" si="20"/>
        <v>0</v>
      </c>
      <c r="K225" s="543">
        <f t="shared" ref="K225:Q229" si="21">K208</f>
        <v>0</v>
      </c>
      <c r="L225" s="543">
        <f t="shared" si="21"/>
        <v>0</v>
      </c>
      <c r="M225" s="543">
        <f t="shared" si="21"/>
        <v>0</v>
      </c>
      <c r="N225" s="543">
        <f t="shared" si="21"/>
        <v>0</v>
      </c>
      <c r="O225" s="543">
        <f t="shared" si="21"/>
        <v>0</v>
      </c>
      <c r="P225" s="543">
        <f t="shared" si="21"/>
        <v>0</v>
      </c>
      <c r="Q225" s="543">
        <f t="shared" si="21"/>
        <v>0</v>
      </c>
      <c r="R225" s="33"/>
      <c r="S225" s="33"/>
    </row>
    <row r="226" spans="1:19">
      <c r="A226" s="866" t="str">
        <f>IF(ISBLANK(A209),"",(A209))</f>
        <v xml:space="preserve">MDR TB-2: Количество бактериологически подтвержденных зарегистрированных ЛУ-ТБ случаев (РУ-ТБ и/или МЛУ-ТБ)		</v>
      </c>
      <c r="B226" s="867"/>
      <c r="C226" s="868"/>
      <c r="D226" s="859" t="str">
        <f>IF(ISBLANK(D209),"",(D209))</f>
        <v>Топ 10</v>
      </c>
      <c r="E226" s="874" t="str">
        <f>IF(ISBLANK(E209),"",(E209))</f>
        <v>да</v>
      </c>
      <c r="F226" s="542" t="s">
        <v>308</v>
      </c>
      <c r="G226" s="545">
        <f t="shared" si="20"/>
        <v>700</v>
      </c>
      <c r="H226" s="545">
        <f>H209</f>
        <v>720</v>
      </c>
      <c r="I226" s="545">
        <f t="shared" si="20"/>
        <v>0</v>
      </c>
      <c r="J226" s="545">
        <f>J209</f>
        <v>0</v>
      </c>
      <c r="K226" s="545">
        <f t="shared" si="21"/>
        <v>0</v>
      </c>
      <c r="L226" s="545">
        <f t="shared" si="21"/>
        <v>0</v>
      </c>
      <c r="M226" s="545">
        <f t="shared" si="21"/>
        <v>0</v>
      </c>
      <c r="N226" s="545">
        <f t="shared" si="21"/>
        <v>0</v>
      </c>
      <c r="O226" s="545">
        <f t="shared" si="21"/>
        <v>0</v>
      </c>
      <c r="P226" s="545">
        <f t="shared" si="21"/>
        <v>0</v>
      </c>
      <c r="Q226" s="545">
        <f t="shared" si="21"/>
        <v>0</v>
      </c>
      <c r="R226" s="33"/>
      <c r="S226" s="33"/>
    </row>
    <row r="227" spans="1:19" ht="96.75" customHeight="1" thickBot="1">
      <c r="A227" s="869"/>
      <c r="B227" s="870"/>
      <c r="C227" s="871"/>
      <c r="D227" s="860"/>
      <c r="E227" s="875"/>
      <c r="F227" s="542" t="s">
        <v>347</v>
      </c>
      <c r="G227" s="545">
        <f t="shared" si="20"/>
        <v>847</v>
      </c>
      <c r="H227" s="545">
        <f t="shared" si="20"/>
        <v>709</v>
      </c>
      <c r="I227" s="545">
        <f t="shared" si="20"/>
        <v>0</v>
      </c>
      <c r="J227" s="545">
        <f t="shared" si="20"/>
        <v>0</v>
      </c>
      <c r="K227" s="545">
        <f t="shared" si="21"/>
        <v>0</v>
      </c>
      <c r="L227" s="545">
        <f t="shared" si="21"/>
        <v>0</v>
      </c>
      <c r="M227" s="545">
        <f t="shared" si="21"/>
        <v>0</v>
      </c>
      <c r="N227" s="545">
        <f t="shared" si="21"/>
        <v>0</v>
      </c>
      <c r="O227" s="545">
        <f t="shared" si="21"/>
        <v>0</v>
      </c>
      <c r="P227" s="545">
        <f t="shared" si="21"/>
        <v>0</v>
      </c>
      <c r="Q227" s="545">
        <f t="shared" si="21"/>
        <v>0</v>
      </c>
      <c r="R227" s="33"/>
      <c r="S227" s="33"/>
    </row>
    <row r="228" spans="1:19">
      <c r="A228" s="853" t="str">
        <f>IF(ISBLANK(A211),"",(A211))</f>
        <v xml:space="preserve">MDR TB-3: Количество случаев с РУ/МЛУ ТБ, начавших лечение препаратами второго ряда		</v>
      </c>
      <c r="B228" s="854"/>
      <c r="C228" s="855"/>
      <c r="D228" s="861" t="str">
        <f>IF(ISBLANK(D211),"",(D211))</f>
        <v xml:space="preserve"> Топ 10</v>
      </c>
      <c r="E228" s="872" t="str">
        <f>IF(ISBLANK(E211),"",(E211))</f>
        <v>да</v>
      </c>
      <c r="F228" s="546" t="s">
        <v>308</v>
      </c>
      <c r="G228" s="543">
        <f t="shared" si="20"/>
        <v>700</v>
      </c>
      <c r="H228" s="543">
        <f t="shared" si="20"/>
        <v>720</v>
      </c>
      <c r="I228" s="543">
        <f t="shared" si="20"/>
        <v>0</v>
      </c>
      <c r="J228" s="547">
        <f t="shared" si="20"/>
        <v>0</v>
      </c>
      <c r="K228" s="543">
        <f t="shared" si="21"/>
        <v>0</v>
      </c>
      <c r="L228" s="543">
        <f t="shared" si="21"/>
        <v>0</v>
      </c>
      <c r="M228" s="543">
        <f t="shared" si="21"/>
        <v>0</v>
      </c>
      <c r="N228" s="543">
        <f t="shared" si="21"/>
        <v>0</v>
      </c>
      <c r="O228" s="543">
        <f t="shared" si="21"/>
        <v>0</v>
      </c>
      <c r="P228" s="543">
        <f t="shared" si="21"/>
        <v>0</v>
      </c>
      <c r="Q228" s="543">
        <f t="shared" si="21"/>
        <v>0</v>
      </c>
      <c r="R228" s="33"/>
      <c r="S228" s="33"/>
    </row>
    <row r="229" spans="1:19" ht="96.75" customHeight="1" thickBot="1">
      <c r="A229" s="856"/>
      <c r="B229" s="857"/>
      <c r="C229" s="858"/>
      <c r="D229" s="862"/>
      <c r="E229" s="873"/>
      <c r="F229" s="548" t="s">
        <v>347</v>
      </c>
      <c r="G229" s="549">
        <f t="shared" si="20"/>
        <v>671</v>
      </c>
      <c r="H229" s="549">
        <f t="shared" si="20"/>
        <v>674</v>
      </c>
      <c r="I229" s="549">
        <f t="shared" si="20"/>
        <v>0</v>
      </c>
      <c r="J229" s="550">
        <f t="shared" si="20"/>
        <v>0</v>
      </c>
      <c r="K229" s="543">
        <f t="shared" si="21"/>
        <v>0</v>
      </c>
      <c r="L229" s="543">
        <f t="shared" si="21"/>
        <v>0</v>
      </c>
      <c r="M229" s="543">
        <f t="shared" si="21"/>
        <v>0</v>
      </c>
      <c r="N229" s="543">
        <f t="shared" si="21"/>
        <v>0</v>
      </c>
      <c r="O229" s="543">
        <f t="shared" si="21"/>
        <v>0</v>
      </c>
      <c r="P229" s="543">
        <f t="shared" si="21"/>
        <v>0</v>
      </c>
      <c r="Q229" s="543">
        <f t="shared" si="21"/>
        <v>0</v>
      </c>
      <c r="R229" s="33"/>
      <c r="S229" s="33"/>
    </row>
    <row r="230" spans="1:19">
      <c r="A230" s="3"/>
      <c r="B230" s="3"/>
      <c r="C230" s="3"/>
      <c r="D230" s="3"/>
      <c r="E230" s="3"/>
      <c r="F230" s="3"/>
      <c r="G230" s="3"/>
      <c r="H230" s="3"/>
      <c r="I230" s="3"/>
      <c r="J230" s="3"/>
      <c r="K230" s="3"/>
      <c r="L230" s="3"/>
      <c r="M230"/>
      <c r="N230"/>
      <c r="O230" s="33"/>
      <c r="P230" s="33"/>
    </row>
    <row r="231" spans="1:19">
      <c r="M231"/>
      <c r="N231"/>
      <c r="O231" s="33"/>
      <c r="P231" s="33"/>
    </row>
    <row r="232" spans="1:19" ht="14.25" customHeight="1">
      <c r="M232"/>
      <c r="N232"/>
      <c r="O232" s="33"/>
      <c r="P232" s="33"/>
    </row>
    <row r="233" spans="1:19">
      <c r="M233"/>
      <c r="N233"/>
      <c r="O233" s="33"/>
      <c r="P233" s="33"/>
    </row>
  </sheetData>
  <mergeCells count="112">
    <mergeCell ref="B1:C1"/>
    <mergeCell ref="B8:C8"/>
    <mergeCell ref="A14:I14"/>
    <mergeCell ref="B6:C6"/>
    <mergeCell ref="D6:E6"/>
    <mergeCell ref="H6:I6"/>
    <mergeCell ref="H8:I8"/>
    <mergeCell ref="B10:C10"/>
    <mergeCell ref="D12:E12"/>
    <mergeCell ref="F12:I12"/>
    <mergeCell ref="A2:I2"/>
    <mergeCell ref="B4:C4"/>
    <mergeCell ref="D4:E4"/>
    <mergeCell ref="F10:I10"/>
    <mergeCell ref="A18:B18"/>
    <mergeCell ref="D10:E10"/>
    <mergeCell ref="B12:C12"/>
    <mergeCell ref="E213:E214"/>
    <mergeCell ref="A213:C214"/>
    <mergeCell ref="A26:B26"/>
    <mergeCell ref="A80:B80"/>
    <mergeCell ref="A69:C69"/>
    <mergeCell ref="A83:B83"/>
    <mergeCell ref="A29:M29"/>
    <mergeCell ref="A209:C210"/>
    <mergeCell ref="A211:C212"/>
    <mergeCell ref="A84:B84"/>
    <mergeCell ref="G16:H16"/>
    <mergeCell ref="C24:D24"/>
    <mergeCell ref="F24:G24"/>
    <mergeCell ref="H24:I24"/>
    <mergeCell ref="C18:E18"/>
    <mergeCell ref="A21:I21"/>
    <mergeCell ref="D211:D212"/>
    <mergeCell ref="A206:C206"/>
    <mergeCell ref="A207:C208"/>
    <mergeCell ref="E211:E212"/>
    <mergeCell ref="D213:D214"/>
    <mergeCell ref="E215:E216"/>
    <mergeCell ref="A215:C216"/>
    <mergeCell ref="E217:E218"/>
    <mergeCell ref="D217:D218"/>
    <mergeCell ref="D215:D216"/>
    <mergeCell ref="A228:C229"/>
    <mergeCell ref="D226:D227"/>
    <mergeCell ref="D228:D229"/>
    <mergeCell ref="A224:C225"/>
    <mergeCell ref="A226:C227"/>
    <mergeCell ref="E228:E229"/>
    <mergeCell ref="E226:E227"/>
    <mergeCell ref="D224:D225"/>
    <mergeCell ref="E224:E225"/>
    <mergeCell ref="A217:C218"/>
    <mergeCell ref="A141:A158"/>
    <mergeCell ref="A81:B81"/>
    <mergeCell ref="A82:B82"/>
    <mergeCell ref="N31:N34"/>
    <mergeCell ref="D207:D208"/>
    <mergeCell ref="E207:E208"/>
    <mergeCell ref="E209:E210"/>
    <mergeCell ref="D209:D210"/>
    <mergeCell ref="E56:H56"/>
    <mergeCell ref="E176:E177"/>
    <mergeCell ref="A178:C179"/>
    <mergeCell ref="D178:D179"/>
    <mergeCell ref="E178:E179"/>
    <mergeCell ref="A180:C181"/>
    <mergeCell ref="D180:D181"/>
    <mergeCell ref="E180:E181"/>
    <mergeCell ref="A167:C167"/>
    <mergeCell ref="A168:C169"/>
    <mergeCell ref="D168:D169"/>
    <mergeCell ref="E168:E169"/>
    <mergeCell ref="A186:C187"/>
    <mergeCell ref="D186:D187"/>
    <mergeCell ref="E186:E187"/>
    <mergeCell ref="A188:C189"/>
    <mergeCell ref="A201:C202"/>
    <mergeCell ref="D201:D202"/>
    <mergeCell ref="E201:E202"/>
    <mergeCell ref="E190:E191"/>
    <mergeCell ref="A195:C196"/>
    <mergeCell ref="D195:D196"/>
    <mergeCell ref="D197:D198"/>
    <mergeCell ref="E197:E198"/>
    <mergeCell ref="A199:C200"/>
    <mergeCell ref="D199:D200"/>
    <mergeCell ref="E199:E200"/>
    <mergeCell ref="E172:E173"/>
    <mergeCell ref="A174:C175"/>
    <mergeCell ref="D174:D175"/>
    <mergeCell ref="E174:E175"/>
    <mergeCell ref="A190:C191"/>
    <mergeCell ref="D190:D191"/>
    <mergeCell ref="E195:E196"/>
    <mergeCell ref="A197:C198"/>
    <mergeCell ref="A123:A140"/>
    <mergeCell ref="A170:C171"/>
    <mergeCell ref="D170:D171"/>
    <mergeCell ref="E170:E171"/>
    <mergeCell ref="A172:C173"/>
    <mergeCell ref="D172:D173"/>
    <mergeCell ref="D188:D189"/>
    <mergeCell ref="E188:E189"/>
    <mergeCell ref="A182:C183"/>
    <mergeCell ref="D182:D183"/>
    <mergeCell ref="E182:E183"/>
    <mergeCell ref="A184:C185"/>
    <mergeCell ref="D184:D185"/>
    <mergeCell ref="E184:E185"/>
    <mergeCell ref="A176:C177"/>
    <mergeCell ref="D176:D177"/>
  </mergeCells>
  <phoneticPr fontId="30" type="noConversion"/>
  <conditionalFormatting sqref="A34 E32:G32 A32 L33:M33">
    <cfRule type="expression" dxfId="88" priority="28" stopIfTrue="1">
      <formula>+AND(A31&gt;=#REF!,A31&lt;=#REF!)</formula>
    </cfRule>
  </conditionalFormatting>
  <conditionalFormatting sqref="L34:M34">
    <cfRule type="expression" dxfId="87" priority="29" stopIfTrue="1">
      <formula>+AND(L32&gt;=#REF!,L32&lt;=#REF!)</formula>
    </cfRule>
  </conditionalFormatting>
  <conditionalFormatting sqref="B110:M110 B30:M30">
    <cfRule type="cellIs" dxfId="86" priority="32" stopIfTrue="1" operator="equal">
      <formula>$B$16</formula>
    </cfRule>
  </conditionalFormatting>
  <conditionalFormatting sqref="B12:C12">
    <cfRule type="cellIs" dxfId="85" priority="34" stopIfTrue="1" operator="equal">
      <formula>"C"</formula>
    </cfRule>
    <cfRule type="cellIs" dxfId="84" priority="35" stopIfTrue="1" operator="equal">
      <formula>"B2"</formula>
    </cfRule>
    <cfRule type="cellIs" dxfId="83" priority="36" stopIfTrue="1" operator="equal">
      <formula>"B1"</formula>
    </cfRule>
  </conditionalFormatting>
  <conditionalFormatting sqref="G223:Q223 G206:H206">
    <cfRule type="cellIs" dxfId="82" priority="43" stopIfTrue="1" operator="equal">
      <formula>$B$16</formula>
    </cfRule>
  </conditionalFormatting>
  <conditionalFormatting sqref="F33:K33">
    <cfRule type="expression" dxfId="81" priority="21" stopIfTrue="1">
      <formula>+AND(F32&gt;=#REF!,F32&lt;=#REF!)</formula>
    </cfRule>
  </conditionalFormatting>
  <conditionalFormatting sqref="F34:K34">
    <cfRule type="expression" dxfId="80" priority="20" stopIfTrue="1">
      <formula>+AND(F32&gt;=#REF!,F32&lt;=#REF!)</formula>
    </cfRule>
  </conditionalFormatting>
  <conditionalFormatting sqref="E56:H56">
    <cfRule type="expression" dxfId="79" priority="17" stopIfTrue="1">
      <formula>LEFT($E$56,3)="Все"</formula>
    </cfRule>
  </conditionalFormatting>
  <conditionalFormatting sqref="B33:C33 B31:B32">
    <cfRule type="expression" dxfId="78" priority="12" stopIfTrue="1">
      <formula>+AND(B30&gt;=#REF!,B30&lt;=#REF!)</formula>
    </cfRule>
  </conditionalFormatting>
  <conditionalFormatting sqref="B34:E34">
    <cfRule type="expression" dxfId="77" priority="13" stopIfTrue="1">
      <formula>+AND(B32&gt;=#REF!,B32&lt;=#REF!)</formula>
    </cfRule>
  </conditionalFormatting>
  <conditionalFormatting sqref="G167:Q167">
    <cfRule type="cellIs" dxfId="76" priority="11" stopIfTrue="1" operator="equal">
      <formula>$B$16</formula>
    </cfRule>
  </conditionalFormatting>
  <conditionalFormatting sqref="H194">
    <cfRule type="cellIs" dxfId="75" priority="6" stopIfTrue="1" operator="equal">
      <formula>$B$16</formula>
    </cfRule>
  </conditionalFormatting>
  <conditionalFormatting sqref="G194">
    <cfRule type="cellIs" dxfId="74" priority="9" stopIfTrue="1" operator="equal">
      <formula>$B$16</formula>
    </cfRule>
  </conditionalFormatting>
  <conditionalFormatting sqref="D32:D33 E33">
    <cfRule type="expression" dxfId="73" priority="3" stopIfTrue="1">
      <formula>+AND(D31&gt;=#REF!,D31&lt;=#REF!)</formula>
    </cfRule>
  </conditionalFormatting>
  <conditionalFormatting sqref="I194:Q194">
    <cfRule type="cellIs" dxfId="72" priority="2" stopIfTrue="1" operator="equal">
      <formula>$B$16</formula>
    </cfRule>
  </conditionalFormatting>
  <conditionalFormatting sqref="I206:Q206">
    <cfRule type="cellIs" dxfId="71" priority="1" stopIfTrue="1" operator="equal">
      <formula>$B$16</formula>
    </cfRule>
  </conditionalFormatting>
  <dataValidations count="9">
    <dataValidation type="list" allowBlank="1" showInputMessage="1" showErrorMessage="1" sqref="F6 IW159 SS159 ACO159 AMK159 AWG159 BGC159 BPY159 BZU159 CJQ159 CTM159 DDI159 DNE159 DXA159 EGW159 EQS159 FAO159 FKK159 FUG159 GEC159 GNY159 GXU159 HHQ159 HRM159 IBI159 ILE159 IVA159 JEW159 JOS159 JYO159 KIK159 KSG159 LCC159 LLY159 LVU159 MFQ159 MPM159 MZI159 NJE159 NTA159 OCW159 OMS159 OWO159 PGK159 PQG159 QAC159 QJY159 QTU159 RDQ159 RNM159 RXI159 SHE159 SRA159 TAW159 TKS159 TUO159 UEK159 UOG159 UYC159 VHY159 VRU159 WBQ159 WLM159 WVI159 A123">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B141:B158 IX134:IX158 ST134:ST158 ACP134:ACP158 AML134:AML158 AWH134:AWH158 BGD134:BGD158 BPZ134:BPZ158 BZV134:BZV158 CJR134:CJR158 CTN134:CTN158 DDJ134:DDJ158 DNF134:DNF158 DXB134:DXB158 EGX134:EGX158 EQT134:EQT158 FAP134:FAP158 FKL134:FKL158 FUH134:FUH158 GED134:GED158 GNZ134:GNZ158 GXV134:GXV158 HHR134:HHR158 HRN134:HRN158 IBJ134:IBJ158 ILF134:ILF158 IVB134:IVB158 JEX134:JEX158 JOT134:JOT158 JYP134:JYP158 KIL134:KIL158 KSH134:KSH158 LCD134:LCD158 LLZ134:LLZ158 LVV134:LVV158 MFR134:MFR158 MPN134:MPN158 MZJ134:MZJ158 NJF134:NJF158 NTB134:NTB158 OCX134:OCX158 OMT134:OMT158 OWP134:OWP158 PGL134:PGL158 PQH134:PQH158 QAD134:QAD158 QJZ134:QJZ158 QTV134:QTV158 RDR134:RDR158 RNN134:RNN158 RXJ134:RXJ158 SHF134:SHF158 SRB134:SRB158 TAX134:TAX158 TKT134:TKT158 TUP134:TUP158 UEL134:UEL158 UOH134:UOH158 UYD134:UYD158 VHZ134:VHZ158 VRV134:VRV158 WBR134:WBR158 WLN134:WLN158 WVJ134:WVJ158">
      <formula1>мва</formula1>
    </dataValidation>
    <dataValidation type="list" allowBlank="1" showInputMessage="1" showErrorMessage="1" sqref="WVJ159:WVJ162 IX159:IX162 ST159:ST162 ACP159:ACP162 AML159:AML162 AWH159:AWH162 BGD159:BGD162 BPZ159:BPZ162 BZV159:BZV162 CJR159:CJR162 CTN159:CTN162 DDJ159:DDJ162 DNF159:DNF162 DXB159:DXB162 EGX159:EGX162 EQT159:EQT162 FAP159:FAP162 FKL159:FKL162 FUH159:FUH162 GED159:GED162 GNZ159:GNZ162 GXV159:GXV162 HHR159:HHR162 HRN159:HRN162 IBJ159:IBJ162 ILF159:ILF162 IVB159:IVB162 JEX159:JEX162 JOT159:JOT162 JYP159:JYP162 KIL159:KIL162 KSH159:KSH162 LCD159:LCD162 LLZ159:LLZ162 LVV159:LVV162 MFR159:MFR162 MPN159:MPN162 MZJ159:MZJ162 NJF159:NJF162 NTB159:NTB162 OCX159:OCX162 OMT159:OMT162 OWP159:OWP162 PGL159:PGL162 PQH159:PQH162 QAD159:QAD162 QJZ159:QJZ162 QTV159:QTV162 RDR159:RDR162 RNN159:RNN162 RXJ159:RXJ162 SHF159:SHF162 SRB159:SRB162 TAX159:TAX162 TKT159:TKT162 TUP159:TUP162 UEL159:UEL162 UOH159:UOH162 UYD159:UYD162 VHZ159:VHZ162 VRV159:VRV162 WBR159:WBR162 WLN159:WLN162 B134:B14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23:Q223 D22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E16" sqref="E16"/>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8"/>
      <c r="H1" s="2"/>
      <c r="I1" s="2"/>
      <c r="J1" s="2"/>
    </row>
    <row r="2" spans="1:24" ht="25.5" customHeight="1"/>
    <row r="3" spans="1:24" ht="36">
      <c r="B3" s="924" t="str">
        <f>+"Панель показателей: "&amp;" "&amp;+IF('Ввод данных'!B4="Выберите","",'Ввод данных'!B4&amp;" - ")&amp;+IF('Ввод данных'!F6="Выберите","",'Ввод данных'!F6)</f>
        <v>Панель показателей:  Кыргызстан - ВИЧ/СПИД/ТБ</v>
      </c>
      <c r="C3" s="924"/>
      <c r="D3" s="924"/>
      <c r="E3" s="924"/>
      <c r="F3" s="924"/>
      <c r="G3" s="924"/>
      <c r="H3" s="924"/>
      <c r="I3" s="924"/>
      <c r="J3" s="92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626" t="s">
        <v>113</v>
      </c>
      <c r="B6" s="925" t="str">
        <f>+IF('Ввод данных'!B4="Выберите","",'Ввод данных'!B4)</f>
        <v>Кыргызстан</v>
      </c>
      <c r="C6" s="925"/>
      <c r="D6" s="928" t="s">
        <v>115</v>
      </c>
      <c r="E6" s="928"/>
      <c r="F6" s="929" t="str">
        <f>+'Ввод данных'!F4</f>
        <v>«Эффективный контроль за ВИЧ-инфекцией и туберкулезом в Кыргызской Республике»</v>
      </c>
      <c r="G6" s="929"/>
      <c r="H6" s="929"/>
      <c r="I6" s="929"/>
      <c r="J6" s="929"/>
      <c r="K6" s="47"/>
      <c r="L6" s="75"/>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75">
      <c r="A9" s="625" t="s">
        <v>119</v>
      </c>
      <c r="B9" s="307" t="str">
        <f>+IF('Ввод данных'!F6="Please Select","",'Ввод данных'!F6)</f>
        <v>ВИЧ/СПИД/ТБ</v>
      </c>
      <c r="C9" s="188" t="s">
        <v>352</v>
      </c>
      <c r="D9" s="254" t="str">
        <f>+'Ввод данных'!B6</f>
        <v>KGZ-C-UNDP</v>
      </c>
      <c r="E9" s="927" t="s">
        <v>353</v>
      </c>
      <c r="F9" s="927"/>
      <c r="G9" s="255">
        <f>+IF(ISBLANK('Ввод данных'!B10),"",'Ввод данных'!B10)</f>
        <v>43282</v>
      </c>
      <c r="H9" s="318" t="s">
        <v>354</v>
      </c>
      <c r="I9" s="926">
        <f>+IF(ISBLANK('Ввод данных'!H6),"",'Ввод данных'!H6)</f>
        <v>20959824.059999999</v>
      </c>
      <c r="J9" s="926"/>
      <c r="K9" s="47"/>
      <c r="L9" s="47"/>
      <c r="M9" s="47"/>
      <c r="N9" s="47"/>
      <c r="O9" s="49"/>
      <c r="P9" s="48"/>
      <c r="Q9" s="49"/>
      <c r="R9" s="50"/>
      <c r="S9" s="17"/>
      <c r="T9" s="11"/>
      <c r="U9" s="11"/>
      <c r="V9" s="10"/>
      <c r="W9" s="10"/>
      <c r="X9" s="10"/>
    </row>
    <row r="10" spans="1:24" ht="15.75" customHeight="1">
      <c r="A10" s="625" t="s">
        <v>124</v>
      </c>
      <c r="B10" s="308">
        <f>+IF('Ввод данных'!F8="Please Select","",'Ввод данных'!F8)</f>
        <v>0</v>
      </c>
      <c r="C10" s="188" t="s">
        <v>125</v>
      </c>
      <c r="D10" s="306">
        <f>+IF('Ввод данных'!H8="Please Select","",'Ввод данных'!H8)</f>
        <v>0</v>
      </c>
      <c r="E10" s="919" t="s">
        <v>122</v>
      </c>
      <c r="F10" s="920"/>
      <c r="G10" s="918" t="str">
        <f>+'Ввод данных'!B8</f>
        <v>ПРООН</v>
      </c>
      <c r="H10" s="918"/>
      <c r="I10" s="918"/>
      <c r="J10" s="918"/>
      <c r="K10" s="51"/>
      <c r="L10" s="51"/>
      <c r="M10" s="47"/>
      <c r="N10" s="51"/>
      <c r="O10" s="49"/>
      <c r="P10" s="48"/>
      <c r="Q10" s="11"/>
      <c r="R10" s="50"/>
      <c r="S10" s="17"/>
      <c r="T10" s="11"/>
      <c r="U10" s="11"/>
    </row>
    <row r="11" spans="1:24" ht="31.5" customHeight="1">
      <c r="A11" s="625" t="s">
        <v>355</v>
      </c>
      <c r="B11" s="624" t="str">
        <f>+'Ввод данных'!B16</f>
        <v>P2</v>
      </c>
      <c r="C11" s="248" t="s">
        <v>136</v>
      </c>
      <c r="D11" s="627">
        <f>+IF(ISBLANK('Ввод данных'!D16),"",'Ввод данных'!D16)</f>
        <v>43466</v>
      </c>
      <c r="E11" s="927" t="s">
        <v>356</v>
      </c>
      <c r="F11" s="927"/>
      <c r="G11" s="627">
        <f>+IF(ISBLANK('Ввод данных'!F16),"",'Ввод данных'!F16)</f>
        <v>43646</v>
      </c>
      <c r="H11" s="317" t="s">
        <v>357</v>
      </c>
      <c r="I11" s="921" t="str">
        <f>+IF('Ввод данных'!B12="Пожалуйста Выберите","",'Ввод данных'!B12)</f>
        <v>A1</v>
      </c>
      <c r="J11" s="921"/>
      <c r="K11" s="551"/>
      <c r="L11" s="51"/>
      <c r="M11" s="47"/>
      <c r="N11" s="51"/>
      <c r="O11" s="51"/>
      <c r="P11" s="48"/>
      <c r="Q11" s="11"/>
      <c r="R11" s="50"/>
      <c r="S11" s="17"/>
      <c r="T11" s="12"/>
      <c r="U11" s="11"/>
    </row>
    <row r="12" spans="1:24" ht="31.5" customHeight="1">
      <c r="A12" s="310" t="s">
        <v>127</v>
      </c>
      <c r="B12" s="918" t="str">
        <f>+IF('Ввод данных'!F10="Пожалуйста Выберите","",'Ввод данных'!F10)</f>
        <v>UNOPS</v>
      </c>
      <c r="C12" s="918"/>
      <c r="D12" s="918"/>
      <c r="E12" s="922" t="s">
        <v>358</v>
      </c>
      <c r="F12" s="922"/>
      <c r="G12" s="918" t="str">
        <f>+'Ввод данных'!F12</f>
        <v>Алексей Бобрик</v>
      </c>
      <c r="H12" s="918"/>
      <c r="I12" s="918"/>
      <c r="J12" s="918"/>
      <c r="K12" s="51"/>
      <c r="L12" s="51"/>
      <c r="M12" s="47"/>
      <c r="N12" s="51"/>
      <c r="O12" s="17"/>
      <c r="P12" s="48"/>
      <c r="Q12" s="11"/>
      <c r="R12" s="50"/>
      <c r="S12" s="17"/>
      <c r="T12" s="11"/>
      <c r="U12" s="52"/>
      <c r="V12" s="11"/>
      <c r="W12" s="12"/>
      <c r="X12" s="11"/>
    </row>
    <row r="13" spans="1:24" ht="27.75" customHeight="1">
      <c r="A13" s="309" t="s">
        <v>359</v>
      </c>
      <c r="B13" s="918" t="str">
        <f>+'Ввод данных'!C18</f>
        <v>ПРООН</v>
      </c>
      <c r="C13" s="918"/>
      <c r="D13" s="918"/>
      <c r="E13" s="922" t="s">
        <v>360</v>
      </c>
      <c r="F13" s="922"/>
      <c r="G13" s="923">
        <f>+IF(ISBLANK('Ввод данных'!I16),"",'Ввод данных'!I16)</f>
        <v>43720</v>
      </c>
      <c r="H13" s="920"/>
      <c r="I13" s="920"/>
      <c r="J13" s="920"/>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7"/>
      <c r="D16" s="16"/>
      <c r="E16" s="552"/>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70" priority="1" stopIfTrue="1" operator="equal">
      <formula>"C"</formula>
    </cfRule>
    <cfRule type="cellIs" dxfId="69" priority="2" stopIfTrue="1" operator="equal">
      <formula>"B2"</formula>
    </cfRule>
    <cfRule type="cellIs" dxfId="68"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6" zoomScale="150" zoomScaleNormal="150" workbookViewId="0">
      <selection activeCell="N13" sqref="N13"/>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285156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40" t="str">
        <f>+"Панель показателей:  "&amp;"  "&amp;IF(+'Ввод данных'!B4="Выберите","",'Ввод данных'!B4&amp;" - ")&amp;IF('Ввод данных'!F6="Выберите","",'Ввод данных'!F6)</f>
        <v>Панель показателей:    Кыргызстан - ВИЧ/СПИД/ТБ</v>
      </c>
      <c r="C2" s="940"/>
      <c r="D2" s="940"/>
      <c r="E2" s="940"/>
      <c r="F2" s="940"/>
      <c r="G2" s="940"/>
      <c r="H2" s="940"/>
      <c r="I2" s="940"/>
      <c r="J2" s="940"/>
      <c r="K2" s="940"/>
      <c r="L2" s="940"/>
      <c r="M2" s="940"/>
      <c r="N2" s="1"/>
      <c r="O2" s="1"/>
      <c r="P2" s="1"/>
      <c r="Q2" s="1"/>
    </row>
    <row r="3" spans="2:17">
      <c r="B3" s="311">
        <f>+IF('Ввод данных'!F8="Выберите","",'Ввод данных'!F8)</f>
        <v>0</v>
      </c>
      <c r="C3" s="945"/>
      <c r="D3" s="945"/>
      <c r="E3" s="944"/>
      <c r="F3" s="944"/>
      <c r="G3" s="944"/>
      <c r="H3" s="944"/>
      <c r="I3" s="944"/>
      <c r="J3" s="944"/>
      <c r="K3" s="942" t="str">
        <f>+'Ввод данных'!A16</f>
        <v>Отчетный период</v>
      </c>
      <c r="L3" s="942"/>
      <c r="M3" s="169" t="str">
        <f>+'Ввод данных'!B16</f>
        <v>P2</v>
      </c>
      <c r="N3" s="76"/>
    </row>
    <row r="4" spans="2:17" ht="23.25">
      <c r="B4" s="319" t="str">
        <f>+'Ввод данных'!A12</f>
        <v>Последняя оценка:</v>
      </c>
      <c r="C4" s="946" t="str">
        <f>+IF('Ввод данных'!B12="Выберите","",'Ввод данных'!B12)</f>
        <v>A1</v>
      </c>
      <c r="D4" s="946"/>
      <c r="E4" s="944" t="str">
        <f>+'Ввод данных'!B8</f>
        <v>ПРООН</v>
      </c>
      <c r="F4" s="944"/>
      <c r="G4" s="944"/>
      <c r="H4" s="944"/>
      <c r="I4" s="944"/>
      <c r="J4" s="944"/>
      <c r="K4" s="942" t="str">
        <f>+'Ввод данных'!C16</f>
        <v>с:</v>
      </c>
      <c r="L4" s="943"/>
      <c r="M4" s="171">
        <f>+IF(ISBLANK('Ввод данных'!D16),"",'Ввод данных'!D16)</f>
        <v>43466</v>
      </c>
    </row>
    <row r="5" spans="2:17" ht="18.75" customHeight="1">
      <c r="B5" s="628"/>
      <c r="C5" s="628"/>
      <c r="D5" s="941" t="str">
        <f>+'Ввод данных'!F4</f>
        <v>«Эффективный контроль за ВИЧ-инфекцией и туберкулезом в Кыргызской Республике»</v>
      </c>
      <c r="E5" s="941"/>
      <c r="F5" s="941"/>
      <c r="G5" s="941"/>
      <c r="H5" s="941"/>
      <c r="I5" s="941"/>
      <c r="J5" s="941"/>
      <c r="K5" s="941"/>
      <c r="L5" s="628" t="str">
        <f>+'Ввод данных'!E16</f>
        <v>до:</v>
      </c>
      <c r="M5" s="171">
        <f>+IF(ISBLANK('Ввод данных'!F16),"",'Ввод данных'!F16)</f>
        <v>43646</v>
      </c>
    </row>
    <row r="6" spans="2:17" ht="18.75">
      <c r="B6" s="110"/>
      <c r="C6" s="628"/>
      <c r="D6" s="108"/>
      <c r="E6" s="947" t="s">
        <v>361</v>
      </c>
      <c r="F6" s="947"/>
      <c r="G6" s="947"/>
      <c r="H6" s="947"/>
      <c r="I6" s="947"/>
      <c r="J6" s="947"/>
      <c r="K6" s="3"/>
      <c r="L6" s="3"/>
      <c r="M6" s="3"/>
    </row>
    <row r="7" spans="2:17" ht="10.5" customHeight="1">
      <c r="B7" s="111"/>
      <c r="C7" s="112"/>
      <c r="D7" s="113"/>
      <c r="E7" s="114"/>
      <c r="F7" s="114"/>
      <c r="G7" s="115"/>
      <c r="H7" s="115"/>
      <c r="I7" s="115"/>
      <c r="J7" s="115"/>
      <c r="K7" s="629"/>
      <c r="L7" s="629"/>
      <c r="M7" s="109"/>
    </row>
    <row r="8" spans="2:17">
      <c r="B8" s="174" t="str">
        <f>+'Ввод данных'!A27&amp; " - в ("&amp;'Ввод данных'!C26&amp;")  "&amp;+K3&amp;" "&amp;+M3</f>
        <v>F1: Бюджет и выплаты Глобальным фондом - в ($)  Отчетный период P2</v>
      </c>
      <c r="C8" s="116"/>
      <c r="D8" s="2"/>
      <c r="E8" s="2"/>
      <c r="F8" s="2"/>
      <c r="J8" s="174" t="str">
        <f>+'Ввод данных'!A58&amp; " - в ("&amp;'Ввод данных'!C26&amp;")         "&amp;+K3&amp;" "&amp;+M3</f>
        <v>F3: Выплаты и расходы - в ($)         Отчетный период P2</v>
      </c>
      <c r="K8" s="3"/>
      <c r="L8" s="3"/>
      <c r="M8" s="3"/>
    </row>
    <row r="9" spans="2:17" ht="21.75" customHeight="1">
      <c r="B9" s="257" t="s">
        <v>362</v>
      </c>
      <c r="C9" s="930" t="s">
        <v>363</v>
      </c>
      <c r="D9" s="931"/>
      <c r="E9" s="931"/>
      <c r="F9" s="932"/>
      <c r="J9" s="258" t="s">
        <v>362</v>
      </c>
      <c r="K9" s="933" t="s">
        <v>364</v>
      </c>
      <c r="L9" s="931"/>
      <c r="M9" s="932"/>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75" t="str">
        <f>+'Ввод данных'!A36&amp; " - в ("&amp;'Ввод данных'!C26&amp;")  "&amp;+K3&amp;" "&amp;+M3</f>
        <v>F2: Бюджет и фактические расходы согласно задачам гранта - в ($)  Отчетный период P2</v>
      </c>
      <c r="C22" s="2"/>
      <c r="D22" s="2"/>
      <c r="E22" s="2"/>
      <c r="F22" s="2"/>
      <c r="J22" s="175" t="str">
        <f>+'Ввод данных'!A67&amp;"      "&amp;+K3&amp;" "&amp;+M3</f>
        <v>F4: Последний отчетный и платежный цикл ОР      Отчетный период P2</v>
      </c>
      <c r="L22" s="3"/>
      <c r="M22" s="3"/>
    </row>
    <row r="23" spans="1:13" ht="25.5" customHeight="1">
      <c r="B23" s="257" t="s">
        <v>362</v>
      </c>
      <c r="C23" s="933" t="s">
        <v>365</v>
      </c>
      <c r="D23" s="931"/>
      <c r="E23" s="931"/>
      <c r="F23" s="932"/>
      <c r="G23" s="269"/>
      <c r="H23" s="269"/>
      <c r="I23" s="269"/>
      <c r="J23" s="257" t="s">
        <v>362</v>
      </c>
      <c r="K23" s="933" t="s">
        <v>366</v>
      </c>
      <c r="L23" s="934"/>
      <c r="M23" s="935"/>
    </row>
    <row r="24" spans="1:13" ht="15.75" thickBot="1">
      <c r="B24" s="183"/>
      <c r="C24" s="183"/>
      <c r="D24" s="183"/>
      <c r="E24" s="183"/>
      <c r="F24" s="183"/>
      <c r="G24" s="183"/>
      <c r="H24" s="183"/>
      <c r="I24" s="183"/>
      <c r="J24" s="184"/>
      <c r="K24" s="184"/>
      <c r="L24" s="183"/>
      <c r="M24" s="183"/>
    </row>
    <row r="25" spans="1:13" ht="29.25" customHeight="1" thickBot="1">
      <c r="B25" s="3"/>
      <c r="C25" s="3"/>
      <c r="D25" s="3"/>
      <c r="E25" s="3"/>
      <c r="F25" s="3"/>
      <c r="G25" s="246"/>
      <c r="H25" s="246"/>
      <c r="I25" s="246"/>
      <c r="J25" s="948" t="s">
        <v>204</v>
      </c>
      <c r="K25" s="949"/>
      <c r="L25" s="949"/>
      <c r="M25" s="950"/>
    </row>
    <row r="26" spans="1:13" ht="24.75">
      <c r="B26" s="3"/>
      <c r="C26" s="3"/>
      <c r="D26" s="3"/>
      <c r="E26" s="3"/>
      <c r="F26" s="3"/>
      <c r="G26" s="227"/>
      <c r="H26" s="227"/>
      <c r="I26" s="227"/>
      <c r="J26" s="951"/>
      <c r="K26" s="952"/>
      <c r="L26" s="235" t="s">
        <v>205</v>
      </c>
      <c r="M26" s="236" t="s">
        <v>206</v>
      </c>
    </row>
    <row r="27" spans="1:13" ht="23.25" customHeight="1">
      <c r="B27" s="3"/>
      <c r="C27" s="3"/>
      <c r="D27" s="3"/>
      <c r="E27" s="3"/>
      <c r="F27" s="3"/>
      <c r="G27" s="247"/>
      <c r="H27" s="247"/>
      <c r="I27" s="247"/>
      <c r="J27" s="936" t="str">
        <f>'Ввод данных'!A71</f>
        <v xml:space="preserve">Сколько дней понадобилось для подачи ИОР/ЗПС в офис МАФ </v>
      </c>
      <c r="K27" s="937"/>
      <c r="L27" s="237">
        <f>+'Ввод данных'!C71</f>
        <v>45</v>
      </c>
      <c r="M27" s="234">
        <f>+'Ввод данных'!D71</f>
        <v>46</v>
      </c>
    </row>
    <row r="28" spans="1:13" ht="21" customHeight="1">
      <c r="B28" s="3"/>
      <c r="C28" s="3"/>
      <c r="D28" s="3"/>
      <c r="E28" s="3"/>
      <c r="F28" s="3"/>
      <c r="G28" s="247"/>
      <c r="H28" s="247"/>
      <c r="I28" s="247"/>
      <c r="J28" s="936" t="str">
        <f>'Ввод данных'!A72</f>
        <v xml:space="preserve">Спустя сколько дней ОР получил платеж </v>
      </c>
      <c r="K28" s="937"/>
      <c r="L28" s="237">
        <f>+'Ввод данных'!C72</f>
        <v>60</v>
      </c>
      <c r="M28" s="234" t="str">
        <f>+'Ввод данных'!D72</f>
        <v>н/п</v>
      </c>
    </row>
    <row r="29" spans="1:13" ht="21" customHeight="1" thickBot="1">
      <c r="B29" s="3"/>
      <c r="C29" s="3"/>
      <c r="D29" s="3"/>
      <c r="E29" s="3"/>
      <c r="F29" s="3"/>
      <c r="G29" s="247"/>
      <c r="H29" s="247"/>
      <c r="I29" s="247"/>
      <c r="J29" s="938" t="str">
        <f>'Ввод данных'!A73</f>
        <v>Спустя сколько дней суб-реципиенты получили платежи</v>
      </c>
      <c r="K29" s="939"/>
      <c r="L29" s="238">
        <f>+'Ввод данных'!C73</f>
        <v>10</v>
      </c>
      <c r="M29" s="239" t="str">
        <f>+'Ввод данных'!D73</f>
        <v>н/п</v>
      </c>
    </row>
    <row r="30" spans="1:13">
      <c r="B30" s="3"/>
      <c r="C30" s="3"/>
      <c r="D30" s="3"/>
      <c r="E30" s="3"/>
      <c r="F30" s="3"/>
      <c r="G30" s="3"/>
      <c r="H30" s="3"/>
      <c r="I30" s="3"/>
      <c r="J30" s="3"/>
      <c r="K30" s="3"/>
      <c r="L30" s="3"/>
      <c r="M30" s="3"/>
    </row>
    <row r="31" spans="1:13">
      <c r="B31" s="3"/>
      <c r="C31" s="15"/>
      <c r="D31" s="198"/>
      <c r="E31" s="3"/>
      <c r="F31" s="3"/>
      <c r="G31" s="3"/>
      <c r="H31" s="3"/>
      <c r="I31" s="3"/>
      <c r="J31" s="3"/>
      <c r="K31" s="3"/>
      <c r="L31" s="3"/>
      <c r="M31" s="3"/>
    </row>
    <row r="32" spans="1:13">
      <c r="B32" s="3"/>
      <c r="C32" s="15"/>
      <c r="D32" s="198"/>
      <c r="E32" s="3"/>
      <c r="F32" s="3"/>
      <c r="G32" s="3"/>
      <c r="H32" s="3"/>
      <c r="I32" s="3"/>
      <c r="J32" s="3"/>
      <c r="K32" s="3"/>
      <c r="L32" s="3"/>
      <c r="M32" s="3"/>
    </row>
    <row r="34" spans="2:5">
      <c r="B34" s="178" t="s">
        <v>367</v>
      </c>
      <c r="E34" s="19"/>
    </row>
    <row r="35" spans="2:5">
      <c r="B35" s="327"/>
    </row>
    <row r="36" spans="2:5">
      <c r="B36" s="178" t="s">
        <v>368</v>
      </c>
    </row>
  </sheetData>
  <sheetProtection password="CFC9" sheet="1"/>
  <mergeCells count="18">
    <mergeCell ref="J29:K29"/>
    <mergeCell ref="B2:M2"/>
    <mergeCell ref="D5:K5"/>
    <mergeCell ref="K4:L4"/>
    <mergeCell ref="K3:L3"/>
    <mergeCell ref="E3:J3"/>
    <mergeCell ref="C3:D3"/>
    <mergeCell ref="C4:D4"/>
    <mergeCell ref="E4:J4"/>
    <mergeCell ref="E6:J6"/>
    <mergeCell ref="J25:M25"/>
    <mergeCell ref="J26:K26"/>
    <mergeCell ref="J27:K27"/>
    <mergeCell ref="C9:F9"/>
    <mergeCell ref="K23:M23"/>
    <mergeCell ref="C23:F23"/>
    <mergeCell ref="K9:M9"/>
    <mergeCell ref="J28:K28"/>
  </mergeCells>
  <phoneticPr fontId="30" type="noConversion"/>
  <conditionalFormatting sqref="C4:D4">
    <cfRule type="cellIs" dxfId="67" priority="3" stopIfTrue="1" operator="equal">
      <formula>"C"</formula>
    </cfRule>
    <cfRule type="cellIs" dxfId="66" priority="4" stopIfTrue="1" operator="equal">
      <formula>"B2"</formula>
    </cfRule>
    <cfRule type="cellIs" dxfId="65" priority="5" stopIfTrue="1" operator="equal">
      <formula>"B1"</formula>
    </cfRule>
  </conditionalFormatting>
  <conditionalFormatting sqref="M27:M29">
    <cfRule type="expression" dxfId="64" priority="1" stopIfTrue="1">
      <formula>$M27&gt;$L27</formula>
    </cfRule>
    <cfRule type="expression" dxfId="63"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72"/>
  <sheetViews>
    <sheetView showGridLines="0" topLeftCell="A58" zoomScale="130" zoomScaleNormal="130" workbookViewId="0">
      <selection activeCell="N33" sqref="N33"/>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25.28515625" customWidth="1"/>
    <col min="11" max="11" width="13.7109375" customWidth="1"/>
    <col min="12" max="12" width="13.5703125" customWidth="1"/>
    <col min="13" max="13" width="14.140625" customWidth="1"/>
  </cols>
  <sheetData>
    <row r="1" spans="1:17" ht="28.5" customHeight="1">
      <c r="C1" s="194"/>
      <c r="E1" s="195"/>
    </row>
    <row r="2" spans="1:17" ht="27.75" customHeight="1">
      <c r="B2" s="940" t="str">
        <f>+"Панель показателей:  "&amp;"  "&amp;IF(+'Ввод данных'!B4="Выберите","",'Ввод данных'!B4&amp;" - ")&amp;IF('Ввод данных'!F6="Выберите","",'Ввод данных'!F6)</f>
        <v>Панель показателей:    Кыргызстан - ВИЧ/СПИД/ТБ</v>
      </c>
      <c r="C2" s="940"/>
      <c r="D2" s="940"/>
      <c r="E2" s="940"/>
      <c r="F2" s="940"/>
      <c r="G2" s="940"/>
      <c r="H2" s="940"/>
      <c r="I2" s="940"/>
      <c r="J2" s="940"/>
      <c r="K2" s="940"/>
      <c r="L2" s="940"/>
      <c r="M2" s="940"/>
      <c r="N2" s="24"/>
      <c r="O2" s="24"/>
      <c r="P2" s="24"/>
      <c r="Q2" s="24"/>
    </row>
    <row r="3" spans="1:17" ht="22.5" customHeight="1">
      <c r="A3" s="313"/>
      <c r="B3" s="314">
        <f>+IF('Ввод данных'!F8="Пожалуйста выберите","",'Ввод данных'!F8)</f>
        <v>0</v>
      </c>
      <c r="C3" s="974">
        <f>+IF('Ввод данных'!H8="Пожалуйста выберите","",'Ввод данных'!H8)</f>
        <v>0</v>
      </c>
      <c r="D3" s="974"/>
      <c r="E3" s="968"/>
      <c r="F3" s="968"/>
      <c r="G3" s="968"/>
      <c r="H3" s="968"/>
      <c r="I3" s="968"/>
      <c r="J3" s="968"/>
      <c r="K3" s="969" t="str">
        <f>+'Ввод данных'!A16</f>
        <v>Отчетный период</v>
      </c>
      <c r="L3" s="969"/>
      <c r="M3" s="169" t="str">
        <f>+'Ввод данных'!B16</f>
        <v>P2</v>
      </c>
    </row>
    <row r="4" spans="1:17" ht="25.5" customHeight="1">
      <c r="A4" s="313"/>
      <c r="B4" s="322" t="str">
        <f>+'Ввод данных'!A12</f>
        <v>Последняя оценка:</v>
      </c>
      <c r="C4" s="967" t="str">
        <f>+IF('Ввод данных'!B12="Выберите","",'Ввод данных'!B12)</f>
        <v>A1</v>
      </c>
      <c r="D4" s="967"/>
      <c r="E4" s="968" t="str">
        <f>+'Ввод данных'!B8</f>
        <v>ПРООН</v>
      </c>
      <c r="F4" s="968"/>
      <c r="G4" s="968"/>
      <c r="H4" s="968"/>
      <c r="I4" s="968"/>
      <c r="J4" s="968"/>
      <c r="K4" s="969" t="str">
        <f>+'Ввод данных'!C16</f>
        <v>с:</v>
      </c>
      <c r="L4" s="969"/>
      <c r="M4" s="171">
        <f>+IF(ISBLANK('Ввод данных'!D16),"",'Ввод данных'!D16)</f>
        <v>43466</v>
      </c>
    </row>
    <row r="5" spans="1:17" ht="18.75" customHeight="1">
      <c r="B5" s="631"/>
      <c r="C5" s="631"/>
      <c r="D5" s="968" t="str">
        <f>+'Ввод данных'!F4</f>
        <v>«Эффективный контроль за ВИЧ-инфекцией и туберкулезом в Кыргызской Республике»</v>
      </c>
      <c r="E5" s="968"/>
      <c r="F5" s="968"/>
      <c r="G5" s="968"/>
      <c r="H5" s="968"/>
      <c r="I5" s="968"/>
      <c r="J5" s="968"/>
      <c r="K5" s="968"/>
      <c r="L5" s="631" t="str">
        <f>+'Ввод данных'!E16</f>
        <v>до:</v>
      </c>
      <c r="M5" s="171">
        <f>+IF(ISBLANK('Ввод данных'!F16),"",'Ввод данных'!F16)</f>
        <v>43646</v>
      </c>
    </row>
    <row r="6" spans="1:17" ht="18.75">
      <c r="B6" s="22"/>
      <c r="C6" s="631"/>
      <c r="D6" s="23"/>
      <c r="E6" s="553" t="s">
        <v>369</v>
      </c>
      <c r="F6" s="553"/>
      <c r="G6" s="553"/>
      <c r="H6" s="553"/>
      <c r="I6" s="553"/>
      <c r="J6" s="553"/>
    </row>
    <row r="7" spans="1:17" ht="22.5" customHeight="1" thickBot="1">
      <c r="B7" s="972" t="str">
        <f>+'Ввод данных'!A78&amp;" "&amp;+K3&amp;"   "&amp;+M3</f>
        <v>M1: Статус Предварительных условий (ПУ) и Действий с установленным сроком исполнения (ДУС) Отчетный период   P2</v>
      </c>
      <c r="C7" s="972"/>
      <c r="D7" s="972"/>
      <c r="E7" s="972"/>
      <c r="F7" s="972"/>
      <c r="G7" s="632"/>
      <c r="I7" s="270" t="str">
        <f>+'Ввод данных'!A87&amp;"                                       "&amp;+K3&amp;"  "&amp;+M3</f>
        <v>M2: Статус ключевых руководящих должностей в структуре ОР                                       Отчетный период  P2</v>
      </c>
    </row>
    <row r="8" spans="1:17" ht="25.5" customHeight="1" thickBot="1">
      <c r="B8" s="488" t="s">
        <v>362</v>
      </c>
      <c r="C8" s="970" t="s">
        <v>370</v>
      </c>
      <c r="D8" s="970"/>
      <c r="E8" s="970"/>
      <c r="F8" s="971"/>
      <c r="G8" s="489"/>
      <c r="H8" s="490"/>
      <c r="I8" s="488" t="s">
        <v>362</v>
      </c>
      <c r="J8" s="960" t="s">
        <v>706</v>
      </c>
      <c r="K8" s="960"/>
      <c r="L8" s="960"/>
      <c r="M8" s="961"/>
    </row>
    <row r="9" spans="1:17">
      <c r="B9" s="19"/>
      <c r="C9" s="19"/>
      <c r="D9" s="19"/>
      <c r="E9" s="19"/>
      <c r="F9" s="19"/>
      <c r="G9" s="19"/>
      <c r="H9" s="19"/>
      <c r="I9" s="19"/>
    </row>
    <row r="10" spans="1:17">
      <c r="A10" s="44"/>
      <c r="B10" s="19"/>
      <c r="C10" s="19"/>
      <c r="D10" s="973"/>
      <c r="E10" s="680"/>
      <c r="F10" s="680"/>
      <c r="G10" s="614"/>
      <c r="H10" s="614"/>
      <c r="I10" s="19"/>
      <c r="O10" s="46"/>
      <c r="P10" s="46"/>
      <c r="Q10" s="45"/>
    </row>
    <row r="11" spans="1:17">
      <c r="B11" s="19"/>
      <c r="C11" s="633"/>
      <c r="D11" s="973"/>
      <c r="E11" s="633"/>
      <c r="F11" s="633"/>
      <c r="G11" s="633"/>
      <c r="H11" s="633"/>
      <c r="I11" s="633"/>
      <c r="O11" s="19"/>
      <c r="P11" s="19"/>
    </row>
    <row r="12" spans="1:17">
      <c r="B12" s="19"/>
      <c r="C12" s="633"/>
      <c r="D12" s="633"/>
      <c r="E12" s="633"/>
      <c r="F12" s="633"/>
      <c r="G12" s="633"/>
      <c r="H12" s="633"/>
      <c r="I12" s="633"/>
      <c r="O12" s="19"/>
      <c r="P12" s="19"/>
    </row>
    <row r="13" spans="1:17">
      <c r="B13" s="19"/>
      <c r="C13" s="633"/>
      <c r="D13" s="633"/>
      <c r="E13" s="633"/>
      <c r="F13" s="633"/>
      <c r="G13" s="633"/>
      <c r="H13" s="633"/>
      <c r="I13" s="633"/>
      <c r="O13" s="19"/>
      <c r="P13" s="19"/>
    </row>
    <row r="14" spans="1:17">
      <c r="B14" s="19"/>
      <c r="C14" s="633"/>
      <c r="D14" s="633"/>
      <c r="E14" s="633"/>
      <c r="F14" s="633"/>
      <c r="G14" s="633"/>
      <c r="H14" s="633"/>
      <c r="I14" s="633"/>
      <c r="O14" s="19"/>
      <c r="P14" s="19"/>
    </row>
    <row r="15" spans="1:17">
      <c r="B15" s="633"/>
      <c r="C15" s="72"/>
      <c r="D15" s="73"/>
      <c r="E15" s="73"/>
      <c r="F15" s="73"/>
      <c r="G15" s="73"/>
      <c r="H15" s="73"/>
      <c r="I15" s="74"/>
    </row>
    <row r="16" spans="1:17">
      <c r="B16" s="633"/>
      <c r="C16" s="72"/>
      <c r="D16" s="73"/>
      <c r="E16" s="73"/>
      <c r="F16" s="73"/>
      <c r="G16" s="73"/>
      <c r="H16" s="73"/>
      <c r="I16" s="74"/>
    </row>
    <row r="17" spans="2:14" ht="40.5" customHeight="1"/>
    <row r="18" spans="2:14" ht="27.75" customHeight="1" thickBot="1">
      <c r="B18" s="270" t="str">
        <f>+'Ввод данных'!A94&amp;"                                                                                                  "&amp;+K3&amp;" "&amp;+M3</f>
        <v>M3: Контрактные соглашения (СР)                                                                                                   Отчетный период P2</v>
      </c>
      <c r="I18" s="270" t="str">
        <f>+'Ввод данных'!A100&amp;"                                       "&amp;+K3&amp;" "&amp;+M3</f>
        <v>M4: Количество полных отчетов, полученных к установленному сроку                                       Отчетный период P2</v>
      </c>
    </row>
    <row r="19" spans="2:14" ht="118.5" customHeight="1" thickBot="1">
      <c r="B19" s="487" t="s">
        <v>362</v>
      </c>
      <c r="C19" s="960" t="s">
        <v>371</v>
      </c>
      <c r="D19" s="960"/>
      <c r="E19" s="960"/>
      <c r="F19" s="961"/>
      <c r="I19" s="487" t="s">
        <v>372</v>
      </c>
      <c r="J19" s="960" t="s">
        <v>373</v>
      </c>
      <c r="K19" s="960"/>
      <c r="L19" s="960"/>
      <c r="M19" s="961"/>
    </row>
    <row r="20" spans="2:14" ht="27.75" customHeight="1">
      <c r="B20" s="270"/>
    </row>
    <row r="21" spans="2:14" ht="27.75" customHeight="1">
      <c r="B21" s="270"/>
      <c r="I21" s="270"/>
    </row>
    <row r="22" spans="2:14" ht="27.75" customHeight="1">
      <c r="B22" s="270"/>
      <c r="I22" s="270"/>
    </row>
    <row r="23" spans="2:14" ht="27.75" customHeight="1">
      <c r="B23" s="270"/>
    </row>
    <row r="24" spans="2:14">
      <c r="B24" s="26"/>
      <c r="I24" s="27"/>
    </row>
    <row r="25" spans="2:14">
      <c r="N25" s="76"/>
    </row>
    <row r="28" spans="2:14" ht="24.75" customHeight="1">
      <c r="B28" s="962"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8" s="962"/>
      <c r="D28" s="962"/>
      <c r="E28" s="962"/>
      <c r="F28" s="962"/>
      <c r="I28" s="963" t="str">
        <f>+'Ввод данных'!A121&amp;"                    "&amp;+K3&amp;"  "&amp;+M3</f>
        <v>M6: Разница между текущим и резервным запасами                    Отчетный период  P2</v>
      </c>
      <c r="J28" s="963"/>
      <c r="K28" s="963"/>
      <c r="L28" s="963"/>
      <c r="M28" s="963"/>
    </row>
    <row r="29" spans="2:14" ht="87.75" customHeight="1">
      <c r="B29" s="959" t="s">
        <v>362</v>
      </c>
      <c r="C29" s="958" t="s">
        <v>374</v>
      </c>
      <c r="D29" s="958"/>
      <c r="E29" s="958"/>
      <c r="F29" s="958"/>
      <c r="G29" s="316"/>
      <c r="H29" s="271"/>
      <c r="I29" s="634" t="s">
        <v>375</v>
      </c>
      <c r="J29" s="965" t="s">
        <v>376</v>
      </c>
      <c r="K29" s="965"/>
      <c r="L29" s="965"/>
      <c r="M29" s="965"/>
    </row>
    <row r="30" spans="2:14" ht="107.25" customHeight="1" thickBot="1">
      <c r="B30" s="959"/>
      <c r="C30" s="958"/>
      <c r="D30" s="958"/>
      <c r="E30" s="958"/>
      <c r="F30" s="958"/>
      <c r="I30" s="634" t="s">
        <v>372</v>
      </c>
      <c r="J30" s="966" t="s">
        <v>377</v>
      </c>
      <c r="K30" s="966"/>
      <c r="L30" s="966"/>
      <c r="M30" s="966"/>
    </row>
    <row r="31" spans="2:14" ht="102">
      <c r="F31" s="249"/>
      <c r="G31" s="249"/>
      <c r="H31" s="249"/>
      <c r="I31" s="1244" t="s">
        <v>255</v>
      </c>
      <c r="J31" s="1245" t="s">
        <v>378</v>
      </c>
      <c r="K31" s="1246" t="s">
        <v>379</v>
      </c>
      <c r="L31" s="1246" t="s">
        <v>380</v>
      </c>
      <c r="M31" s="1247" t="s">
        <v>381</v>
      </c>
    </row>
    <row r="32" spans="2:14">
      <c r="F32" s="249"/>
      <c r="G32" s="249"/>
      <c r="H32" s="249"/>
      <c r="I32" s="956" t="str">
        <f>+'Ввод данных'!A123</f>
        <v>ВИЧ / СПИД</v>
      </c>
      <c r="J32" s="563" t="s">
        <v>266</v>
      </c>
      <c r="K32" s="563">
        <v>8.5202380952380956</v>
      </c>
      <c r="L32" s="563">
        <v>3</v>
      </c>
      <c r="M32" s="564">
        <f t="shared" ref="M32:M43" si="0">K32-L32</f>
        <v>5.5202380952380956</v>
      </c>
    </row>
    <row r="33" spans="2:13">
      <c r="F33" s="249"/>
      <c r="G33" s="249"/>
      <c r="H33" s="249"/>
      <c r="I33" s="957"/>
      <c r="J33" s="563" t="s">
        <v>267</v>
      </c>
      <c r="K33" s="563">
        <v>13.064634146341463</v>
      </c>
      <c r="L33" s="563">
        <v>3</v>
      </c>
      <c r="M33" s="564">
        <f t="shared" si="0"/>
        <v>10.064634146341463</v>
      </c>
    </row>
    <row r="34" spans="2:13">
      <c r="F34" s="249"/>
      <c r="G34" s="249"/>
      <c r="H34" s="249"/>
      <c r="I34" s="957"/>
      <c r="J34" s="563" t="s">
        <v>268</v>
      </c>
      <c r="K34" s="563">
        <v>8.75</v>
      </c>
      <c r="L34" s="563">
        <v>3</v>
      </c>
      <c r="M34" s="564">
        <f t="shared" si="0"/>
        <v>5.75</v>
      </c>
    </row>
    <row r="35" spans="2:13">
      <c r="F35" s="249"/>
      <c r="G35" s="249"/>
      <c r="H35" s="249"/>
      <c r="I35" s="957"/>
      <c r="J35" s="563" t="s">
        <v>269</v>
      </c>
      <c r="K35" s="563">
        <v>7.1089622641509438</v>
      </c>
      <c r="L35" s="563">
        <v>3</v>
      </c>
      <c r="M35" s="564">
        <f t="shared" si="0"/>
        <v>4.1089622641509438</v>
      </c>
    </row>
    <row r="36" spans="2:13">
      <c r="F36" s="249"/>
      <c r="G36" s="249"/>
      <c r="H36" s="249"/>
      <c r="I36" s="957"/>
      <c r="J36" s="563" t="s">
        <v>270</v>
      </c>
      <c r="K36" s="563">
        <v>10.270225694444445</v>
      </c>
      <c r="L36" s="563">
        <v>3</v>
      </c>
      <c r="M36" s="564">
        <f t="shared" si="0"/>
        <v>7.270225694444445</v>
      </c>
    </row>
    <row r="37" spans="2:13">
      <c r="F37" s="249"/>
      <c r="G37" s="249"/>
      <c r="H37" s="249"/>
      <c r="I37" s="957"/>
      <c r="J37" s="563" t="s">
        <v>271</v>
      </c>
      <c r="K37" s="563">
        <v>8.434482758620689</v>
      </c>
      <c r="L37" s="563">
        <v>3</v>
      </c>
      <c r="M37" s="564">
        <f t="shared" si="0"/>
        <v>5.434482758620689</v>
      </c>
    </row>
    <row r="38" spans="2:13">
      <c r="F38" s="249"/>
      <c r="G38" s="249"/>
      <c r="H38" s="249"/>
      <c r="I38" s="957"/>
      <c r="J38" s="563" t="s">
        <v>272</v>
      </c>
      <c r="K38" s="563">
        <v>5.8771825396825399</v>
      </c>
      <c r="L38" s="563">
        <v>3</v>
      </c>
      <c r="M38" s="564">
        <f t="shared" si="0"/>
        <v>2.8771825396825399</v>
      </c>
    </row>
    <row r="39" spans="2:13">
      <c r="F39" s="249"/>
      <c r="G39" s="249"/>
      <c r="H39" s="249"/>
      <c r="I39" s="957"/>
      <c r="J39" s="563" t="s">
        <v>273</v>
      </c>
      <c r="K39" s="563">
        <v>14.229807692307693</v>
      </c>
      <c r="L39" s="563">
        <v>3</v>
      </c>
      <c r="M39" s="564">
        <f t="shared" si="0"/>
        <v>11.229807692307693</v>
      </c>
    </row>
    <row r="40" spans="2:13">
      <c r="B40" s="964" t="str">
        <f>+'Ввод данных'!A118</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40" s="964"/>
      <c r="D40" s="964"/>
      <c r="E40" s="964"/>
      <c r="F40" s="249"/>
      <c r="G40" s="249"/>
      <c r="H40" s="249"/>
      <c r="I40" s="957"/>
      <c r="J40" s="563" t="s">
        <v>274</v>
      </c>
      <c r="K40" s="563">
        <v>14</v>
      </c>
      <c r="L40" s="563">
        <v>3</v>
      </c>
      <c r="M40" s="564">
        <f t="shared" si="0"/>
        <v>11</v>
      </c>
    </row>
    <row r="41" spans="2:13">
      <c r="F41" s="249"/>
      <c r="G41" s="249"/>
      <c r="H41" s="249"/>
      <c r="I41" s="957"/>
      <c r="J41" s="563" t="s">
        <v>275</v>
      </c>
      <c r="K41" s="563">
        <v>2.8111111111111109</v>
      </c>
      <c r="L41" s="563">
        <v>3</v>
      </c>
      <c r="M41" s="564">
        <f t="shared" si="0"/>
        <v>-0.18888888888888911</v>
      </c>
    </row>
    <row r="42" spans="2:13">
      <c r="F42" s="249"/>
      <c r="G42" s="249"/>
      <c r="H42" s="249"/>
      <c r="I42" s="957"/>
      <c r="J42" s="563" t="s">
        <v>276</v>
      </c>
      <c r="K42" s="563">
        <v>7.7458024209293246</v>
      </c>
      <c r="L42" s="563">
        <v>3</v>
      </c>
      <c r="M42" s="564">
        <f t="shared" si="0"/>
        <v>4.7458024209293246</v>
      </c>
    </row>
    <row r="43" spans="2:13">
      <c r="F43" s="249"/>
      <c r="G43" s="249"/>
      <c r="H43" s="249"/>
      <c r="I43" s="957"/>
      <c r="J43" s="563" t="s">
        <v>277</v>
      </c>
      <c r="K43" s="563">
        <v>3.5462585034013605</v>
      </c>
      <c r="L43" s="563">
        <v>3</v>
      </c>
      <c r="M43" s="564">
        <f t="shared" si="0"/>
        <v>0.54625850340136051</v>
      </c>
    </row>
    <row r="44" spans="2:13" ht="15" customHeight="1">
      <c r="F44" s="249"/>
      <c r="G44" s="249"/>
      <c r="H44" s="249"/>
      <c r="I44" s="957"/>
      <c r="J44" s="563" t="s">
        <v>278</v>
      </c>
      <c r="K44" s="563">
        <v>10.007487922705314</v>
      </c>
      <c r="L44" s="563">
        <v>3</v>
      </c>
      <c r="M44" s="564">
        <f>K44-L44</f>
        <v>7.0074879227053142</v>
      </c>
    </row>
    <row r="45" spans="2:13">
      <c r="F45" s="249"/>
      <c r="G45" s="249"/>
      <c r="H45" s="249"/>
      <c r="I45" s="957"/>
      <c r="J45" s="563" t="s">
        <v>279</v>
      </c>
      <c r="K45" s="563">
        <v>6.9018518518518519</v>
      </c>
      <c r="L45" s="563">
        <v>3</v>
      </c>
      <c r="M45" s="564">
        <f>K45-L45</f>
        <v>3.9018518518518519</v>
      </c>
    </row>
    <row r="46" spans="2:13">
      <c r="F46" s="249"/>
      <c r="G46" s="249"/>
      <c r="H46" s="249"/>
      <c r="I46" s="957"/>
      <c r="J46" s="563" t="s">
        <v>280</v>
      </c>
      <c r="K46" s="563">
        <v>8.75</v>
      </c>
      <c r="L46" s="563">
        <v>3</v>
      </c>
      <c r="M46" s="564">
        <f t="shared" ref="M46:M72" si="1">K46-L46</f>
        <v>5.75</v>
      </c>
    </row>
    <row r="47" spans="2:13">
      <c r="F47" s="249"/>
      <c r="G47" s="249"/>
      <c r="H47" s="249"/>
      <c r="I47" s="957"/>
      <c r="J47" s="563" t="s">
        <v>281</v>
      </c>
      <c r="K47" s="563">
        <v>3.5531400966183573</v>
      </c>
      <c r="L47" s="563">
        <v>3</v>
      </c>
      <c r="M47" s="564">
        <f t="shared" si="1"/>
        <v>0.55314009661835728</v>
      </c>
    </row>
    <row r="48" spans="2:13">
      <c r="F48" s="249"/>
      <c r="G48" s="249"/>
      <c r="H48" s="249"/>
      <c r="I48" s="957"/>
      <c r="J48" s="563" t="s">
        <v>282</v>
      </c>
      <c r="K48" s="563">
        <v>3.6588581024349285</v>
      </c>
      <c r="L48" s="563">
        <v>3</v>
      </c>
      <c r="M48" s="564">
        <f t="shared" si="1"/>
        <v>0.65885810243492848</v>
      </c>
    </row>
    <row r="49" spans="2:13">
      <c r="F49" s="249"/>
      <c r="G49" s="249"/>
      <c r="H49" s="249"/>
      <c r="I49" s="957"/>
      <c r="J49" s="563" t="s">
        <v>382</v>
      </c>
      <c r="K49" s="563">
        <v>4.5876957494407158</v>
      </c>
      <c r="L49" s="563">
        <v>3</v>
      </c>
      <c r="M49" s="564">
        <f t="shared" si="1"/>
        <v>1.5876957494407158</v>
      </c>
    </row>
    <row r="50" spans="2:13">
      <c r="F50" s="249"/>
      <c r="G50" s="249"/>
      <c r="H50" s="249"/>
      <c r="I50" s="957"/>
      <c r="J50" s="563" t="s">
        <v>383</v>
      </c>
      <c r="K50" s="563">
        <f>40/3.5</f>
        <v>11.428571428571429</v>
      </c>
      <c r="L50" s="563">
        <v>3</v>
      </c>
      <c r="M50" s="564">
        <f t="shared" ref="M50:M52" si="2">K50-L50</f>
        <v>8.4285714285714288</v>
      </c>
    </row>
    <row r="51" spans="2:13">
      <c r="F51" s="249"/>
      <c r="G51" s="249"/>
      <c r="H51" s="249"/>
      <c r="I51" s="957"/>
      <c r="J51" s="565" t="s">
        <v>384</v>
      </c>
      <c r="K51" s="650">
        <f>34/5</f>
        <v>6.8</v>
      </c>
      <c r="L51" s="563">
        <v>3</v>
      </c>
      <c r="M51" s="564">
        <f t="shared" si="1"/>
        <v>3.8</v>
      </c>
    </row>
    <row r="52" spans="2:13">
      <c r="F52" s="249"/>
      <c r="G52" s="249"/>
      <c r="H52" s="249"/>
      <c r="I52" s="957"/>
      <c r="J52" s="565" t="s">
        <v>385</v>
      </c>
      <c r="K52" s="650">
        <f>334/61</f>
        <v>5.4754098360655741</v>
      </c>
      <c r="L52" s="563">
        <v>3</v>
      </c>
      <c r="M52" s="564">
        <f t="shared" si="2"/>
        <v>2.4754098360655741</v>
      </c>
    </row>
    <row r="53" spans="2:13" ht="26.25">
      <c r="F53" s="249"/>
      <c r="G53" s="249"/>
      <c r="H53" s="249"/>
      <c r="I53" s="957"/>
      <c r="J53" s="651" t="s">
        <v>386</v>
      </c>
      <c r="K53" s="648">
        <f>20100/(14775/6)</f>
        <v>8.1624365482233507</v>
      </c>
      <c r="L53" s="648">
        <v>3</v>
      </c>
      <c r="M53" s="649">
        <f t="shared" si="1"/>
        <v>5.1624365482233507</v>
      </c>
    </row>
    <row r="54" spans="2:13">
      <c r="F54" s="19"/>
      <c r="G54" s="19"/>
      <c r="H54" s="19"/>
      <c r="I54" s="953" t="str">
        <f>+'Ввод данных'!A141</f>
        <v>ТБ</v>
      </c>
      <c r="J54" s="641" t="s">
        <v>387</v>
      </c>
      <c r="K54" s="641">
        <v>5.0447850022318104</v>
      </c>
      <c r="L54" s="641">
        <v>3</v>
      </c>
      <c r="M54" s="642">
        <f t="shared" si="1"/>
        <v>2.0447850022318104</v>
      </c>
    </row>
    <row r="55" spans="2:13">
      <c r="F55" s="19"/>
      <c r="G55" s="19"/>
      <c r="H55" s="19"/>
      <c r="I55" s="954"/>
      <c r="J55" s="566" t="s">
        <v>388</v>
      </c>
      <c r="K55" s="566">
        <v>15.709639126305794</v>
      </c>
      <c r="L55" s="566">
        <v>3</v>
      </c>
      <c r="M55" s="643">
        <f t="shared" si="1"/>
        <v>12.709639126305794</v>
      </c>
    </row>
    <row r="56" spans="2:13">
      <c r="F56" s="19"/>
      <c r="G56" s="19"/>
      <c r="H56" s="19"/>
      <c r="I56" s="954"/>
      <c r="J56" s="566" t="s">
        <v>286</v>
      </c>
      <c r="K56" s="566">
        <v>34.530416666666667</v>
      </c>
      <c r="L56" s="566">
        <v>3</v>
      </c>
      <c r="M56" s="643">
        <f t="shared" si="1"/>
        <v>31.530416666666667</v>
      </c>
    </row>
    <row r="57" spans="2:13">
      <c r="B57" s="635"/>
      <c r="C57" s="635"/>
      <c r="D57" s="635"/>
      <c r="E57" s="635"/>
      <c r="F57" s="19"/>
      <c r="G57" s="19"/>
      <c r="H57" s="19"/>
      <c r="I57" s="954"/>
      <c r="J57" s="566" t="s">
        <v>287</v>
      </c>
      <c r="K57" s="566">
        <v>5.48</v>
      </c>
      <c r="L57" s="566">
        <v>3</v>
      </c>
      <c r="M57" s="643">
        <f t="shared" ref="M57" si="3">K57-L57</f>
        <v>2.4800000000000004</v>
      </c>
    </row>
    <row r="58" spans="2:13">
      <c r="F58" s="19"/>
      <c r="G58" s="19"/>
      <c r="H58" s="19"/>
      <c r="I58" s="954"/>
      <c r="J58" s="566" t="s">
        <v>288</v>
      </c>
      <c r="K58" s="566">
        <v>14.605070630402698</v>
      </c>
      <c r="L58" s="566">
        <v>3</v>
      </c>
      <c r="M58" s="643">
        <f t="shared" si="1"/>
        <v>11.605070630402698</v>
      </c>
    </row>
    <row r="59" spans="2:13">
      <c r="F59" s="19"/>
      <c r="G59" s="19"/>
      <c r="H59" s="19"/>
      <c r="I59" s="954"/>
      <c r="J59" s="566" t="s">
        <v>289</v>
      </c>
      <c r="K59" s="566">
        <v>2.9597681359044996</v>
      </c>
      <c r="L59" s="566">
        <v>3</v>
      </c>
      <c r="M59" s="643">
        <f t="shared" si="1"/>
        <v>-4.0231864095500391E-2</v>
      </c>
    </row>
    <row r="60" spans="2:13">
      <c r="F60" s="19"/>
      <c r="G60" s="19"/>
      <c r="H60" s="19"/>
      <c r="I60" s="954"/>
      <c r="J60" s="566" t="s">
        <v>290</v>
      </c>
      <c r="K60" s="566">
        <v>3.2607506361323155</v>
      </c>
      <c r="L60" s="566">
        <v>3</v>
      </c>
      <c r="M60" s="643">
        <f t="shared" si="1"/>
        <v>0.26075063613231553</v>
      </c>
    </row>
    <row r="61" spans="2:13">
      <c r="F61" s="19"/>
      <c r="G61" s="19"/>
      <c r="H61" s="19"/>
      <c r="I61" s="954"/>
      <c r="J61" s="566" t="s">
        <v>291</v>
      </c>
      <c r="K61" s="566">
        <v>11.39188988095238</v>
      </c>
      <c r="L61" s="566">
        <v>3</v>
      </c>
      <c r="M61" s="643">
        <f t="shared" si="1"/>
        <v>8.3918898809523803</v>
      </c>
    </row>
    <row r="62" spans="2:13">
      <c r="F62" s="19"/>
      <c r="G62" s="19"/>
      <c r="H62" s="19"/>
      <c r="I62" s="954"/>
      <c r="J62" s="566" t="s">
        <v>292</v>
      </c>
      <c r="K62" s="566">
        <v>9.1366349206349202</v>
      </c>
      <c r="L62" s="566">
        <v>3</v>
      </c>
      <c r="M62" s="643">
        <f t="shared" si="1"/>
        <v>6.1366349206349202</v>
      </c>
    </row>
    <row r="63" spans="2:13">
      <c r="F63" s="19"/>
      <c r="G63" s="19"/>
      <c r="H63" s="19"/>
      <c r="I63" s="954"/>
      <c r="J63" s="566" t="s">
        <v>389</v>
      </c>
      <c r="K63" s="566">
        <v>12.17013201320132</v>
      </c>
      <c r="L63" s="566">
        <v>3</v>
      </c>
      <c r="M63" s="643">
        <f t="shared" si="1"/>
        <v>9.1701320132013198</v>
      </c>
    </row>
    <row r="64" spans="2:13">
      <c r="F64" s="19"/>
      <c r="G64" s="19"/>
      <c r="H64" s="19"/>
      <c r="I64" s="954"/>
      <c r="J64" s="566" t="s">
        <v>294</v>
      </c>
      <c r="K64" s="566">
        <v>5.3840915357044388</v>
      </c>
      <c r="L64" s="566">
        <v>3</v>
      </c>
      <c r="M64" s="643">
        <f t="shared" si="1"/>
        <v>2.3840915357044388</v>
      </c>
    </row>
    <row r="65" spans="6:13">
      <c r="F65" s="19"/>
      <c r="G65" s="19"/>
      <c r="H65" s="19"/>
      <c r="I65" s="954"/>
      <c r="J65" s="566" t="s">
        <v>295</v>
      </c>
      <c r="K65" s="566">
        <v>12.426190476190476</v>
      </c>
      <c r="L65" s="566">
        <v>3</v>
      </c>
      <c r="M65" s="643">
        <f t="shared" si="1"/>
        <v>9.4261904761904756</v>
      </c>
    </row>
    <row r="66" spans="6:13">
      <c r="F66" s="19"/>
      <c r="G66" s="19"/>
      <c r="H66" s="19"/>
      <c r="I66" s="954"/>
      <c r="J66" s="566" t="s">
        <v>296</v>
      </c>
      <c r="K66" s="566">
        <v>10.382527747941282</v>
      </c>
      <c r="L66" s="566">
        <v>3</v>
      </c>
      <c r="M66" s="643">
        <f t="shared" si="1"/>
        <v>7.3825277479412819</v>
      </c>
    </row>
    <row r="67" spans="6:13">
      <c r="F67" s="19"/>
      <c r="G67" s="19"/>
      <c r="H67" s="19"/>
      <c r="I67" s="954"/>
      <c r="J67" s="566" t="s">
        <v>297</v>
      </c>
      <c r="K67" s="566">
        <v>0.9813511727783284</v>
      </c>
      <c r="L67" s="566">
        <v>3</v>
      </c>
      <c r="M67" s="643">
        <f t="shared" si="1"/>
        <v>-2.0186488272216714</v>
      </c>
    </row>
    <row r="68" spans="6:13">
      <c r="I68" s="954"/>
      <c r="J68" s="566" t="s">
        <v>298</v>
      </c>
      <c r="K68" s="566">
        <v>0.97826086956521741</v>
      </c>
      <c r="L68" s="566">
        <v>3</v>
      </c>
      <c r="M68" s="643">
        <f t="shared" si="1"/>
        <v>-2.0217391304347827</v>
      </c>
    </row>
    <row r="69" spans="6:13">
      <c r="I69" s="954"/>
      <c r="J69" s="566" t="s">
        <v>299</v>
      </c>
      <c r="K69" s="566">
        <v>8.355777777777778</v>
      </c>
      <c r="L69" s="566">
        <v>3</v>
      </c>
      <c r="M69" s="643">
        <f t="shared" ref="M69:M71" si="4">K69-L69</f>
        <v>5.355777777777778</v>
      </c>
    </row>
    <row r="70" spans="6:13">
      <c r="I70" s="954"/>
      <c r="J70" s="566" t="s">
        <v>300</v>
      </c>
      <c r="K70" s="566">
        <v>7.5551436515291934</v>
      </c>
      <c r="L70" s="566">
        <v>3</v>
      </c>
      <c r="M70" s="643">
        <f t="shared" si="4"/>
        <v>4.5551436515291934</v>
      </c>
    </row>
    <row r="71" spans="6:13">
      <c r="I71" s="954"/>
      <c r="J71" s="566" t="s">
        <v>301</v>
      </c>
      <c r="K71" s="567">
        <v>35.170329670329672</v>
      </c>
      <c r="L71" s="567">
        <v>3</v>
      </c>
      <c r="M71" s="644">
        <f t="shared" si="4"/>
        <v>32.170329670329672</v>
      </c>
    </row>
    <row r="72" spans="6:13">
      <c r="I72" s="955"/>
      <c r="J72" s="645" t="s">
        <v>390</v>
      </c>
      <c r="K72" s="646">
        <v>4</v>
      </c>
      <c r="L72" s="646">
        <v>3</v>
      </c>
      <c r="M72" s="647">
        <f t="shared" si="1"/>
        <v>1</v>
      </c>
    </row>
  </sheetData>
  <mergeCells count="24">
    <mergeCell ref="B2:M2"/>
    <mergeCell ref="C4:D4"/>
    <mergeCell ref="E3:J3"/>
    <mergeCell ref="K3:L3"/>
    <mergeCell ref="E10:F10"/>
    <mergeCell ref="C8:F8"/>
    <mergeCell ref="B7:F7"/>
    <mergeCell ref="D10:D11"/>
    <mergeCell ref="C3:D3"/>
    <mergeCell ref="E4:J4"/>
    <mergeCell ref="K4:L4"/>
    <mergeCell ref="J8:M8"/>
    <mergeCell ref="D5:K5"/>
    <mergeCell ref="I54:I72"/>
    <mergeCell ref="I32:I53"/>
    <mergeCell ref="C29:F30"/>
    <mergeCell ref="B29:B30"/>
    <mergeCell ref="J19:M19"/>
    <mergeCell ref="B28:F28"/>
    <mergeCell ref="I28:M28"/>
    <mergeCell ref="B40:E40"/>
    <mergeCell ref="J29:M29"/>
    <mergeCell ref="J30:M30"/>
    <mergeCell ref="C19:F19"/>
  </mergeCells>
  <phoneticPr fontId="30" type="noConversion"/>
  <conditionalFormatting sqref="D15:D16">
    <cfRule type="cellIs" dxfId="62" priority="1" stopIfTrue="1" operator="greaterThan">
      <formula>0</formula>
    </cfRule>
  </conditionalFormatting>
  <conditionalFormatting sqref="E15:E16">
    <cfRule type="cellIs" dxfId="61" priority="2" stopIfTrue="1" operator="greaterThan">
      <formula>0</formula>
    </cfRule>
  </conditionalFormatting>
  <conditionalFormatting sqref="F15:H16">
    <cfRule type="cellIs" dxfId="60" priority="3" stopIfTrue="1" operator="greaterThan">
      <formula>0</formula>
    </cfRule>
  </conditionalFormatting>
  <conditionalFormatting sqref="C4:D4">
    <cfRule type="cellIs" dxfId="59" priority="4" stopIfTrue="1" operator="equal">
      <formula>"C"</formula>
    </cfRule>
    <cfRule type="cellIs" dxfId="58" priority="5" stopIfTrue="1" operator="equal">
      <formula>"B2"</formula>
    </cfRule>
    <cfRule type="cellIs" dxfId="57" priority="6" stopIfTrue="1" operator="equal">
      <formula>"B1"</formula>
    </cfRule>
  </conditionalFormatting>
  <dataValidations count="2">
    <dataValidation type="list" allowBlank="1" showInputMessage="1" showErrorMessage="1" sqref="J54:J71">
      <formula1>мва</formula1>
    </dataValidation>
    <dataValidation type="list" allowBlank="1" showInputMessage="1" showErrorMessage="1" sqref="J43:J49">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2"/>
  <sheetViews>
    <sheetView showGridLines="0" topLeftCell="A57" zoomScale="85" zoomScaleNormal="85" workbookViewId="0">
      <selection activeCell="L34" sqref="L34:Q34"/>
    </sheetView>
  </sheetViews>
  <sheetFormatPr defaultColWidth="11" defaultRowHeight="15"/>
  <cols>
    <col min="1" max="1" width="3.42578125" customWidth="1"/>
    <col min="2" max="2" width="11.28515625" customWidth="1"/>
    <col min="3" max="3" width="16.140625" customWidth="1"/>
    <col min="4" max="4" width="26.140625" customWidth="1"/>
    <col min="5" max="5" width="14.42578125" customWidth="1"/>
    <col min="6" max="6" width="20.7109375" customWidth="1"/>
    <col min="7" max="7" width="5.7109375" customWidth="1"/>
    <col min="8" max="8" width="6.28515625" customWidth="1"/>
    <col min="9" max="9" width="6" customWidth="1"/>
    <col min="10" max="10" width="5.5703125" customWidth="1"/>
    <col min="11" max="11" width="21.5703125" customWidth="1"/>
    <col min="12" max="12" width="12" customWidth="1"/>
    <col min="13" max="13" width="5" customWidth="1"/>
    <col min="14" max="14" width="6.5703125" customWidth="1"/>
    <col min="15" max="15" width="4.140625" customWidth="1"/>
    <col min="16" max="16" width="10.7109375" customWidth="1"/>
    <col min="17" max="17" width="39.5703125" customWidth="1"/>
    <col min="18" max="18" width="87.28515625" customWidth="1"/>
    <col min="19" max="19" width="21.42578125" customWidth="1"/>
  </cols>
  <sheetData>
    <row r="1" spans="1:35" ht="26.25" customHeight="1">
      <c r="A1" s="3"/>
      <c r="B1" s="3"/>
      <c r="C1" s="3"/>
      <c r="D1" s="3"/>
      <c r="E1" s="3"/>
      <c r="F1" s="3"/>
      <c r="G1" s="3"/>
      <c r="H1" s="3"/>
      <c r="I1" s="3"/>
      <c r="J1" s="3"/>
      <c r="K1" s="3"/>
      <c r="L1" s="3"/>
      <c r="M1" s="3"/>
      <c r="N1" s="3"/>
      <c r="O1" s="3"/>
      <c r="P1" s="3"/>
    </row>
    <row r="2" spans="1:35" ht="21.75" customHeight="1">
      <c r="A2" s="3"/>
      <c r="B2" s="975" t="str">
        <f>+"Панель показателей:  "&amp;"  "&amp;IF(+'Ввод данных'!B4="Выберите","",'Ввод данных'!B4&amp;" - ")&amp;IF('Ввод данных'!F6="Выберите","",'Ввод данных'!F6)</f>
        <v>Панель показателей:    Кыргызстан - ВИЧ/СПИД/ТБ</v>
      </c>
      <c r="C2" s="975"/>
      <c r="D2" s="975"/>
      <c r="E2" s="975"/>
      <c r="F2" s="975"/>
      <c r="G2" s="975"/>
      <c r="H2" s="975"/>
      <c r="I2" s="975"/>
      <c r="J2" s="975"/>
      <c r="K2" s="975"/>
      <c r="L2" s="975"/>
      <c r="M2" s="975"/>
      <c r="N2" s="975"/>
      <c r="O2" s="975"/>
      <c r="P2" s="975"/>
      <c r="Q2" s="975"/>
    </row>
    <row r="3" spans="1:35" ht="18.75">
      <c r="A3" s="3"/>
      <c r="B3" s="628">
        <f>+IF('Ввод данных'!F8="Выберите","",'Ввод данных'!F8)</f>
        <v>0</v>
      </c>
      <c r="C3" s="945">
        <f>+IF('Ввод данных'!H8="Выберите","",'Ввод данных'!H8)</f>
        <v>0</v>
      </c>
      <c r="D3" s="945"/>
      <c r="E3" s="944"/>
      <c r="F3" s="944"/>
      <c r="G3" s="944"/>
      <c r="H3" s="944"/>
      <c r="I3" s="977"/>
      <c r="J3" s="977"/>
      <c r="K3" s="977"/>
      <c r="L3" s="3"/>
      <c r="M3" s="3"/>
      <c r="O3" s="942" t="str">
        <f>+'Ввод данных'!A16</f>
        <v>Отчетный период</v>
      </c>
      <c r="P3" s="942"/>
      <c r="Q3" s="170" t="str">
        <f>+'Ввод данных'!B16</f>
        <v>P2</v>
      </c>
    </row>
    <row r="4" spans="1:35" ht="23.25">
      <c r="A4" s="3"/>
      <c r="B4" s="323" t="str">
        <f>+'Ввод данных'!A12</f>
        <v>Последняя оценка:</v>
      </c>
      <c r="C4" s="978" t="str">
        <f>+IF('Ввод данных'!B12="Выберите","",'Ввод данных'!B12)</f>
        <v>A1</v>
      </c>
      <c r="D4" s="978"/>
      <c r="E4" s="944" t="str">
        <f>+'Ввод данных'!B8</f>
        <v>ПРООН</v>
      </c>
      <c r="F4" s="944"/>
      <c r="G4" s="944"/>
      <c r="H4" s="944"/>
      <c r="I4" s="944"/>
      <c r="J4" s="944"/>
      <c r="K4" s="944"/>
      <c r="L4" s="944"/>
      <c r="M4" s="3"/>
      <c r="O4" s="250"/>
      <c r="P4" s="628" t="str">
        <f>+'Ввод данных'!C16</f>
        <v>с:</v>
      </c>
      <c r="Q4" s="251">
        <f>+IF(ISBLANK('Ввод данных'!D16),"",'Ввод данных'!D16)</f>
        <v>43466</v>
      </c>
      <c r="Y4" s="67"/>
      <c r="Z4" s="67"/>
      <c r="AA4" s="67"/>
      <c r="AB4" s="67"/>
      <c r="AC4" s="67"/>
    </row>
    <row r="5" spans="1:35" ht="15.75" customHeight="1">
      <c r="A5" s="3"/>
      <c r="B5" s="628"/>
      <c r="C5" s="628"/>
      <c r="D5" s="944" t="str">
        <f>+'Ввод данных'!F4</f>
        <v>«Эффективный контроль за ВИЧ-инфекцией и туберкулезом в Кыргызской Республике»</v>
      </c>
      <c r="E5" s="944"/>
      <c r="F5" s="944"/>
      <c r="G5" s="944"/>
      <c r="H5" s="944"/>
      <c r="I5" s="944"/>
      <c r="J5" s="944"/>
      <c r="K5" s="944"/>
      <c r="L5" s="944"/>
      <c r="M5" s="944"/>
      <c r="N5" s="944"/>
      <c r="P5" s="628" t="str">
        <f>+'Ввод данных'!E16</f>
        <v>до:</v>
      </c>
      <c r="Q5" s="251">
        <f>+IF(ISBLANK('Ввод данных'!F16),"",'Ввод данных'!F16)</f>
        <v>43646</v>
      </c>
      <c r="S5" s="189"/>
      <c r="T5" s="189"/>
      <c r="U5" s="189"/>
      <c r="V5" s="189"/>
      <c r="W5" s="189"/>
      <c r="X5" s="189"/>
      <c r="Y5" s="67"/>
      <c r="Z5" s="67"/>
      <c r="AA5" s="67" t="s">
        <v>391</v>
      </c>
      <c r="AB5" s="67"/>
      <c r="AC5" s="67" t="s">
        <v>392</v>
      </c>
      <c r="AD5" s="189"/>
      <c r="AE5" s="189"/>
      <c r="AF5" s="189"/>
      <c r="AG5" s="189"/>
      <c r="AH5" s="189"/>
      <c r="AI5" s="189"/>
    </row>
    <row r="6" spans="1:35" ht="15.75" customHeight="1">
      <c r="A6" s="3"/>
      <c r="B6" s="628"/>
      <c r="C6" s="628"/>
      <c r="D6" s="630"/>
      <c r="E6" s="979" t="s">
        <v>393</v>
      </c>
      <c r="F6" s="980"/>
      <c r="G6" s="980"/>
      <c r="H6" s="980"/>
      <c r="I6" s="980"/>
      <c r="J6" s="980"/>
      <c r="K6" s="980"/>
      <c r="L6" s="980"/>
      <c r="M6" s="3"/>
      <c r="N6" s="3"/>
      <c r="O6" s="172"/>
      <c r="P6" s="445"/>
      <c r="S6" s="189"/>
      <c r="T6" s="189"/>
      <c r="U6" s="189"/>
      <c r="V6" s="189"/>
      <c r="W6" s="189"/>
      <c r="X6" s="189"/>
      <c r="Y6" s="67"/>
      <c r="Z6" s="67"/>
      <c r="AA6" s="67"/>
      <c r="AB6" s="67"/>
      <c r="AC6" s="67"/>
      <c r="AD6" s="189"/>
      <c r="AE6" s="189"/>
      <c r="AF6" s="189"/>
      <c r="AG6" s="189"/>
      <c r="AH6" s="189"/>
      <c r="AI6" s="189"/>
    </row>
    <row r="7" spans="1:35" ht="3" customHeight="1">
      <c r="A7" s="3"/>
      <c r="B7" s="628"/>
      <c r="C7" s="628"/>
      <c r="D7" s="630"/>
      <c r="E7" s="630"/>
      <c r="F7" s="630"/>
      <c r="G7" s="630"/>
      <c r="H7" s="630"/>
      <c r="I7" s="630"/>
      <c r="J7" s="630"/>
      <c r="K7" s="630"/>
      <c r="L7" s="630"/>
      <c r="M7" s="3"/>
      <c r="N7" s="3"/>
      <c r="O7" s="172"/>
      <c r="P7" s="171"/>
      <c r="Q7" s="171"/>
      <c r="S7" s="189"/>
      <c r="T7" s="189"/>
      <c r="U7" s="189"/>
      <c r="V7" s="189"/>
      <c r="W7" s="189"/>
      <c r="X7" s="189"/>
      <c r="Y7" s="67"/>
      <c r="Z7" s="67"/>
      <c r="AA7" s="67"/>
      <c r="AB7" s="67"/>
      <c r="AC7" s="67"/>
      <c r="AD7" s="189"/>
      <c r="AE7" s="189"/>
      <c r="AF7" s="189"/>
      <c r="AG7" s="189"/>
      <c r="AH7" s="189"/>
      <c r="AI7" s="189"/>
    </row>
    <row r="8" spans="1:35" ht="30.75" customHeight="1" thickBot="1">
      <c r="A8" s="3"/>
      <c r="B8" s="981" t="s">
        <v>394</v>
      </c>
      <c r="C8" s="981"/>
      <c r="D8" s="981"/>
      <c r="E8" s="981"/>
      <c r="F8" s="981" t="s">
        <v>45</v>
      </c>
      <c r="G8" s="981"/>
      <c r="H8" s="981"/>
      <c r="I8" s="981"/>
      <c r="J8" s="981"/>
      <c r="K8" s="981"/>
      <c r="L8" s="981" t="s">
        <v>310</v>
      </c>
      <c r="M8" s="981"/>
      <c r="N8" s="981"/>
      <c r="O8" s="981"/>
      <c r="P8" s="981"/>
      <c r="Q8" s="981"/>
      <c r="S8" s="189"/>
      <c r="T8" s="189"/>
      <c r="U8" s="189"/>
      <c r="V8" s="189"/>
      <c r="W8" s="189"/>
      <c r="X8" s="189"/>
      <c r="Y8" s="67"/>
      <c r="Z8" s="67"/>
      <c r="AA8" s="67"/>
      <c r="AB8" s="67"/>
      <c r="AC8" s="67"/>
      <c r="AD8" s="189"/>
      <c r="AE8" s="189"/>
      <c r="AF8" s="189"/>
      <c r="AG8" s="189"/>
      <c r="AH8" s="189"/>
      <c r="AI8" s="189"/>
    </row>
    <row r="9" spans="1:35" ht="91.5" customHeight="1" thickBot="1">
      <c r="A9" s="3"/>
      <c r="B9" s="491" t="s">
        <v>395</v>
      </c>
      <c r="C9" s="982" t="s">
        <v>396</v>
      </c>
      <c r="D9" s="983"/>
      <c r="E9" s="984"/>
      <c r="F9" s="492" t="s">
        <v>395</v>
      </c>
      <c r="G9" s="982" t="s">
        <v>397</v>
      </c>
      <c r="H9" s="983"/>
      <c r="I9" s="983"/>
      <c r="J9" s="983"/>
      <c r="K9" s="984"/>
      <c r="L9" s="492" t="s">
        <v>395</v>
      </c>
      <c r="M9" s="982" t="s">
        <v>398</v>
      </c>
      <c r="N9" s="983"/>
      <c r="O9" s="983"/>
      <c r="P9" s="983"/>
      <c r="Q9" s="984"/>
      <c r="S9" s="495"/>
      <c r="T9" s="189"/>
      <c r="U9" s="189"/>
      <c r="V9" s="189"/>
      <c r="W9" s="189"/>
      <c r="X9" s="189"/>
      <c r="Y9" s="189"/>
      <c r="Z9" s="189"/>
      <c r="AA9" s="189"/>
      <c r="AB9" s="189"/>
      <c r="AC9" s="189"/>
      <c r="AD9" s="189"/>
      <c r="AE9" s="189"/>
      <c r="AF9" s="189"/>
      <c r="AG9" s="189"/>
      <c r="AH9" s="189"/>
      <c r="AI9" s="189"/>
    </row>
    <row r="10" spans="1:35" ht="18.75" customHeight="1">
      <c r="A10" s="3"/>
      <c r="B10" s="628"/>
      <c r="C10" s="628"/>
      <c r="D10" s="630"/>
      <c r="E10" s="630"/>
      <c r="F10" s="630"/>
      <c r="G10" s="630"/>
      <c r="H10" s="630"/>
      <c r="I10" s="630"/>
      <c r="J10" s="630"/>
      <c r="K10" s="630"/>
      <c r="L10" s="630"/>
      <c r="M10" s="3"/>
      <c r="N10" s="3"/>
      <c r="O10" s="172"/>
      <c r="P10" s="171"/>
      <c r="S10" s="189"/>
      <c r="T10" s="189"/>
      <c r="U10" s="189"/>
      <c r="V10" s="189"/>
      <c r="W10" s="189"/>
      <c r="X10" s="189"/>
      <c r="Y10" s="189"/>
      <c r="Z10" s="189"/>
      <c r="AA10" s="189"/>
      <c r="AB10" s="189"/>
      <c r="AC10" s="189"/>
      <c r="AD10" s="189"/>
      <c r="AE10" s="189"/>
      <c r="AF10" s="189"/>
      <c r="AG10" s="189"/>
      <c r="AH10" s="189"/>
      <c r="AI10" s="189"/>
    </row>
    <row r="11" spans="1:35" ht="18.75" customHeight="1">
      <c r="A11" s="3"/>
      <c r="B11" s="628"/>
      <c r="C11" s="628"/>
      <c r="D11" s="630"/>
      <c r="E11" s="630"/>
      <c r="F11" s="630"/>
      <c r="G11" s="630"/>
      <c r="H11" s="630"/>
      <c r="I11" s="630"/>
      <c r="J11" s="630"/>
      <c r="K11" s="630"/>
      <c r="L11" s="630"/>
      <c r="M11" s="3"/>
      <c r="N11" s="3"/>
      <c r="O11" s="172"/>
      <c r="P11" s="171"/>
      <c r="S11" s="189"/>
      <c r="T11" s="189"/>
      <c r="U11" s="189"/>
      <c r="V11" s="189"/>
      <c r="W11" s="189"/>
      <c r="X11" s="189"/>
      <c r="Y11" s="189"/>
      <c r="Z11" s="189"/>
      <c r="AA11" s="189"/>
      <c r="AB11" s="189"/>
      <c r="AC11" s="189"/>
      <c r="AD11" s="189"/>
      <c r="AE11" s="189"/>
      <c r="AF11" s="189"/>
      <c r="AG11" s="189"/>
      <c r="AH11" s="189"/>
      <c r="AI11" s="189"/>
    </row>
    <row r="12" spans="1:35" ht="18.75" customHeight="1">
      <c r="A12" s="3"/>
      <c r="B12" s="628"/>
      <c r="C12" s="628"/>
      <c r="D12" s="630"/>
      <c r="E12" s="630"/>
      <c r="F12" s="630"/>
      <c r="G12" s="630"/>
      <c r="H12" s="630"/>
      <c r="I12" s="630"/>
      <c r="J12" s="630"/>
      <c r="K12" s="630"/>
      <c r="L12" s="630"/>
      <c r="M12" s="3"/>
      <c r="N12" s="3"/>
      <c r="O12" s="172"/>
      <c r="P12" s="171"/>
      <c r="S12" s="189"/>
      <c r="T12" s="189"/>
      <c r="U12" s="189"/>
      <c r="V12" s="189"/>
      <c r="W12" s="189"/>
      <c r="X12" s="189"/>
      <c r="Y12" s="189"/>
      <c r="Z12" s="189"/>
      <c r="AA12" s="189"/>
      <c r="AB12" s="189"/>
      <c r="AC12" s="189"/>
      <c r="AD12" s="189"/>
      <c r="AE12" s="189"/>
      <c r="AF12" s="189"/>
      <c r="AG12" s="189"/>
      <c r="AH12" s="189"/>
      <c r="AI12" s="189"/>
    </row>
    <row r="13" spans="1:35" ht="18.75" customHeight="1">
      <c r="A13" s="3"/>
      <c r="B13" s="628"/>
      <c r="C13" s="628"/>
      <c r="D13" s="630"/>
      <c r="E13" s="630"/>
      <c r="F13" s="630"/>
      <c r="G13" s="630"/>
      <c r="H13" s="630"/>
      <c r="I13" s="630"/>
      <c r="J13" s="630"/>
      <c r="K13" s="630"/>
      <c r="L13" s="630"/>
      <c r="M13" s="3"/>
      <c r="N13" s="3"/>
      <c r="O13" s="172"/>
      <c r="P13" s="171"/>
      <c r="S13" s="189"/>
      <c r="T13" s="189"/>
      <c r="U13" s="189"/>
      <c r="V13" s="189"/>
      <c r="W13" s="189"/>
      <c r="X13" s="189"/>
      <c r="Y13" s="189"/>
      <c r="Z13" s="189"/>
      <c r="AA13" s="189"/>
      <c r="AB13" s="189"/>
      <c r="AC13" s="189"/>
      <c r="AD13" s="189"/>
      <c r="AE13" s="189"/>
      <c r="AF13" s="189"/>
      <c r="AG13" s="189"/>
      <c r="AH13" s="189"/>
      <c r="AI13" s="189"/>
    </row>
    <row r="14" spans="1:35" ht="18.75" customHeight="1">
      <c r="A14" s="3"/>
      <c r="B14" s="628"/>
      <c r="C14" s="628"/>
      <c r="D14" s="630"/>
      <c r="E14" s="630"/>
      <c r="F14" s="630"/>
      <c r="G14" s="630"/>
      <c r="H14" s="630"/>
      <c r="I14" s="630"/>
      <c r="J14" s="630"/>
      <c r="K14" s="630"/>
      <c r="L14" s="630"/>
      <c r="M14" s="3"/>
      <c r="N14" s="3"/>
      <c r="O14" s="172"/>
      <c r="P14" s="171"/>
      <c r="S14" s="189"/>
      <c r="T14" s="189"/>
      <c r="U14" s="189"/>
      <c r="V14" s="189"/>
      <c r="W14" s="189"/>
      <c r="X14" s="189"/>
      <c r="Y14" s="189"/>
      <c r="Z14" s="189"/>
      <c r="AA14" s="189"/>
      <c r="AB14" s="189"/>
      <c r="AC14" s="189"/>
      <c r="AD14" s="189"/>
      <c r="AE14" s="189"/>
      <c r="AF14" s="189"/>
      <c r="AG14" s="189"/>
      <c r="AH14" s="189"/>
      <c r="AI14" s="189"/>
    </row>
    <row r="15" spans="1:35" ht="18.75" customHeight="1">
      <c r="A15" s="3"/>
      <c r="B15" s="628"/>
      <c r="C15" s="628"/>
      <c r="D15" s="630"/>
      <c r="E15" s="630"/>
      <c r="F15" s="630"/>
      <c r="G15" s="630"/>
      <c r="H15" s="630"/>
      <c r="I15" s="630"/>
      <c r="J15" s="630"/>
      <c r="K15" s="630"/>
      <c r="L15" s="630"/>
      <c r="M15" s="3"/>
      <c r="N15" s="3"/>
      <c r="O15" s="172"/>
      <c r="P15" s="171"/>
      <c r="S15" s="189"/>
      <c r="T15" s="189"/>
      <c r="U15" s="189"/>
      <c r="V15" s="189"/>
      <c r="W15" s="189"/>
      <c r="X15" s="189"/>
      <c r="Y15" s="189"/>
      <c r="Z15" s="189"/>
      <c r="AA15" s="189"/>
      <c r="AB15" s="189"/>
      <c r="AC15" s="189"/>
      <c r="AD15" s="189"/>
      <c r="AE15" s="189"/>
      <c r="AF15" s="189"/>
      <c r="AG15" s="189"/>
      <c r="AH15" s="189"/>
      <c r="AI15" s="189"/>
    </row>
    <row r="16" spans="1:35" ht="18.75" customHeight="1">
      <c r="A16" s="3"/>
      <c r="B16" s="628"/>
      <c r="C16" s="628"/>
      <c r="D16" s="630"/>
      <c r="E16" s="630"/>
      <c r="F16" s="630"/>
      <c r="G16" s="630"/>
      <c r="H16" s="630"/>
      <c r="I16" s="630"/>
      <c r="J16" s="630"/>
      <c r="K16" s="630"/>
      <c r="L16" s="630"/>
      <c r="M16" s="3"/>
      <c r="N16" s="3"/>
      <c r="O16" s="172"/>
      <c r="P16" s="171"/>
      <c r="S16" s="189"/>
      <c r="T16" s="189"/>
      <c r="U16" s="189"/>
      <c r="V16" s="189"/>
      <c r="W16" s="189"/>
      <c r="X16" s="189"/>
      <c r="Y16" s="189"/>
      <c r="Z16" s="189"/>
      <c r="AA16" s="189"/>
      <c r="AB16" s="189"/>
      <c r="AC16" s="189"/>
      <c r="AD16" s="189"/>
      <c r="AE16" s="189"/>
      <c r="AF16" s="189"/>
      <c r="AG16" s="189"/>
      <c r="AH16" s="189"/>
      <c r="AI16" s="189"/>
    </row>
    <row r="17" spans="1:35" ht="18.75" customHeight="1">
      <c r="A17" s="3"/>
      <c r="B17" s="628"/>
      <c r="C17" s="628"/>
      <c r="D17" s="630"/>
      <c r="E17" s="630"/>
      <c r="F17" s="630"/>
      <c r="G17" s="630"/>
      <c r="H17" s="630"/>
      <c r="I17" s="630"/>
      <c r="J17" s="630"/>
      <c r="K17" s="630"/>
      <c r="L17" s="630"/>
      <c r="M17" s="3"/>
      <c r="N17" s="3"/>
      <c r="O17" s="172"/>
      <c r="P17" s="171"/>
      <c r="S17" s="189"/>
      <c r="T17" s="189"/>
      <c r="U17" s="189"/>
      <c r="V17" s="189"/>
      <c r="W17" s="189"/>
      <c r="X17" s="189"/>
      <c r="Y17" s="189"/>
      <c r="Z17" s="189"/>
      <c r="AA17" s="189"/>
      <c r="AB17" s="189"/>
      <c r="AC17" s="189"/>
      <c r="AD17" s="189"/>
      <c r="AE17" s="189"/>
      <c r="AF17" s="189"/>
      <c r="AG17" s="189"/>
      <c r="AH17" s="189"/>
      <c r="AI17" s="189"/>
    </row>
    <row r="18" spans="1:35" ht="18.75" customHeight="1">
      <c r="A18" s="3"/>
      <c r="B18" s="628"/>
      <c r="C18" s="628"/>
      <c r="D18" s="630"/>
      <c r="E18" s="630"/>
      <c r="F18" s="630"/>
      <c r="G18" s="630"/>
      <c r="H18" s="630"/>
      <c r="I18" s="630"/>
      <c r="J18" s="630"/>
      <c r="K18" s="630"/>
      <c r="L18" s="630"/>
      <c r="M18" s="3"/>
      <c r="N18" s="3"/>
      <c r="O18" s="172"/>
      <c r="P18" s="171"/>
      <c r="S18" s="189"/>
      <c r="T18" s="189"/>
      <c r="U18" s="189"/>
      <c r="V18" s="189"/>
      <c r="W18" s="189"/>
      <c r="X18" s="189"/>
      <c r="Y18" s="189"/>
      <c r="Z18" s="189"/>
      <c r="AA18" s="189"/>
      <c r="AB18" s="189"/>
      <c r="AC18" s="189"/>
      <c r="AD18" s="189"/>
      <c r="AE18" s="189"/>
      <c r="AF18" s="189"/>
      <c r="AG18" s="189"/>
      <c r="AH18" s="189"/>
      <c r="AI18" s="189"/>
    </row>
    <row r="19" spans="1:35" ht="17.25" customHeight="1">
      <c r="A19" s="3"/>
      <c r="B19" s="628"/>
      <c r="C19" s="628"/>
      <c r="D19" s="630"/>
      <c r="E19" s="630"/>
      <c r="F19" s="630"/>
      <c r="G19" s="630"/>
      <c r="H19" s="630"/>
      <c r="I19" s="630"/>
      <c r="J19" s="630"/>
      <c r="K19" s="630"/>
      <c r="L19" s="630"/>
      <c r="M19" s="3"/>
      <c r="N19" s="3"/>
      <c r="O19" s="172"/>
      <c r="P19" s="171"/>
      <c r="S19" s="189"/>
      <c r="T19" s="189"/>
      <c r="U19" s="189"/>
      <c r="V19" s="189"/>
      <c r="W19" s="189"/>
      <c r="X19" s="189"/>
      <c r="Y19" s="189"/>
      <c r="Z19" s="189"/>
      <c r="AA19" s="189"/>
      <c r="AB19" s="189"/>
      <c r="AC19" s="189"/>
      <c r="AD19" s="189"/>
      <c r="AE19" s="189"/>
      <c r="AF19" s="189"/>
      <c r="AG19" s="189"/>
      <c r="AH19" s="189"/>
      <c r="AI19" s="189"/>
    </row>
    <row r="20" spans="1:35" ht="6" customHeight="1">
      <c r="A20" s="3"/>
      <c r="B20" s="110"/>
      <c r="C20" s="628"/>
      <c r="D20" s="108"/>
      <c r="E20" s="985"/>
      <c r="F20" s="985"/>
      <c r="G20" s="985"/>
      <c r="H20" s="985"/>
      <c r="I20" s="985"/>
      <c r="J20" s="985"/>
      <c r="K20" s="985"/>
      <c r="L20" s="3"/>
      <c r="M20" s="3"/>
      <c r="N20" s="3"/>
      <c r="O20" s="3"/>
      <c r="P20" s="3"/>
      <c r="S20" s="189"/>
      <c r="T20" s="189"/>
      <c r="U20" s="189"/>
      <c r="V20" s="189"/>
      <c r="W20" s="189"/>
      <c r="X20" s="189"/>
      <c r="Y20" s="189"/>
      <c r="Z20" s="189"/>
      <c r="AA20" s="189"/>
      <c r="AB20" s="189"/>
      <c r="AC20" s="189"/>
      <c r="AD20" s="189"/>
      <c r="AE20" s="189"/>
      <c r="AF20" s="189"/>
      <c r="AG20" s="189"/>
      <c r="AH20" s="189"/>
      <c r="AI20" s="189"/>
    </row>
    <row r="21" spans="1:35" ht="45" customHeight="1">
      <c r="A21" s="3"/>
      <c r="B21" s="989" t="s">
        <v>399</v>
      </c>
      <c r="C21" s="989"/>
      <c r="D21" s="989"/>
      <c r="E21" s="638" t="s">
        <v>308</v>
      </c>
      <c r="F21" s="638" t="s">
        <v>347</v>
      </c>
      <c r="G21" s="1000" t="s">
        <v>400</v>
      </c>
      <c r="H21" s="1001"/>
      <c r="I21" s="1052" t="s">
        <v>401</v>
      </c>
      <c r="J21" s="1053"/>
      <c r="K21" s="446" t="s">
        <v>402</v>
      </c>
      <c r="L21" s="1049" t="s">
        <v>403</v>
      </c>
      <c r="M21" s="1050"/>
      <c r="N21" s="1050"/>
      <c r="O21" s="1050"/>
      <c r="P21" s="1050"/>
      <c r="Q21" s="1051"/>
      <c r="S21" s="61" t="s">
        <v>404</v>
      </c>
      <c r="T21" s="62">
        <v>0</v>
      </c>
      <c r="U21" s="63">
        <v>0.3</v>
      </c>
      <c r="V21" s="63">
        <v>0.6</v>
      </c>
      <c r="W21" s="63">
        <v>0.9</v>
      </c>
      <c r="X21" s="63">
        <v>1</v>
      </c>
      <c r="Y21" s="67"/>
      <c r="Z21" s="67"/>
      <c r="AA21" s="61" t="s">
        <v>404</v>
      </c>
      <c r="AB21" s="62">
        <v>0</v>
      </c>
      <c r="AC21" s="63">
        <v>0.2</v>
      </c>
      <c r="AD21" s="63">
        <v>0.4</v>
      </c>
      <c r="AE21" s="63">
        <v>0.6</v>
      </c>
      <c r="AF21" s="63">
        <v>0.8</v>
      </c>
      <c r="AG21" s="67"/>
      <c r="AH21" s="67"/>
      <c r="AI21" s="67"/>
    </row>
    <row r="22" spans="1:35" ht="97.5" customHeight="1">
      <c r="A22" s="3"/>
      <c r="B22" s="994" t="s">
        <v>394</v>
      </c>
      <c r="C22" s="995"/>
      <c r="D22" s="996"/>
      <c r="E22" s="496" t="s">
        <v>405</v>
      </c>
      <c r="F22" s="496" t="s">
        <v>406</v>
      </c>
      <c r="G22" s="990">
        <v>0.95</v>
      </c>
      <c r="H22" s="991"/>
      <c r="I22" s="991"/>
      <c r="J22" s="991"/>
      <c r="K22" s="992"/>
      <c r="L22" s="1054" t="s">
        <v>396</v>
      </c>
      <c r="M22" s="1055"/>
      <c r="N22" s="1055"/>
      <c r="O22" s="1055"/>
      <c r="P22" s="1055"/>
      <c r="Q22" s="1055"/>
      <c r="S22" s="61" t="s">
        <v>407</v>
      </c>
      <c r="T22" s="64">
        <v>0.3</v>
      </c>
      <c r="U22" s="63">
        <v>0.6</v>
      </c>
      <c r="V22" s="63">
        <v>0.9</v>
      </c>
      <c r="W22" s="63">
        <v>1</v>
      </c>
      <c r="X22" s="63">
        <v>2</v>
      </c>
      <c r="Y22" s="67"/>
      <c r="Z22" s="67"/>
      <c r="AA22" s="61" t="s">
        <v>407</v>
      </c>
      <c r="AB22" s="64">
        <v>0.2</v>
      </c>
      <c r="AC22" s="63">
        <v>0.4</v>
      </c>
      <c r="AD22" s="63">
        <v>0.6</v>
      </c>
      <c r="AE22" s="63">
        <v>0.8</v>
      </c>
      <c r="AF22" s="63">
        <v>1</v>
      </c>
      <c r="AG22" s="67"/>
      <c r="AH22" s="67"/>
      <c r="AI22" s="67"/>
    </row>
    <row r="23" spans="1:35" ht="87" customHeight="1">
      <c r="A23" s="3"/>
      <c r="B23" s="1056" t="s">
        <v>45</v>
      </c>
      <c r="C23" s="1056"/>
      <c r="D23" s="1056"/>
      <c r="E23" s="496" t="s">
        <v>408</v>
      </c>
      <c r="F23" s="496" t="s">
        <v>409</v>
      </c>
      <c r="G23" s="990">
        <v>0.74</v>
      </c>
      <c r="H23" s="991"/>
      <c r="I23" s="991"/>
      <c r="J23" s="991"/>
      <c r="K23" s="992"/>
      <c r="L23" s="1054" t="s">
        <v>397</v>
      </c>
      <c r="M23" s="1055"/>
      <c r="N23" s="1055"/>
      <c r="O23" s="1055"/>
      <c r="P23" s="1055"/>
      <c r="Q23" s="1055"/>
      <c r="S23" s="65"/>
      <c r="T23" s="66" t="str">
        <f>"de "&amp;T21&amp;" a "&amp;T22</f>
        <v>de 0 a 0.3</v>
      </c>
      <c r="U23" s="66" t="str">
        <f>"de "&amp;U21&amp;" a "&amp;U22</f>
        <v>de 0.3 a 0.6</v>
      </c>
      <c r="V23" s="66" t="str">
        <f>"de "&amp;V21&amp;" a "&amp;V22</f>
        <v>de 0.6 a 0.9</v>
      </c>
      <c r="W23" s="66" t="str">
        <f>"de "&amp;W21&amp;" a "&amp;W22</f>
        <v>de 0.9 a 1</v>
      </c>
      <c r="X23" s="66" t="str">
        <f>"de "&amp;X21&amp;" a "&amp;X22</f>
        <v>de 1 a 2</v>
      </c>
      <c r="Y23" s="67"/>
      <c r="Z23" s="67" t="s">
        <v>410</v>
      </c>
      <c r="AA23" s="65" t="s">
        <v>392</v>
      </c>
      <c r="AB23" s="66" t="str">
        <f>"de "&amp;AB21&amp;" a "&amp;AB22</f>
        <v>de 0 a 0.2</v>
      </c>
      <c r="AC23" s="66" t="str">
        <f>"de "&amp;AC21&amp;" a "&amp;AC22</f>
        <v>de 0.2 a 0.4</v>
      </c>
      <c r="AD23" s="66" t="str">
        <f>"de "&amp;AD21&amp;" a "&amp;AD22</f>
        <v>de 0.4 a 0.6</v>
      </c>
      <c r="AE23" s="66" t="str">
        <f>"de "&amp;AE21&amp;" a "&amp;AE22</f>
        <v>de 0.6 a 0.8</v>
      </c>
      <c r="AF23" s="66" t="str">
        <f>"de "&amp;AF21&amp;" a "&amp;AF22</f>
        <v>de 0.8 a 1</v>
      </c>
      <c r="AG23" s="67"/>
      <c r="AH23" s="67"/>
      <c r="AI23" s="67"/>
    </row>
    <row r="24" spans="1:35" ht="87" customHeight="1">
      <c r="A24" s="3"/>
      <c r="B24" s="986" t="s">
        <v>49</v>
      </c>
      <c r="C24" s="987"/>
      <c r="D24" s="988"/>
      <c r="E24" s="450"/>
      <c r="F24" s="450"/>
      <c r="G24" s="1002"/>
      <c r="H24" s="1003"/>
      <c r="I24" s="1003"/>
      <c r="J24" s="1003"/>
      <c r="K24" s="1004"/>
      <c r="L24" s="1005" t="s">
        <v>411</v>
      </c>
      <c r="M24" s="770"/>
      <c r="N24" s="770"/>
      <c r="O24" s="770"/>
      <c r="P24" s="770"/>
      <c r="Q24" s="771"/>
      <c r="S24" s="65"/>
      <c r="T24" s="66"/>
      <c r="U24" s="66"/>
      <c r="V24" s="66"/>
      <c r="W24" s="66"/>
      <c r="X24" s="66"/>
      <c r="Y24" s="67"/>
      <c r="Z24" s="67"/>
      <c r="AA24" s="65"/>
      <c r="AB24" s="66"/>
      <c r="AC24" s="66"/>
      <c r="AD24" s="66"/>
      <c r="AE24" s="66"/>
      <c r="AF24" s="66"/>
      <c r="AG24" s="67"/>
      <c r="AH24" s="67"/>
      <c r="AI24" s="67"/>
    </row>
    <row r="25" spans="1:35" ht="202.5" customHeight="1">
      <c r="A25" s="3"/>
      <c r="B25" s="997" t="s">
        <v>52</v>
      </c>
      <c r="C25" s="998"/>
      <c r="D25" s="999"/>
      <c r="E25" s="447" t="s">
        <v>312</v>
      </c>
      <c r="F25" s="447" t="str">
        <f>'Ввод данных'!$H$175</f>
        <v>Ч:56
З:99
%:56,6</v>
      </c>
      <c r="G25" s="990">
        <v>0.91</v>
      </c>
      <c r="H25" s="991"/>
      <c r="I25" s="991"/>
      <c r="J25" s="991"/>
      <c r="K25" s="992"/>
      <c r="L25" s="993" t="s">
        <v>412</v>
      </c>
      <c r="M25" s="993"/>
      <c r="N25" s="993"/>
      <c r="O25" s="993"/>
      <c r="P25" s="993"/>
      <c r="Q25" s="993"/>
      <c r="R25" s="347"/>
      <c r="S25" s="65"/>
      <c r="T25" s="63" t="e">
        <f>IF($K23&gt;T$21,IF($K23&lt;=T$22,$K23,NA()),NA())</f>
        <v>#N/A</v>
      </c>
      <c r="U25" s="63" t="e">
        <f>IF($K23&gt;U$21,IF($K23&lt;=U$22,$K23,NA()),NA())</f>
        <v>#N/A</v>
      </c>
      <c r="V25" s="63" t="e">
        <f>IF($K23&gt;V$21,IF($K23&lt;=V$22,$K23,NA()),NA())</f>
        <v>#N/A</v>
      </c>
      <c r="W25" s="63" t="e">
        <f>IF($K23&gt;W$21,IF($K23&lt;=W$22,$K23,NA()),NA())</f>
        <v>#N/A</v>
      </c>
      <c r="X25" s="63" t="e">
        <f>IF($K23&gt;X$21,IF($K23&lt;=X$22,1,1),NA())</f>
        <v>#N/A</v>
      </c>
      <c r="Y25" s="67"/>
      <c r="Z25" s="168" t="e">
        <v>#REF!</v>
      </c>
      <c r="AA25" s="63" t="e">
        <f>+IF(Z25="A1",1,IF(Z25="A2",0.8,IF(Z25="B1",0.6,IF(Z25="B2",0.4,0.2))))</f>
        <v>#REF!</v>
      </c>
      <c r="AB25" s="63" t="e">
        <f>IF($AA25&gt;AB$21,IF($AA25&lt;=AB$22,$AA25,NA()),NA())</f>
        <v>#REF!</v>
      </c>
      <c r="AC25" s="63" t="e">
        <f t="shared" ref="AC25:AF26" si="0">IF($AA25&gt;AC$21,IF($AA25&lt;=AC$22,$AA25,NA()),NA())</f>
        <v>#REF!</v>
      </c>
      <c r="AD25" s="63" t="e">
        <f t="shared" si="0"/>
        <v>#REF!</v>
      </c>
      <c r="AE25" s="63" t="e">
        <f t="shared" si="0"/>
        <v>#REF!</v>
      </c>
      <c r="AF25" s="63" t="e">
        <f t="shared" si="0"/>
        <v>#REF!</v>
      </c>
      <c r="AG25" s="67"/>
      <c r="AH25" s="67"/>
      <c r="AI25" s="67"/>
    </row>
    <row r="26" spans="1:35" ht="84.75" customHeight="1">
      <c r="A26" s="3"/>
      <c r="B26" s="994" t="s">
        <v>59</v>
      </c>
      <c r="C26" s="995"/>
      <c r="D26" s="996"/>
      <c r="E26" s="448" t="s">
        <v>316</v>
      </c>
      <c r="F26" s="448" t="s">
        <v>318</v>
      </c>
      <c r="G26" s="990">
        <v>0.89</v>
      </c>
      <c r="H26" s="991"/>
      <c r="I26" s="991"/>
      <c r="J26" s="991"/>
      <c r="K26" s="992"/>
      <c r="L26" s="993" t="s">
        <v>413</v>
      </c>
      <c r="M26" s="993"/>
      <c r="N26" s="993"/>
      <c r="O26" s="993"/>
      <c r="P26" s="993"/>
      <c r="Q26" s="993"/>
      <c r="R26" s="495"/>
      <c r="S26" s="65"/>
      <c r="T26" s="63" t="e">
        <f>IF(#REF!&gt;T$21,IF(#REF!&lt;=T$22,#REF!,NA()),NA())</f>
        <v>#REF!</v>
      </c>
      <c r="U26" s="63" t="e">
        <f>IF(#REF!&gt;U$21,IF(#REF!&lt;=U$22,#REF!,NA()),NA())</f>
        <v>#REF!</v>
      </c>
      <c r="V26" s="63" t="e">
        <f>IF(#REF!&gt;V$21,IF(#REF!&lt;=V$22,#REF!,NA()),NA())</f>
        <v>#REF!</v>
      </c>
      <c r="W26" s="63" t="e">
        <f>IF(#REF!&gt;W$21,IF(#REF!&lt;=W$22,#REF!,NA()),NA())</f>
        <v>#REF!</v>
      </c>
      <c r="X26" s="63" t="e">
        <f>IF(#REF!&gt;X$21,IF(#REF!&lt;=X$22,1,NA()),NA())</f>
        <v>#REF!</v>
      </c>
      <c r="Y26" s="67"/>
      <c r="Z26" s="168" t="e">
        <v>#REF!</v>
      </c>
      <c r="AA26" s="63" t="e">
        <f>+IF(Z26="A1",1,IF(Z26="A2",0.8,IF(Z26="B1",0.6,IF(Z26="B2",0.4,0.2))))</f>
        <v>#REF!</v>
      </c>
      <c r="AB26" s="63" t="e">
        <f>IF($AA26&gt;AB$21,IF($AA26&lt;=AB$22,$AA26,NA()),NA())</f>
        <v>#REF!</v>
      </c>
      <c r="AC26" s="63" t="e">
        <f t="shared" si="0"/>
        <v>#REF!</v>
      </c>
      <c r="AD26" s="63" t="e">
        <f t="shared" si="0"/>
        <v>#REF!</v>
      </c>
      <c r="AE26" s="63" t="e">
        <f t="shared" si="0"/>
        <v>#REF!</v>
      </c>
      <c r="AF26" s="63" t="e">
        <f t="shared" si="0"/>
        <v>#REF!</v>
      </c>
      <c r="AG26" s="67"/>
      <c r="AH26" s="67"/>
      <c r="AI26" s="67"/>
    </row>
    <row r="27" spans="1:35" ht="303" customHeight="1">
      <c r="A27" s="3"/>
      <c r="B27" s="994" t="s">
        <v>63</v>
      </c>
      <c r="C27" s="995"/>
      <c r="D27" s="996"/>
      <c r="E27" s="448" t="s">
        <v>320</v>
      </c>
      <c r="F27" s="448" t="s">
        <v>322</v>
      </c>
      <c r="G27" s="990">
        <v>0.7</v>
      </c>
      <c r="H27" s="991"/>
      <c r="I27" s="991"/>
      <c r="J27" s="991"/>
      <c r="K27" s="992"/>
      <c r="L27" s="993" t="s">
        <v>414</v>
      </c>
      <c r="M27" s="993"/>
      <c r="N27" s="993"/>
      <c r="O27" s="993"/>
      <c r="P27" s="993"/>
      <c r="Q27" s="993"/>
      <c r="R27" s="495"/>
      <c r="S27" s="65"/>
      <c r="T27" s="63"/>
      <c r="U27" s="63"/>
      <c r="V27" s="63"/>
      <c r="W27" s="63"/>
      <c r="X27" s="63"/>
      <c r="Y27" s="67"/>
      <c r="Z27" s="168"/>
      <c r="AA27" s="449"/>
      <c r="AB27" s="449"/>
      <c r="AC27" s="449"/>
      <c r="AD27" s="449"/>
      <c r="AE27" s="449"/>
      <c r="AF27" s="449"/>
      <c r="AG27" s="67"/>
      <c r="AH27" s="67"/>
      <c r="AI27" s="67"/>
    </row>
    <row r="28" spans="1:35" ht="84.75" customHeight="1">
      <c r="A28" s="3"/>
      <c r="B28" s="994" t="s">
        <v>70</v>
      </c>
      <c r="C28" s="995"/>
      <c r="D28" s="996"/>
      <c r="E28" s="448" t="s">
        <v>325</v>
      </c>
      <c r="F28" s="448" t="s">
        <v>327</v>
      </c>
      <c r="G28" s="990">
        <v>1.21</v>
      </c>
      <c r="H28" s="991"/>
      <c r="I28" s="991"/>
      <c r="J28" s="991"/>
      <c r="K28" s="992"/>
      <c r="L28" s="1014" t="s">
        <v>415</v>
      </c>
      <c r="M28" s="1057"/>
      <c r="N28" s="1057"/>
      <c r="O28" s="1057"/>
      <c r="P28" s="1057"/>
      <c r="Q28" s="1058"/>
      <c r="R28" s="495"/>
      <c r="S28" s="65"/>
      <c r="T28" s="63" t="e">
        <f t="shared" ref="T28:W29" si="1">IF($K25&gt;T$21,IF($K25&lt;=T$22,$K25,NA()),NA())</f>
        <v>#N/A</v>
      </c>
      <c r="U28" s="63" t="e">
        <f t="shared" si="1"/>
        <v>#N/A</v>
      </c>
      <c r="V28" s="63" t="e">
        <f t="shared" si="1"/>
        <v>#N/A</v>
      </c>
      <c r="W28" s="63" t="e">
        <f t="shared" si="1"/>
        <v>#N/A</v>
      </c>
      <c r="X28" s="63" t="e">
        <f>IF($K25&gt;X$21,IF($K25&lt;=X$22,1,NA()),NA())</f>
        <v>#N/A</v>
      </c>
      <c r="Y28" s="67"/>
      <c r="Z28" s="67"/>
      <c r="AA28" s="67"/>
      <c r="AB28" s="67"/>
      <c r="AC28" s="67"/>
      <c r="AD28" s="67"/>
      <c r="AE28" s="67"/>
      <c r="AF28" s="67"/>
      <c r="AG28" s="67"/>
      <c r="AH28" s="67"/>
      <c r="AI28" s="67"/>
    </row>
    <row r="29" spans="1:35" ht="77.25" customHeight="1">
      <c r="A29" s="3"/>
      <c r="B29" s="986" t="s">
        <v>56</v>
      </c>
      <c r="C29" s="1006"/>
      <c r="D29" s="1007"/>
      <c r="E29" s="450" t="s">
        <v>329</v>
      </c>
      <c r="F29" s="450" t="s">
        <v>331</v>
      </c>
      <c r="G29" s="1008">
        <v>1.08</v>
      </c>
      <c r="H29" s="1009"/>
      <c r="I29" s="1009"/>
      <c r="J29" s="1009"/>
      <c r="K29" s="1010"/>
      <c r="L29" s="1014" t="s">
        <v>416</v>
      </c>
      <c r="M29" s="1015"/>
      <c r="N29" s="1015"/>
      <c r="O29" s="1015"/>
      <c r="P29" s="1015"/>
      <c r="Q29" s="1016"/>
      <c r="R29" s="495"/>
      <c r="S29" s="65"/>
      <c r="T29" s="63" t="e">
        <f t="shared" si="1"/>
        <v>#N/A</v>
      </c>
      <c r="U29" s="63" t="e">
        <f t="shared" si="1"/>
        <v>#N/A</v>
      </c>
      <c r="V29" s="63" t="e">
        <f t="shared" si="1"/>
        <v>#N/A</v>
      </c>
      <c r="W29" s="63" t="e">
        <f t="shared" si="1"/>
        <v>#N/A</v>
      </c>
      <c r="X29" s="63" t="e">
        <f>IF($K26&gt;X$21,IF($K26&lt;=X$22,1,NA()),NA())</f>
        <v>#N/A</v>
      </c>
      <c r="Y29" s="67"/>
      <c r="Z29" s="67"/>
      <c r="AA29" s="67"/>
      <c r="AB29" s="67"/>
      <c r="AC29" s="67"/>
      <c r="AD29" s="67"/>
      <c r="AE29" s="67"/>
      <c r="AF29" s="67"/>
      <c r="AG29" s="67"/>
      <c r="AH29" s="67"/>
      <c r="AI29" s="67"/>
    </row>
    <row r="30" spans="1:35" ht="57.75" customHeight="1">
      <c r="A30" s="3"/>
      <c r="B30" s="986" t="s">
        <v>67</v>
      </c>
      <c r="C30" s="1006"/>
      <c r="D30" s="1007"/>
      <c r="E30" s="450" t="s">
        <v>333</v>
      </c>
      <c r="F30" s="450" t="s">
        <v>335</v>
      </c>
      <c r="G30" s="1008">
        <v>0.83</v>
      </c>
      <c r="H30" s="1009"/>
      <c r="I30" s="1009"/>
      <c r="J30" s="1009"/>
      <c r="K30" s="1010"/>
      <c r="L30" s="1014" t="s">
        <v>417</v>
      </c>
      <c r="M30" s="1015"/>
      <c r="N30" s="1015"/>
      <c r="O30" s="1015"/>
      <c r="P30" s="1015"/>
      <c r="Q30" s="1016"/>
      <c r="R30" s="495"/>
      <c r="S30" s="65"/>
      <c r="T30" s="63"/>
      <c r="U30" s="63"/>
      <c r="V30" s="63"/>
      <c r="W30" s="63"/>
      <c r="X30" s="63"/>
      <c r="Y30" s="67"/>
      <c r="Z30" s="67"/>
      <c r="AA30" s="67"/>
      <c r="AB30" s="67"/>
      <c r="AC30" s="67"/>
      <c r="AD30" s="67"/>
      <c r="AE30" s="67"/>
      <c r="AF30" s="67"/>
      <c r="AG30" s="67"/>
      <c r="AH30" s="67"/>
      <c r="AI30" s="67"/>
    </row>
    <row r="31" spans="1:35" ht="62.25" customHeight="1">
      <c r="A31" s="3"/>
      <c r="B31" s="986" t="s">
        <v>73</v>
      </c>
      <c r="C31" s="987"/>
      <c r="D31" s="988"/>
      <c r="E31" s="450" t="s">
        <v>337</v>
      </c>
      <c r="F31" s="450" t="s">
        <v>339</v>
      </c>
      <c r="G31" s="1011">
        <v>1.07</v>
      </c>
      <c r="H31" s="1012"/>
      <c r="I31" s="1012"/>
      <c r="J31" s="1012"/>
      <c r="K31" s="1013"/>
      <c r="L31" s="1014" t="s">
        <v>418</v>
      </c>
      <c r="M31" s="1015"/>
      <c r="N31" s="1015"/>
      <c r="O31" s="1015"/>
      <c r="P31" s="1015"/>
      <c r="Q31" s="1016"/>
      <c r="R31" s="495"/>
      <c r="S31" s="65"/>
      <c r="T31" s="63"/>
      <c r="U31" s="63"/>
      <c r="V31" s="63"/>
      <c r="W31" s="63"/>
      <c r="X31" s="63"/>
      <c r="Y31" s="67"/>
      <c r="Z31" s="67"/>
      <c r="AA31" s="67"/>
      <c r="AB31" s="67"/>
      <c r="AC31" s="67"/>
      <c r="AD31" s="67"/>
      <c r="AE31" s="67"/>
      <c r="AF31" s="67"/>
      <c r="AG31" s="67"/>
      <c r="AH31" s="67"/>
      <c r="AI31" s="67"/>
    </row>
    <row r="32" spans="1:35" ht="79.5" customHeight="1">
      <c r="A32" s="3"/>
      <c r="B32" s="986" t="s">
        <v>340</v>
      </c>
      <c r="C32" s="987"/>
      <c r="D32" s="988"/>
      <c r="E32" s="447">
        <v>0.95</v>
      </c>
      <c r="F32" s="447">
        <v>0.96</v>
      </c>
      <c r="G32" s="1002">
        <v>1.01</v>
      </c>
      <c r="H32" s="1003"/>
      <c r="I32" s="1003"/>
      <c r="J32" s="1003"/>
      <c r="K32" s="1004"/>
      <c r="L32" s="1054" t="s">
        <v>419</v>
      </c>
      <c r="M32" s="1055"/>
      <c r="N32" s="1055"/>
      <c r="O32" s="1055"/>
      <c r="P32" s="1055"/>
      <c r="Q32" s="1055"/>
      <c r="R32" s="495"/>
      <c r="S32" s="65"/>
      <c r="T32" s="63" t="e">
        <f t="shared" ref="T32:W33" si="2">IF($K28&gt;T$21,IF($K28&lt;=T$22,$K28,NA()),NA())</f>
        <v>#N/A</v>
      </c>
      <c r="U32" s="63" t="e">
        <f t="shared" si="2"/>
        <v>#N/A</v>
      </c>
      <c r="V32" s="63" t="e">
        <f t="shared" si="2"/>
        <v>#N/A</v>
      </c>
      <c r="W32" s="63" t="e">
        <f t="shared" si="2"/>
        <v>#N/A</v>
      </c>
      <c r="X32" s="63" t="e">
        <f>IF($K28&gt;X$21,IF($K28&lt;=X$22,1,NA()),NA())</f>
        <v>#N/A</v>
      </c>
      <c r="Y32" s="67"/>
      <c r="Z32" s="67"/>
      <c r="AA32" s="67"/>
      <c r="AB32" s="67"/>
      <c r="AC32" s="67"/>
      <c r="AD32" s="67"/>
      <c r="AE32" s="67"/>
      <c r="AF32" s="67"/>
      <c r="AG32" s="67"/>
      <c r="AH32" s="67"/>
      <c r="AI32" s="67"/>
    </row>
    <row r="33" spans="1:35" ht="89.25" customHeight="1">
      <c r="A33" s="3"/>
      <c r="B33" s="986" t="s">
        <v>79</v>
      </c>
      <c r="C33" s="987"/>
      <c r="D33" s="988"/>
      <c r="E33" s="447">
        <v>0.9</v>
      </c>
      <c r="F33" s="447">
        <v>0.92</v>
      </c>
      <c r="G33" s="1002">
        <v>1.03</v>
      </c>
      <c r="H33" s="1003"/>
      <c r="I33" s="1003"/>
      <c r="J33" s="1003"/>
      <c r="K33" s="1004"/>
      <c r="L33" s="1054" t="s">
        <v>420</v>
      </c>
      <c r="M33" s="1055"/>
      <c r="N33" s="1055"/>
      <c r="O33" s="1055"/>
      <c r="P33" s="1055"/>
      <c r="Q33" s="1055"/>
      <c r="R33" s="495"/>
      <c r="S33" s="65"/>
      <c r="T33" s="63" t="e">
        <f t="shared" si="2"/>
        <v>#N/A</v>
      </c>
      <c r="U33" s="63" t="e">
        <f t="shared" si="2"/>
        <v>#N/A</v>
      </c>
      <c r="V33" s="63" t="e">
        <f t="shared" si="2"/>
        <v>#N/A</v>
      </c>
      <c r="W33" s="63" t="e">
        <f t="shared" si="2"/>
        <v>#N/A</v>
      </c>
      <c r="X33" s="63" t="e">
        <f>IF($K29&gt;X$21,IF($K29&lt;=X$22,1,NA()),NA())</f>
        <v>#N/A</v>
      </c>
      <c r="Y33" s="67"/>
      <c r="Z33" s="67"/>
      <c r="AA33" s="67"/>
      <c r="AB33" s="67"/>
      <c r="AC33" s="67"/>
      <c r="AD33" s="67"/>
      <c r="AE33" s="67"/>
      <c r="AF33" s="67"/>
      <c r="AG33" s="67"/>
      <c r="AH33" s="67"/>
      <c r="AI33" s="67"/>
    </row>
    <row r="34" spans="1:35" ht="69.75" customHeight="1">
      <c r="A34" s="3"/>
      <c r="B34" s="986" t="s">
        <v>83</v>
      </c>
      <c r="C34" s="987"/>
      <c r="D34" s="988"/>
      <c r="E34" s="447"/>
      <c r="F34" s="447"/>
      <c r="G34" s="1002"/>
      <c r="H34" s="1003"/>
      <c r="I34" s="1003"/>
      <c r="J34" s="1003"/>
      <c r="K34" s="1004"/>
      <c r="L34" s="1054" t="s">
        <v>421</v>
      </c>
      <c r="M34" s="1055"/>
      <c r="N34" s="1055"/>
      <c r="O34" s="1055"/>
      <c r="P34" s="1055"/>
      <c r="Q34" s="1055"/>
      <c r="R34" s="495"/>
      <c r="S34" s="65"/>
      <c r="T34" s="63" t="e">
        <f>IF(#REF!&gt;T$21,IF(#REF!&lt;=T$22,#REF!,NA()),NA())</f>
        <v>#REF!</v>
      </c>
      <c r="U34" s="63" t="e">
        <f>IF(#REF!&gt;U$21,IF(#REF!&lt;=U$22,#REF!,NA()),NA())</f>
        <v>#REF!</v>
      </c>
      <c r="V34" s="63" t="e">
        <f>IF(#REF!&gt;V$21,IF(#REF!&lt;=V$22,#REF!,NA()),NA())</f>
        <v>#REF!</v>
      </c>
      <c r="W34" s="63" t="e">
        <f>IF(#REF!&gt;W$21,IF(#REF!&lt;=W$22,#REF!,NA()),NA())</f>
        <v>#REF!</v>
      </c>
      <c r="X34" s="63" t="e">
        <f>IF(#REF!&gt;X$21,IF(#REF!&lt;=X$22,1,NA()),NA())</f>
        <v>#REF!</v>
      </c>
      <c r="Y34" s="67"/>
      <c r="Z34" s="67"/>
      <c r="AA34" s="67"/>
      <c r="AB34" s="67"/>
      <c r="AC34" s="67"/>
      <c r="AD34" s="67"/>
      <c r="AE34" s="67"/>
      <c r="AF34" s="67"/>
      <c r="AG34" s="67"/>
      <c r="AH34" s="67"/>
      <c r="AI34" s="67"/>
    </row>
    <row r="35" spans="1:35" ht="18.75">
      <c r="E35" s="636"/>
      <c r="F35" s="979" t="s">
        <v>422</v>
      </c>
      <c r="G35" s="980"/>
      <c r="H35" s="980"/>
      <c r="I35" s="980"/>
      <c r="J35" s="980"/>
      <c r="K35" s="980"/>
      <c r="L35" s="980"/>
      <c r="M35" s="980"/>
    </row>
    <row r="36" spans="1:35" ht="30" customHeight="1" thickBot="1">
      <c r="A36" s="3"/>
      <c r="B36" s="976" t="str">
        <f>+'Ввод данных'!A207</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36" s="976"/>
      <c r="D36" s="976"/>
      <c r="E36" s="976"/>
      <c r="F36" s="976" t="str">
        <f>+'Ввод данных'!A209</f>
        <v xml:space="preserve">MDR TB-2: Количество бактериологически подтвержденных зарегистрированных ЛУ-ТБ случаев (РУ-ТБ и/или МЛУ-ТБ)		</v>
      </c>
      <c r="G36" s="976"/>
      <c r="H36" s="976"/>
      <c r="I36" s="976"/>
      <c r="J36" s="976"/>
      <c r="K36" s="976"/>
      <c r="L36" s="976" t="str">
        <f>+'Ввод данных'!A211</f>
        <v xml:space="preserve">MDR TB-3: Количество случаев с РУ/МЛУ ТБ, начавших лечение препаратами второго ряда		</v>
      </c>
      <c r="M36" s="976"/>
      <c r="N36" s="976"/>
      <c r="O36" s="976"/>
      <c r="P36" s="976"/>
      <c r="Q36" s="976"/>
      <c r="S36" s="189"/>
      <c r="T36" s="189"/>
      <c r="U36" s="189"/>
      <c r="V36" s="189"/>
      <c r="W36" s="189"/>
      <c r="X36" s="189"/>
      <c r="Y36" s="67"/>
      <c r="Z36" s="67"/>
      <c r="AA36" s="67"/>
      <c r="AB36" s="67"/>
      <c r="AC36" s="67"/>
      <c r="AD36" s="189"/>
      <c r="AE36" s="189"/>
      <c r="AF36" s="189"/>
      <c r="AG36" s="189"/>
      <c r="AH36" s="189"/>
      <c r="AI36" s="189"/>
    </row>
    <row r="37" spans="1:35" ht="50.25" customHeight="1" thickBot="1">
      <c r="A37" s="3"/>
      <c r="B37" s="488" t="s">
        <v>362</v>
      </c>
      <c r="C37" s="1059" t="s">
        <v>423</v>
      </c>
      <c r="D37" s="1060"/>
      <c r="E37" s="1061"/>
      <c r="F37" s="493" t="s">
        <v>362</v>
      </c>
      <c r="G37" s="1059" t="s">
        <v>424</v>
      </c>
      <c r="H37" s="1060"/>
      <c r="I37" s="1060"/>
      <c r="J37" s="1060"/>
      <c r="K37" s="1061"/>
      <c r="L37" s="493" t="s">
        <v>362</v>
      </c>
      <c r="M37" s="1059" t="s">
        <v>425</v>
      </c>
      <c r="N37" s="1060"/>
      <c r="O37" s="1060"/>
      <c r="P37" s="1060"/>
      <c r="Q37" s="1062"/>
      <c r="S37" s="189"/>
      <c r="T37" s="189"/>
      <c r="U37" s="189"/>
      <c r="V37" s="189"/>
      <c r="W37" s="189"/>
      <c r="X37" s="189"/>
      <c r="Y37" s="189"/>
      <c r="Z37" s="189"/>
      <c r="AA37" s="189"/>
      <c r="AB37" s="189"/>
      <c r="AC37" s="189"/>
      <c r="AD37" s="189"/>
      <c r="AE37" s="189"/>
      <c r="AF37" s="189"/>
      <c r="AG37" s="189"/>
      <c r="AH37" s="189"/>
      <c r="AI37" s="189"/>
    </row>
    <row r="38" spans="1:35" ht="18.75" customHeight="1">
      <c r="A38" s="3"/>
      <c r="B38" s="628"/>
      <c r="C38" s="628"/>
      <c r="D38" s="630"/>
      <c r="E38" s="630"/>
      <c r="F38" s="630"/>
      <c r="G38" s="630"/>
      <c r="H38" s="630"/>
      <c r="I38" s="630"/>
      <c r="J38" s="630"/>
      <c r="K38" s="630"/>
      <c r="L38" s="630"/>
      <c r="M38" s="3"/>
      <c r="N38" s="3"/>
      <c r="O38" s="172"/>
      <c r="P38" s="171"/>
      <c r="S38" s="189"/>
      <c r="T38" s="189"/>
      <c r="U38" s="189"/>
      <c r="V38" s="189"/>
      <c r="W38" s="189"/>
      <c r="X38" s="189"/>
      <c r="Y38" s="189"/>
      <c r="Z38" s="189"/>
      <c r="AA38" s="189"/>
      <c r="AB38" s="189"/>
      <c r="AC38" s="189"/>
      <c r="AD38" s="189"/>
      <c r="AE38" s="189"/>
      <c r="AF38" s="189"/>
      <c r="AG38" s="189"/>
      <c r="AH38" s="189"/>
      <c r="AI38" s="189"/>
    </row>
    <row r="39" spans="1:35" ht="18.75" customHeight="1">
      <c r="A39" s="3"/>
      <c r="B39" s="628"/>
      <c r="C39" s="628"/>
      <c r="D39" s="630"/>
      <c r="E39" s="630"/>
      <c r="F39" s="630"/>
      <c r="G39" s="630"/>
      <c r="H39" s="630"/>
      <c r="I39" s="630"/>
      <c r="J39" s="630"/>
      <c r="K39" s="630"/>
      <c r="L39" s="630"/>
      <c r="M39" s="3"/>
      <c r="N39" s="3"/>
      <c r="O39" s="172"/>
      <c r="P39" s="171"/>
      <c r="S39" s="189"/>
      <c r="T39" s="189"/>
      <c r="U39" s="189"/>
      <c r="V39" s="189"/>
      <c r="W39" s="189"/>
      <c r="X39" s="189"/>
      <c r="Y39" s="189"/>
      <c r="Z39" s="189"/>
      <c r="AA39" s="189"/>
      <c r="AB39" s="189"/>
      <c r="AC39" s="189"/>
      <c r="AD39" s="189"/>
      <c r="AE39" s="189"/>
      <c r="AF39" s="189"/>
      <c r="AG39" s="189"/>
      <c r="AH39" s="189"/>
      <c r="AI39" s="189"/>
    </row>
    <row r="40" spans="1:35" ht="18.75" customHeight="1">
      <c r="A40" s="3"/>
      <c r="B40" s="628"/>
      <c r="C40" s="628"/>
      <c r="D40" s="630"/>
      <c r="E40" s="630"/>
      <c r="F40" s="630"/>
      <c r="G40" s="630"/>
      <c r="H40" s="630"/>
      <c r="I40" s="630"/>
      <c r="J40" s="630"/>
      <c r="K40" s="630"/>
      <c r="L40" s="630"/>
      <c r="M40" s="3"/>
      <c r="N40" s="3"/>
      <c r="O40" s="172"/>
      <c r="P40" s="171"/>
      <c r="S40" s="189"/>
      <c r="T40" s="189"/>
      <c r="U40" s="189"/>
      <c r="V40" s="189"/>
      <c r="W40" s="189"/>
      <c r="X40" s="189"/>
      <c r="Y40" s="189"/>
      <c r="Z40" s="189"/>
      <c r="AA40" s="189"/>
      <c r="AB40" s="189"/>
      <c r="AC40" s="189"/>
      <c r="AD40" s="189"/>
      <c r="AE40" s="189"/>
      <c r="AF40" s="189"/>
      <c r="AG40" s="189"/>
      <c r="AH40" s="189"/>
      <c r="AI40" s="189"/>
    </row>
    <row r="41" spans="1:35" ht="18.75" customHeight="1">
      <c r="A41" s="3"/>
      <c r="B41" s="628"/>
      <c r="C41" s="628"/>
      <c r="D41" s="630"/>
      <c r="E41" s="630"/>
      <c r="F41" s="630"/>
      <c r="G41" s="630"/>
      <c r="H41" s="630"/>
      <c r="I41" s="630"/>
      <c r="J41" s="630"/>
      <c r="K41" s="630"/>
      <c r="L41" s="630"/>
      <c r="M41" s="3"/>
      <c r="N41" s="3"/>
      <c r="O41" s="172"/>
      <c r="P41" s="171"/>
      <c r="S41" s="189"/>
      <c r="T41" s="189"/>
      <c r="U41" s="189"/>
      <c r="V41" s="189"/>
      <c r="W41" s="189"/>
      <c r="X41" s="189"/>
      <c r="Y41" s="189"/>
      <c r="Z41" s="189"/>
      <c r="AA41" s="189"/>
      <c r="AB41" s="189"/>
      <c r="AC41" s="189"/>
      <c r="AD41" s="189"/>
      <c r="AE41" s="189"/>
      <c r="AF41" s="189"/>
      <c r="AG41" s="189"/>
      <c r="AH41" s="189"/>
      <c r="AI41" s="189"/>
    </row>
    <row r="42" spans="1:35" ht="18.75" customHeight="1">
      <c r="A42" s="3"/>
      <c r="B42" s="628"/>
      <c r="C42" s="628"/>
      <c r="D42" s="630"/>
      <c r="E42" s="630"/>
      <c r="F42" s="630"/>
      <c r="G42" s="630"/>
      <c r="H42" s="630"/>
      <c r="I42" s="630"/>
      <c r="J42" s="630"/>
      <c r="K42" s="630"/>
      <c r="L42" s="630"/>
      <c r="M42" s="3"/>
      <c r="N42" s="3"/>
      <c r="O42" s="172"/>
      <c r="P42" s="171"/>
      <c r="S42" s="189"/>
      <c r="T42" s="189"/>
      <c r="U42" s="189"/>
      <c r="V42" s="189"/>
      <c r="W42" s="189"/>
      <c r="X42" s="189"/>
      <c r="Y42" s="189"/>
      <c r="Z42" s="189"/>
      <c r="AA42" s="189"/>
      <c r="AB42" s="189"/>
      <c r="AC42" s="189"/>
      <c r="AD42" s="189"/>
      <c r="AE42" s="189"/>
      <c r="AF42" s="189"/>
      <c r="AG42" s="189"/>
      <c r="AH42" s="189"/>
      <c r="AI42" s="189"/>
    </row>
    <row r="43" spans="1:35" ht="18.75" customHeight="1">
      <c r="A43" s="3"/>
      <c r="B43" s="628"/>
      <c r="C43" s="628"/>
      <c r="D43" s="630"/>
      <c r="E43" s="630"/>
      <c r="F43" s="630"/>
      <c r="G43" s="630"/>
      <c r="H43" s="630"/>
      <c r="I43" s="630"/>
      <c r="J43" s="630"/>
      <c r="K43" s="630"/>
      <c r="L43" s="630"/>
      <c r="M43" s="3"/>
      <c r="N43" s="3"/>
      <c r="O43" s="172"/>
      <c r="P43" s="171"/>
      <c r="S43" s="189"/>
      <c r="T43" s="189"/>
      <c r="U43" s="189"/>
      <c r="V43" s="189"/>
      <c r="W43" s="189"/>
      <c r="X43" s="189"/>
      <c r="Y43" s="189"/>
      <c r="Z43" s="189"/>
      <c r="AA43" s="189"/>
      <c r="AB43" s="189"/>
      <c r="AC43" s="189"/>
      <c r="AD43" s="189"/>
      <c r="AE43" s="189"/>
      <c r="AF43" s="189"/>
      <c r="AG43" s="189"/>
      <c r="AH43" s="189"/>
      <c r="AI43" s="189"/>
    </row>
    <row r="44" spans="1:35" ht="18.75" customHeight="1">
      <c r="A44" s="3"/>
      <c r="B44" s="628"/>
      <c r="C44" s="628"/>
      <c r="D44" s="630"/>
      <c r="E44" s="630"/>
      <c r="F44" s="630"/>
      <c r="G44" s="630"/>
      <c r="H44" s="630"/>
      <c r="I44" s="630"/>
      <c r="J44" s="630"/>
      <c r="K44" s="630"/>
      <c r="L44" s="630"/>
      <c r="M44" s="3"/>
      <c r="N44" s="3"/>
      <c r="O44" s="172"/>
      <c r="P44" s="171"/>
      <c r="S44" s="189"/>
      <c r="T44" s="189"/>
      <c r="U44" s="189"/>
      <c r="V44" s="189"/>
      <c r="W44" s="189"/>
      <c r="X44" s="189"/>
      <c r="Y44" s="189"/>
      <c r="Z44" s="189"/>
      <c r="AA44" s="189"/>
      <c r="AB44" s="189"/>
      <c r="AC44" s="189"/>
      <c r="AD44" s="189"/>
      <c r="AE44" s="189"/>
      <c r="AF44" s="189"/>
      <c r="AG44" s="189"/>
      <c r="AH44" s="189"/>
      <c r="AI44" s="189"/>
    </row>
    <row r="45" spans="1:35" ht="18.75" customHeight="1">
      <c r="A45" s="3"/>
      <c r="B45" s="628"/>
      <c r="C45" s="628"/>
      <c r="D45" s="630"/>
      <c r="E45" s="630"/>
      <c r="F45" s="630"/>
      <c r="G45" s="630"/>
      <c r="H45" s="630"/>
      <c r="I45" s="630"/>
      <c r="J45" s="630"/>
      <c r="K45" s="630"/>
      <c r="L45" s="630"/>
      <c r="M45" s="3"/>
      <c r="N45" s="3"/>
      <c r="O45" s="172"/>
      <c r="P45" s="171"/>
      <c r="S45" s="189"/>
      <c r="T45" s="189"/>
      <c r="U45" s="189"/>
      <c r="V45" s="189"/>
      <c r="W45" s="189"/>
      <c r="X45" s="189"/>
      <c r="Y45" s="189"/>
      <c r="Z45" s="189"/>
      <c r="AA45" s="189"/>
      <c r="AB45" s="189"/>
      <c r="AC45" s="189"/>
      <c r="AD45" s="189"/>
      <c r="AE45" s="189"/>
      <c r="AF45" s="189"/>
      <c r="AG45" s="189"/>
      <c r="AH45" s="189"/>
      <c r="AI45" s="189"/>
    </row>
    <row r="46" spans="1:35" ht="18.75" customHeight="1">
      <c r="A46" s="3"/>
      <c r="B46" s="628"/>
      <c r="C46" s="628"/>
      <c r="D46" s="630"/>
      <c r="E46" s="630"/>
      <c r="F46" s="630"/>
      <c r="G46" s="630"/>
      <c r="H46" s="630"/>
      <c r="I46" s="630"/>
      <c r="J46" s="630"/>
      <c r="K46" s="630"/>
      <c r="L46" s="630"/>
      <c r="M46" s="3"/>
      <c r="N46" s="3"/>
      <c r="O46" s="172"/>
      <c r="P46" s="171"/>
      <c r="S46" s="189"/>
      <c r="T46" s="189"/>
      <c r="U46" s="189"/>
      <c r="V46" s="189"/>
      <c r="W46" s="189"/>
      <c r="X46" s="189"/>
      <c r="Y46" s="189"/>
      <c r="Z46" s="189"/>
      <c r="AA46" s="189"/>
      <c r="AB46" s="189"/>
      <c r="AC46" s="189"/>
      <c r="AD46" s="189"/>
      <c r="AE46" s="189"/>
      <c r="AF46" s="189"/>
      <c r="AG46" s="189"/>
      <c r="AH46" s="189"/>
      <c r="AI46" s="189"/>
    </row>
    <row r="47" spans="1:35" ht="17.25" customHeight="1">
      <c r="A47" s="3"/>
      <c r="B47" s="628"/>
      <c r="C47" s="628"/>
      <c r="D47" s="630"/>
      <c r="E47" s="630"/>
      <c r="F47" s="630"/>
      <c r="G47" s="630"/>
      <c r="H47" s="630"/>
      <c r="I47" s="630"/>
      <c r="J47" s="630"/>
      <c r="K47" s="630"/>
      <c r="L47" s="630"/>
      <c r="M47" s="3"/>
      <c r="N47" s="3"/>
      <c r="O47" s="172"/>
      <c r="P47" s="171"/>
      <c r="S47" s="189"/>
      <c r="T47" s="189"/>
      <c r="U47" s="189"/>
      <c r="V47" s="189"/>
      <c r="W47" s="189"/>
      <c r="X47" s="189"/>
      <c r="Y47" s="189"/>
      <c r="Z47" s="189"/>
      <c r="AA47" s="189"/>
      <c r="AB47" s="189"/>
      <c r="AC47" s="189"/>
      <c r="AD47" s="189"/>
      <c r="AE47" s="189"/>
      <c r="AF47" s="189"/>
      <c r="AG47" s="189"/>
      <c r="AH47" s="189"/>
      <c r="AI47" s="189"/>
    </row>
    <row r="48" spans="1:35" ht="6" customHeight="1">
      <c r="A48" s="3"/>
      <c r="B48" s="110"/>
      <c r="C48" s="628"/>
      <c r="D48" s="108"/>
      <c r="E48" s="985"/>
      <c r="F48" s="985"/>
      <c r="G48" s="985"/>
      <c r="H48" s="985"/>
      <c r="I48" s="985"/>
      <c r="J48" s="985"/>
      <c r="K48" s="985"/>
      <c r="L48" s="3"/>
      <c r="M48" s="3"/>
      <c r="N48" s="3"/>
      <c r="O48" s="3"/>
      <c r="P48" s="3"/>
      <c r="S48" s="189"/>
      <c r="T48" s="189"/>
      <c r="U48" s="189"/>
      <c r="V48" s="189"/>
      <c r="W48" s="189"/>
      <c r="X48" s="189"/>
      <c r="Y48" s="189"/>
      <c r="Z48" s="189"/>
      <c r="AA48" s="189"/>
      <c r="AB48" s="189"/>
      <c r="AC48" s="189"/>
      <c r="AD48" s="189"/>
      <c r="AE48" s="189"/>
      <c r="AF48" s="189"/>
      <c r="AG48" s="189"/>
      <c r="AH48" s="189"/>
      <c r="AI48" s="189"/>
    </row>
    <row r="49" spans="1:35" ht="50.25" customHeight="1">
      <c r="A49" s="3"/>
      <c r="B49" s="1048" t="s">
        <v>399</v>
      </c>
      <c r="C49" s="1048"/>
      <c r="D49" s="1048"/>
      <c r="E49" s="332" t="s">
        <v>308</v>
      </c>
      <c r="F49" s="332" t="s">
        <v>347</v>
      </c>
      <c r="G49" s="1044" t="s">
        <v>400</v>
      </c>
      <c r="H49" s="1045"/>
      <c r="I49" s="1046" t="s">
        <v>401</v>
      </c>
      <c r="J49" s="1047"/>
      <c r="K49" s="339" t="s">
        <v>402</v>
      </c>
      <c r="L49" s="1049" t="s">
        <v>426</v>
      </c>
      <c r="M49" s="1050"/>
      <c r="N49" s="1050"/>
      <c r="O49" s="1050"/>
      <c r="P49" s="1050"/>
      <c r="Q49" s="1051"/>
      <c r="S49" s="61" t="s">
        <v>404</v>
      </c>
      <c r="T49" s="62">
        <v>0</v>
      </c>
      <c r="U49" s="63">
        <v>0.3</v>
      </c>
      <c r="V49" s="63">
        <v>0.6</v>
      </c>
      <c r="W49" s="63">
        <v>0.9</v>
      </c>
      <c r="X49" s="63">
        <v>1</v>
      </c>
      <c r="Y49" s="67"/>
      <c r="Z49" s="67"/>
      <c r="AA49" s="61" t="s">
        <v>404</v>
      </c>
      <c r="AB49" s="62">
        <v>0</v>
      </c>
      <c r="AC49" s="63">
        <v>0.2</v>
      </c>
      <c r="AD49" s="63">
        <v>0.4</v>
      </c>
      <c r="AE49" s="63">
        <v>0.6</v>
      </c>
      <c r="AF49" s="63">
        <v>0.8</v>
      </c>
      <c r="AG49" s="67"/>
      <c r="AH49" s="67"/>
      <c r="AI49" s="67"/>
    </row>
    <row r="50" spans="1:35" ht="117" customHeight="1">
      <c r="A50" s="3"/>
      <c r="B50" s="1039" t="str">
        <f>+'Ввод данных'!A207</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50" s="1037"/>
      <c r="D50" s="1038"/>
      <c r="E50" s="333">
        <v>3475</v>
      </c>
      <c r="F50" s="334" t="s">
        <v>427</v>
      </c>
      <c r="G50" s="1024">
        <v>0.87</v>
      </c>
      <c r="H50" s="1025"/>
      <c r="I50" s="1025"/>
      <c r="J50" s="1025"/>
      <c r="K50" s="1026"/>
      <c r="L50" s="1042" t="s">
        <v>428</v>
      </c>
      <c r="M50" s="1042"/>
      <c r="N50" s="1042"/>
      <c r="O50" s="1042"/>
      <c r="P50" s="1042"/>
      <c r="Q50" s="1042"/>
      <c r="S50" s="61" t="s">
        <v>407</v>
      </c>
      <c r="T50" s="64">
        <v>0.3</v>
      </c>
      <c r="U50" s="63">
        <v>0.6</v>
      </c>
      <c r="V50" s="63">
        <v>0.9</v>
      </c>
      <c r="W50" s="63">
        <v>1</v>
      </c>
      <c r="X50" s="63">
        <v>2</v>
      </c>
      <c r="Y50" s="67"/>
      <c r="Z50" s="67"/>
      <c r="AA50" s="61" t="s">
        <v>407</v>
      </c>
      <c r="AB50" s="64">
        <v>0.2</v>
      </c>
      <c r="AC50" s="63">
        <v>0.4</v>
      </c>
      <c r="AD50" s="63">
        <v>0.6</v>
      </c>
      <c r="AE50" s="63">
        <v>0.8</v>
      </c>
      <c r="AF50" s="63">
        <v>1</v>
      </c>
      <c r="AG50" s="67"/>
      <c r="AH50" s="67"/>
      <c r="AI50" s="67"/>
    </row>
    <row r="51" spans="1:35" ht="73.5" customHeight="1">
      <c r="A51" s="3"/>
      <c r="B51" s="1039" t="str">
        <f>+'Ввод данных'!A209</f>
        <v xml:space="preserve">MDR TB-2: Количество бактериологически подтвержденных зарегистрированных ЛУ-ТБ случаев (РУ-ТБ и/или МЛУ-ТБ)		</v>
      </c>
      <c r="C51" s="1037"/>
      <c r="D51" s="1038"/>
      <c r="E51" s="333">
        <v>720</v>
      </c>
      <c r="F51" s="334" t="s">
        <v>429</v>
      </c>
      <c r="G51" s="1017">
        <v>0.98</v>
      </c>
      <c r="H51" s="1018"/>
      <c r="I51" s="1018"/>
      <c r="J51" s="1018"/>
      <c r="K51" s="1019"/>
      <c r="L51" s="1042" t="s">
        <v>430</v>
      </c>
      <c r="M51" s="1042"/>
      <c r="N51" s="1042"/>
      <c r="O51" s="1042"/>
      <c r="P51" s="1042"/>
      <c r="Q51" s="1042"/>
      <c r="S51" s="65"/>
      <c r="T51" s="66" t="str">
        <f>"de "&amp;T49&amp;" a "&amp;T50</f>
        <v>de 0 a 0.3</v>
      </c>
      <c r="U51" s="66" t="str">
        <f>"de "&amp;U49&amp;" a "&amp;U50</f>
        <v>de 0.3 a 0.6</v>
      </c>
      <c r="AH51" s="67"/>
      <c r="AI51" s="67"/>
    </row>
    <row r="52" spans="1:35" ht="96.75" customHeight="1">
      <c r="A52" s="3"/>
      <c r="B52" s="1036" t="str">
        <f>+'Ввод данных'!A211</f>
        <v xml:space="preserve">MDR TB-3: Количество случаев с РУ/МЛУ ТБ, начавших лечение препаратами второго ряда		</v>
      </c>
      <c r="C52" s="1037"/>
      <c r="D52" s="1038"/>
      <c r="E52" s="333">
        <v>720</v>
      </c>
      <c r="F52" s="333">
        <v>674</v>
      </c>
      <c r="G52" s="1024">
        <v>0.94</v>
      </c>
      <c r="H52" s="1025"/>
      <c r="I52" s="1025"/>
      <c r="J52" s="1025"/>
      <c r="K52" s="1026"/>
      <c r="L52" s="1042" t="s">
        <v>431</v>
      </c>
      <c r="M52" s="1042"/>
      <c r="N52" s="1042"/>
      <c r="O52" s="1042"/>
      <c r="P52" s="1042"/>
      <c r="Q52" s="1042"/>
      <c r="S52" s="65"/>
      <c r="T52" s="63" t="e">
        <f>IF($K50&gt;T$49,IF($K50&lt;=T$50,$K50,NA()),NA())</f>
        <v>#N/A</v>
      </c>
      <c r="U52" s="63" t="e">
        <f>IF($K50&gt;U$49,IF($K50&lt;=U$50,$K50,NA()),NA())</f>
        <v>#N/A</v>
      </c>
      <c r="AH52" s="67"/>
      <c r="AI52" s="67"/>
    </row>
    <row r="53" spans="1:35" ht="158.25" customHeight="1">
      <c r="A53" s="3"/>
      <c r="B53" s="1036" t="str">
        <f>+'Ввод данных'!A213</f>
        <v>MDR TB-7: Процент подтвержденных МЛУ-ТБ случаев, протестированных на чувствительность к фторхинолонам и инъекционным препаратам второго ряда</v>
      </c>
      <c r="C53" s="1040"/>
      <c r="D53" s="1041"/>
      <c r="E53" s="403">
        <v>0.6</v>
      </c>
      <c r="F53" s="334" t="s">
        <v>432</v>
      </c>
      <c r="G53" s="1024">
        <v>1.1000000000000001</v>
      </c>
      <c r="H53" s="1025"/>
      <c r="I53" s="1025"/>
      <c r="J53" s="1025"/>
      <c r="K53" s="1026"/>
      <c r="L53" s="1042" t="s">
        <v>433</v>
      </c>
      <c r="M53" s="1042"/>
      <c r="N53" s="1042"/>
      <c r="O53" s="1042"/>
      <c r="P53" s="1042"/>
      <c r="Q53" s="1042"/>
      <c r="S53" s="65"/>
      <c r="T53" s="63"/>
      <c r="U53" s="63"/>
      <c r="AH53" s="67"/>
      <c r="AI53" s="67"/>
    </row>
    <row r="54" spans="1:35" ht="119.25" customHeight="1">
      <c r="A54" s="3"/>
      <c r="B54" s="1021" t="str">
        <f>+'Ввод данных'!A215</f>
        <v xml:space="preserve">MDR TB-8: Количество случаев ШЛУ ТБ, взятых на лечение		</v>
      </c>
      <c r="C54" s="1022"/>
      <c r="D54" s="1023"/>
      <c r="E54" s="335">
        <v>53</v>
      </c>
      <c r="F54" s="338" t="s">
        <v>434</v>
      </c>
      <c r="G54" s="1024">
        <v>1.02</v>
      </c>
      <c r="H54" s="1025"/>
      <c r="I54" s="1025"/>
      <c r="J54" s="1025"/>
      <c r="K54" s="1026"/>
      <c r="L54" s="1042" t="s">
        <v>435</v>
      </c>
      <c r="M54" s="1042"/>
      <c r="N54" s="1042"/>
      <c r="O54" s="1042"/>
      <c r="P54" s="1042"/>
      <c r="Q54" s="1042"/>
      <c r="AH54" s="67"/>
      <c r="AI54" s="67"/>
    </row>
    <row r="55" spans="1:35" ht="98.25" customHeight="1">
      <c r="A55" s="3"/>
      <c r="B55" s="1021" t="str">
        <f>+'Ввод данных'!A217</f>
        <v xml:space="preserve">Процент и количество пациентов с симптомами или подозрениями на ТБ, обследованных методом Xpert MTB/RIF и подтвержденным активным ТБ  </v>
      </c>
      <c r="C55" s="1022"/>
      <c r="D55" s="1023"/>
      <c r="E55" s="336" t="s">
        <v>436</v>
      </c>
      <c r="F55" s="337" t="s">
        <v>437</v>
      </c>
      <c r="G55" s="1027">
        <v>1.01</v>
      </c>
      <c r="H55" s="1028"/>
      <c r="I55" s="1028"/>
      <c r="J55" s="1028"/>
      <c r="K55" s="1029"/>
      <c r="L55" s="1042" t="s">
        <v>438</v>
      </c>
      <c r="M55" s="1042"/>
      <c r="N55" s="1042"/>
      <c r="O55" s="1042"/>
      <c r="P55" s="1042"/>
      <c r="Q55" s="1042"/>
      <c r="AH55" s="67"/>
      <c r="AI55" s="67"/>
    </row>
    <row r="56" spans="1:35" ht="22.5" customHeight="1">
      <c r="A56" s="3"/>
      <c r="B56" s="1035"/>
      <c r="C56" s="1035"/>
      <c r="D56" s="1035"/>
      <c r="E56" s="1035"/>
      <c r="F56" s="1034"/>
      <c r="G56" s="1034"/>
      <c r="H56" s="1034"/>
      <c r="I56" s="1034"/>
      <c r="J56" s="1034"/>
      <c r="K56" s="1034"/>
      <c r="L56" s="1043"/>
      <c r="M56" s="1043"/>
      <c r="N56" s="1043"/>
      <c r="O56" s="1043"/>
      <c r="P56" s="1043"/>
      <c r="AH56" s="67"/>
      <c r="AI56" s="67"/>
    </row>
    <row r="57" spans="1:35" ht="22.5" customHeight="1">
      <c r="A57" s="3"/>
      <c r="B57" s="1030"/>
      <c r="C57" s="1030"/>
      <c r="D57" s="1030"/>
      <c r="E57" s="1031"/>
      <c r="F57" s="1032"/>
      <c r="G57" s="1033"/>
      <c r="H57" s="1033"/>
      <c r="I57" s="1033"/>
      <c r="J57" s="1033"/>
      <c r="K57" s="1031"/>
      <c r="L57" s="1032"/>
      <c r="M57" s="1033"/>
      <c r="N57" s="1033"/>
      <c r="O57" s="1033"/>
      <c r="P57" s="1033"/>
      <c r="Y57" s="67"/>
      <c r="Z57" s="67"/>
      <c r="AA57" s="67"/>
      <c r="AB57" s="67"/>
      <c r="AC57" s="67"/>
      <c r="AD57" s="67"/>
      <c r="AE57" s="67"/>
      <c r="AF57" s="67"/>
      <c r="AG57" s="67"/>
      <c r="AH57" s="67"/>
      <c r="AI57" s="67"/>
    </row>
    <row r="58" spans="1:35">
      <c r="A58" s="3"/>
      <c r="B58" s="190"/>
      <c r="C58" s="190"/>
      <c r="D58" s="190"/>
      <c r="E58" s="190"/>
      <c r="F58" s="190"/>
      <c r="G58" s="190"/>
      <c r="H58" s="191"/>
      <c r="I58" s="190"/>
      <c r="J58" s="190"/>
      <c r="K58" s="190"/>
      <c r="L58" s="190"/>
      <c r="M58" s="190"/>
      <c r="N58" s="190"/>
      <c r="O58" s="190"/>
      <c r="P58" s="190"/>
      <c r="Y58" s="67"/>
      <c r="Z58" s="67"/>
      <c r="AA58" s="67"/>
      <c r="AB58" s="67"/>
      <c r="AC58" s="67"/>
      <c r="AD58" s="67"/>
      <c r="AE58" s="67"/>
      <c r="AF58" s="67"/>
      <c r="AG58" s="67"/>
      <c r="AH58" s="67"/>
      <c r="AI58" s="67"/>
    </row>
    <row r="59" spans="1:35">
      <c r="A59" s="3"/>
      <c r="B59" s="1020"/>
      <c r="C59" s="1020"/>
      <c r="D59" s="1020"/>
      <c r="E59" s="1020"/>
      <c r="F59" s="1020"/>
      <c r="G59" s="1020"/>
      <c r="H59" s="1020"/>
      <c r="I59" s="1020"/>
      <c r="J59" s="1020"/>
      <c r="K59" s="1020"/>
      <c r="L59" s="190"/>
      <c r="M59" s="190"/>
      <c r="N59" s="190"/>
      <c r="O59" s="190"/>
      <c r="P59" s="190"/>
      <c r="Y59" s="67"/>
      <c r="Z59" s="67"/>
      <c r="AA59" s="67"/>
      <c r="AB59" s="67"/>
      <c r="AC59" s="67"/>
      <c r="AD59" s="67"/>
      <c r="AE59" s="67"/>
      <c r="AF59" s="67"/>
      <c r="AG59" s="67"/>
      <c r="AH59" s="67"/>
      <c r="AI59" s="67"/>
    </row>
    <row r="60" spans="1:35">
      <c r="A60" s="3"/>
      <c r="B60" s="1020"/>
      <c r="C60" s="1020"/>
      <c r="D60" s="1020"/>
      <c r="E60" s="1020"/>
      <c r="F60" s="1020"/>
      <c r="G60" s="1020"/>
      <c r="H60" s="1020"/>
      <c r="I60" s="1020"/>
      <c r="J60" s="1020"/>
      <c r="K60" s="1020"/>
      <c r="L60" s="190"/>
      <c r="M60" s="190"/>
      <c r="N60" s="190"/>
      <c r="O60" s="190"/>
      <c r="P60" s="190"/>
      <c r="S60" s="67"/>
      <c r="T60" s="67"/>
      <c r="U60" s="67"/>
      <c r="V60" s="67"/>
      <c r="W60" s="67"/>
      <c r="X60" s="67"/>
      <c r="Y60" s="67"/>
      <c r="Z60" s="67"/>
      <c r="AA60" s="67"/>
      <c r="AB60" s="67"/>
      <c r="AC60" s="67"/>
      <c r="AD60" s="67"/>
      <c r="AE60" s="67"/>
      <c r="AF60" s="67"/>
      <c r="AG60" s="67"/>
      <c r="AH60" s="67"/>
      <c r="AI60" s="67"/>
    </row>
    <row r="61" spans="1:35">
      <c r="A61" s="3"/>
      <c r="B61" s="3"/>
      <c r="C61" s="3"/>
      <c r="D61" s="3"/>
      <c r="E61" s="3"/>
      <c r="F61" s="3"/>
      <c r="G61" s="3"/>
      <c r="H61" s="3"/>
      <c r="I61" s="90"/>
      <c r="J61" s="90"/>
      <c r="K61" s="90"/>
      <c r="L61" s="3"/>
      <c r="M61" s="3"/>
      <c r="N61" s="3"/>
      <c r="O61" s="3"/>
      <c r="P61" s="3"/>
      <c r="S61" s="67"/>
      <c r="T61" s="67"/>
      <c r="U61" s="67"/>
      <c r="V61" s="67"/>
      <c r="W61" s="67"/>
      <c r="X61" s="67"/>
      <c r="Y61" s="67"/>
      <c r="Z61" s="67"/>
      <c r="AA61" s="67"/>
      <c r="AB61" s="67"/>
      <c r="AC61" s="67"/>
      <c r="AD61" s="67"/>
      <c r="AE61" s="67"/>
      <c r="AF61" s="67"/>
      <c r="AG61" s="67"/>
      <c r="AH61" s="67"/>
      <c r="AI61" s="67"/>
    </row>
    <row r="62" spans="1:35">
      <c r="A62" s="3"/>
      <c r="B62" s="3"/>
      <c r="C62" s="3"/>
      <c r="D62" s="3"/>
      <c r="E62" s="3"/>
      <c r="F62" s="3"/>
      <c r="G62" s="3"/>
      <c r="H62" s="3"/>
      <c r="I62" s="117"/>
      <c r="J62" s="118"/>
      <c r="K62" s="118"/>
      <c r="L62" s="3"/>
      <c r="M62" s="3"/>
      <c r="N62" s="3"/>
      <c r="O62" s="3"/>
      <c r="P62" s="3"/>
      <c r="S62" s="67"/>
      <c r="T62" s="67"/>
      <c r="U62" s="67"/>
      <c r="V62" s="67"/>
      <c r="W62" s="67"/>
      <c r="X62" s="67"/>
      <c r="Y62" s="67"/>
      <c r="Z62" s="67"/>
      <c r="AA62" s="67"/>
      <c r="AB62" s="67"/>
      <c r="AC62" s="67"/>
      <c r="AD62" s="67"/>
      <c r="AE62" s="67"/>
      <c r="AF62" s="67"/>
      <c r="AG62" s="67"/>
      <c r="AH62" s="67"/>
      <c r="AI62" s="67"/>
    </row>
    <row r="63" spans="1:35">
      <c r="A63" s="3"/>
      <c r="B63" s="3"/>
      <c r="C63" s="3"/>
      <c r="D63" s="3"/>
      <c r="E63" s="3"/>
      <c r="F63" s="3"/>
      <c r="G63" s="3"/>
      <c r="H63" s="3"/>
      <c r="I63" s="119"/>
      <c r="J63" s="120"/>
      <c r="K63" s="92"/>
      <c r="L63" s="3"/>
      <c r="M63" s="3"/>
      <c r="N63" s="3"/>
      <c r="O63" s="3"/>
      <c r="P63" s="3"/>
      <c r="S63" s="67"/>
      <c r="T63" s="67"/>
      <c r="U63" s="67"/>
      <c r="V63" s="67"/>
      <c r="W63" s="67"/>
      <c r="X63" s="67"/>
      <c r="Y63" s="67"/>
      <c r="Z63" s="67"/>
      <c r="AA63" s="67"/>
      <c r="AB63" s="67"/>
      <c r="AC63" s="67"/>
      <c r="AD63" s="67"/>
      <c r="AE63" s="67"/>
      <c r="AF63" s="67"/>
      <c r="AG63" s="67"/>
      <c r="AH63" s="67"/>
      <c r="AI63" s="67"/>
    </row>
    <row r="64" spans="1:35">
      <c r="A64" s="3"/>
      <c r="B64" s="3"/>
      <c r="C64" s="3"/>
      <c r="D64" s="3"/>
      <c r="E64" s="3"/>
      <c r="F64" s="3"/>
      <c r="G64" s="3"/>
      <c r="H64" s="3"/>
      <c r="I64" s="121"/>
      <c r="J64" s="120"/>
      <c r="K64" s="92"/>
      <c r="L64" s="3"/>
      <c r="M64" s="3"/>
      <c r="N64" s="3"/>
      <c r="O64" s="3"/>
      <c r="P64" s="3"/>
      <c r="S64" s="67"/>
      <c r="T64" s="67"/>
      <c r="U64" s="67"/>
      <c r="V64" s="67"/>
      <c r="W64" s="67"/>
      <c r="X64" s="67"/>
      <c r="Y64" s="67"/>
      <c r="Z64" s="67"/>
      <c r="AA64" s="67"/>
      <c r="AB64" s="67"/>
      <c r="AC64" s="67"/>
      <c r="AD64" s="67"/>
      <c r="AE64" s="67"/>
      <c r="AF64" s="67"/>
      <c r="AG64" s="67"/>
      <c r="AH64" s="67"/>
      <c r="AI64" s="67"/>
    </row>
    <row r="65" spans="1:35">
      <c r="A65" s="3"/>
      <c r="B65" s="3"/>
      <c r="C65" s="3"/>
      <c r="D65" s="3"/>
      <c r="E65" s="3"/>
      <c r="F65" s="3"/>
      <c r="G65" s="3"/>
      <c r="H65" s="3"/>
      <c r="I65" s="119"/>
      <c r="J65" s="120"/>
      <c r="K65" s="92"/>
      <c r="L65" s="3"/>
      <c r="M65" s="3"/>
      <c r="N65" s="3"/>
      <c r="O65" s="3"/>
      <c r="P65" s="3"/>
      <c r="S65" s="67"/>
      <c r="T65" s="67"/>
      <c r="U65" s="67"/>
      <c r="V65" s="67"/>
      <c r="W65" s="67"/>
      <c r="X65" s="67"/>
      <c r="Y65" s="67"/>
      <c r="Z65" s="67"/>
      <c r="AA65" s="67"/>
      <c r="AB65" s="67"/>
      <c r="AC65" s="67"/>
      <c r="AD65" s="67"/>
      <c r="AE65" s="67"/>
      <c r="AF65" s="67"/>
      <c r="AG65" s="67"/>
      <c r="AH65" s="67"/>
      <c r="AI65" s="67"/>
    </row>
    <row r="66" spans="1:35">
      <c r="A66" s="3"/>
      <c r="B66" s="3"/>
      <c r="C66" s="3"/>
      <c r="D66" s="3"/>
      <c r="E66" s="3"/>
      <c r="F66" s="3"/>
      <c r="G66" s="3"/>
      <c r="H66" s="3"/>
      <c r="I66" s="3"/>
      <c r="J66" s="3"/>
      <c r="K66" s="3"/>
      <c r="L66" s="3"/>
      <c r="M66" s="3"/>
      <c r="N66" s="3"/>
      <c r="O66" s="3"/>
      <c r="P66" s="3"/>
      <c r="S66" s="67"/>
      <c r="T66" s="67"/>
      <c r="U66" s="67"/>
      <c r="V66" s="67"/>
      <c r="W66" s="67"/>
      <c r="X66" s="67"/>
      <c r="Y66" s="67"/>
      <c r="Z66" s="67"/>
      <c r="AA66" s="67"/>
      <c r="AB66" s="67"/>
      <c r="AC66" s="67"/>
      <c r="AD66" s="67"/>
      <c r="AE66" s="67"/>
      <c r="AF66" s="67"/>
      <c r="AG66" s="67"/>
      <c r="AH66" s="67"/>
      <c r="AI66" s="67"/>
    </row>
    <row r="67" spans="1:35">
      <c r="A67" s="3"/>
      <c r="B67" s="3"/>
      <c r="C67" s="3"/>
      <c r="D67" s="3"/>
      <c r="E67" s="3"/>
      <c r="F67" s="3"/>
      <c r="G67" s="3"/>
      <c r="H67" s="3"/>
      <c r="I67" s="3"/>
      <c r="J67" s="3"/>
      <c r="K67" s="3"/>
      <c r="L67" s="3"/>
      <c r="M67" s="3"/>
      <c r="N67" s="3"/>
      <c r="O67" s="3"/>
      <c r="P67" s="3"/>
      <c r="S67" s="67"/>
      <c r="T67" s="67"/>
      <c r="U67" s="67"/>
      <c r="V67" s="67"/>
      <c r="W67" s="67"/>
      <c r="X67" s="67"/>
      <c r="Y67" s="67"/>
      <c r="Z67" s="67"/>
      <c r="AA67" s="67"/>
      <c r="AB67" s="67"/>
      <c r="AC67" s="67"/>
      <c r="AD67" s="67"/>
      <c r="AE67" s="67"/>
      <c r="AF67" s="67"/>
      <c r="AG67" s="67"/>
      <c r="AH67" s="67"/>
      <c r="AI67" s="67"/>
    </row>
    <row r="68" spans="1:35">
      <c r="A68" s="3"/>
      <c r="B68" s="3"/>
      <c r="C68" s="3"/>
      <c r="D68" s="3"/>
      <c r="E68" s="3"/>
      <c r="F68" s="3"/>
      <c r="G68" s="3"/>
      <c r="H68" s="3"/>
      <c r="I68" s="3"/>
      <c r="J68" s="3"/>
      <c r="K68" s="3"/>
      <c r="L68" s="3"/>
      <c r="M68" s="3"/>
      <c r="N68" s="3"/>
      <c r="O68" s="3"/>
      <c r="P68" s="3"/>
      <c r="S68" s="60"/>
      <c r="T68" s="60"/>
      <c r="U68" s="60"/>
      <c r="V68" s="60"/>
      <c r="W68" s="60"/>
      <c r="X68" s="60"/>
      <c r="Y68" s="60"/>
      <c r="Z68" s="60"/>
      <c r="AA68" s="60"/>
      <c r="AB68" s="60"/>
    </row>
    <row r="69" spans="1:35">
      <c r="S69" s="60"/>
      <c r="T69" s="60"/>
      <c r="U69" s="60"/>
      <c r="V69" s="60"/>
      <c r="W69" s="60"/>
      <c r="X69" s="60"/>
      <c r="Y69" s="60"/>
      <c r="Z69" s="60"/>
      <c r="AA69" s="60"/>
      <c r="AB69" s="60"/>
    </row>
    <row r="70" spans="1:35">
      <c r="S70" s="60"/>
      <c r="T70" s="60"/>
      <c r="U70" s="60"/>
      <c r="V70" s="60"/>
      <c r="W70" s="60"/>
      <c r="X70" s="60"/>
      <c r="Y70" s="60"/>
      <c r="Z70" s="60"/>
      <c r="AA70" s="60"/>
      <c r="AB70" s="60"/>
    </row>
    <row r="71" spans="1:35">
      <c r="S71" s="60"/>
      <c r="T71" s="60"/>
      <c r="U71" s="60"/>
      <c r="V71" s="60"/>
      <c r="W71" s="60"/>
      <c r="X71" s="60"/>
      <c r="Y71" s="60"/>
      <c r="Z71" s="60"/>
      <c r="AA71" s="60"/>
      <c r="AB71" s="60"/>
    </row>
    <row r="72" spans="1:35">
      <c r="S72" s="60"/>
      <c r="T72" s="60"/>
      <c r="U72" s="60"/>
      <c r="V72" s="60"/>
      <c r="W72" s="60"/>
      <c r="X72" s="60"/>
      <c r="Y72" s="60"/>
      <c r="Z72" s="60"/>
      <c r="AA72" s="60"/>
      <c r="AB72" s="60"/>
    </row>
  </sheetData>
  <mergeCells count="97">
    <mergeCell ref="L31:Q31"/>
    <mergeCell ref="C37:E37"/>
    <mergeCell ref="G37:K37"/>
    <mergeCell ref="L32:Q32"/>
    <mergeCell ref="B34:D34"/>
    <mergeCell ref="G34:K34"/>
    <mergeCell ref="L34:Q34"/>
    <mergeCell ref="F35:M35"/>
    <mergeCell ref="M37:Q37"/>
    <mergeCell ref="B33:D33"/>
    <mergeCell ref="G33:K33"/>
    <mergeCell ref="L33:Q33"/>
    <mergeCell ref="G32:K32"/>
    <mergeCell ref="B32:D32"/>
    <mergeCell ref="L49:Q49"/>
    <mergeCell ref="L55:Q55"/>
    <mergeCell ref="G50:K50"/>
    <mergeCell ref="C3:D3"/>
    <mergeCell ref="E4:L4"/>
    <mergeCell ref="B36:E36"/>
    <mergeCell ref="F36:K36"/>
    <mergeCell ref="I21:J21"/>
    <mergeCell ref="L21:Q21"/>
    <mergeCell ref="B22:D22"/>
    <mergeCell ref="G22:K22"/>
    <mergeCell ref="L22:Q22"/>
    <mergeCell ref="B23:D23"/>
    <mergeCell ref="G23:K23"/>
    <mergeCell ref="L23:Q23"/>
    <mergeCell ref="L28:Q28"/>
    <mergeCell ref="G49:H49"/>
    <mergeCell ref="I49:J49"/>
    <mergeCell ref="E48:K48"/>
    <mergeCell ref="B49:D49"/>
    <mergeCell ref="B50:D50"/>
    <mergeCell ref="B51:D51"/>
    <mergeCell ref="G52:K52"/>
    <mergeCell ref="B53:D53"/>
    <mergeCell ref="L57:P57"/>
    <mergeCell ref="L50:Q50"/>
    <mergeCell ref="L51:Q51"/>
    <mergeCell ref="L52:Q52"/>
    <mergeCell ref="L56:P56"/>
    <mergeCell ref="L54:Q54"/>
    <mergeCell ref="L53:Q53"/>
    <mergeCell ref="G53:K53"/>
    <mergeCell ref="L29:Q29"/>
    <mergeCell ref="G30:K30"/>
    <mergeCell ref="L30:Q30"/>
    <mergeCell ref="G51:K51"/>
    <mergeCell ref="B59:D60"/>
    <mergeCell ref="E59:G60"/>
    <mergeCell ref="H59:K60"/>
    <mergeCell ref="B54:D54"/>
    <mergeCell ref="B55:D55"/>
    <mergeCell ref="G54:K54"/>
    <mergeCell ref="G55:K55"/>
    <mergeCell ref="B57:E57"/>
    <mergeCell ref="F57:K57"/>
    <mergeCell ref="F56:K56"/>
    <mergeCell ref="B56:E56"/>
    <mergeCell ref="B52:D52"/>
    <mergeCell ref="B29:D29"/>
    <mergeCell ref="B31:D31"/>
    <mergeCell ref="G29:K29"/>
    <mergeCell ref="B30:D30"/>
    <mergeCell ref="G31:K31"/>
    <mergeCell ref="G28:K28"/>
    <mergeCell ref="L27:Q27"/>
    <mergeCell ref="B28:D28"/>
    <mergeCell ref="B25:D25"/>
    <mergeCell ref="G21:H21"/>
    <mergeCell ref="G25:K25"/>
    <mergeCell ref="L25:Q25"/>
    <mergeCell ref="B26:D26"/>
    <mergeCell ref="G26:K26"/>
    <mergeCell ref="L26:Q26"/>
    <mergeCell ref="G24:K24"/>
    <mergeCell ref="L24:Q24"/>
    <mergeCell ref="B27:D27"/>
    <mergeCell ref="G27:K27"/>
    <mergeCell ref="B2:Q2"/>
    <mergeCell ref="O3:P3"/>
    <mergeCell ref="D5:N5"/>
    <mergeCell ref="L36:Q36"/>
    <mergeCell ref="E3:K3"/>
    <mergeCell ref="C4:D4"/>
    <mergeCell ref="E6:L6"/>
    <mergeCell ref="B8:E8"/>
    <mergeCell ref="F8:K8"/>
    <mergeCell ref="L8:Q8"/>
    <mergeCell ref="C9:E9"/>
    <mergeCell ref="G9:K9"/>
    <mergeCell ref="M9:Q9"/>
    <mergeCell ref="E20:K20"/>
    <mergeCell ref="B24:D24"/>
    <mergeCell ref="B21:D21"/>
  </mergeCells>
  <phoneticPr fontId="30" type="noConversion"/>
  <conditionalFormatting sqref="C4:D4">
    <cfRule type="cellIs" dxfId="56" priority="251" stopIfTrue="1" operator="equal">
      <formula>"C"</formula>
    </cfRule>
    <cfRule type="cellIs" dxfId="55" priority="252" stopIfTrue="1" operator="equal">
      <formula>"B2"</formula>
    </cfRule>
    <cfRule type="cellIs" dxfId="54" priority="253" stopIfTrue="1" operator="equal">
      <formula>"B1"</formula>
    </cfRule>
  </conditionalFormatting>
  <conditionalFormatting sqref="G51:G55">
    <cfRule type="cellIs" dxfId="53" priority="79" stopIfTrue="1" operator="between">
      <formula>0</formula>
      <formula>0.599</formula>
    </cfRule>
    <cfRule type="cellIs" dxfId="52" priority="80" stopIfTrue="1" operator="between">
      <formula>0.6</formula>
      <formula>0.899</formula>
    </cfRule>
    <cfRule type="cellIs" dxfId="51" priority="81" stopIfTrue="1" operator="greaterThanOrEqual">
      <formula>0.9</formula>
    </cfRule>
  </conditionalFormatting>
  <conditionalFormatting sqref="G50">
    <cfRule type="cellIs" dxfId="50" priority="73" stopIfTrue="1" operator="between">
      <formula>0</formula>
      <formula>0.599</formula>
    </cfRule>
    <cfRule type="cellIs" dxfId="49" priority="74" stopIfTrue="1" operator="between">
      <formula>0.6</formula>
      <formula>0.899</formula>
    </cfRule>
    <cfRule type="cellIs" dxfId="48" priority="75" stopIfTrue="1" operator="greaterThanOrEqual">
      <formula>0.9</formula>
    </cfRule>
  </conditionalFormatting>
  <conditionalFormatting sqref="G50:K50">
    <cfRule type="cellIs" dxfId="47" priority="70" stopIfTrue="1" operator="greaterThan">
      <formula>0.9</formula>
    </cfRule>
    <cfRule type="cellIs" dxfId="46" priority="71" stopIfTrue="1" operator="between">
      <formula>0.6</formula>
      <formula>0.89</formula>
    </cfRule>
    <cfRule type="cellIs" dxfId="45" priority="72" stopIfTrue="1" operator="lessThan">
      <formula>0.59</formula>
    </cfRule>
  </conditionalFormatting>
  <conditionalFormatting sqref="G51:K55">
    <cfRule type="cellIs" dxfId="44" priority="76" stopIfTrue="1" operator="greaterThan">
      <formula>0.9</formula>
    </cfRule>
    <cfRule type="cellIs" dxfId="43" priority="77" stopIfTrue="1" operator="between">
      <formula>0.6</formula>
      <formula>0.89</formula>
    </cfRule>
    <cfRule type="cellIs" dxfId="42" priority="78" stopIfTrue="1" operator="lessThan">
      <formula>0.59</formula>
    </cfRule>
  </conditionalFormatting>
  <conditionalFormatting sqref="G22 G25">
    <cfRule type="cellIs" dxfId="41" priority="67" stopIfTrue="1" operator="between">
      <formula>0</formula>
      <formula>0.599</formula>
    </cfRule>
    <cfRule type="cellIs" dxfId="40" priority="68" stopIfTrue="1" operator="between">
      <formula>0.6</formula>
      <formula>0.899</formula>
    </cfRule>
    <cfRule type="cellIs" dxfId="39" priority="69" stopIfTrue="1" operator="greaterThanOrEqual">
      <formula>0.9</formula>
    </cfRule>
  </conditionalFormatting>
  <conditionalFormatting sqref="G33">
    <cfRule type="cellIs" dxfId="38" priority="64" stopIfTrue="1" operator="between">
      <formula>0</formula>
      <formula>0.599</formula>
    </cfRule>
    <cfRule type="cellIs" dxfId="37" priority="65" stopIfTrue="1" operator="between">
      <formula>0.6</formula>
      <formula>0.899</formula>
    </cfRule>
    <cfRule type="cellIs" dxfId="36" priority="66" stopIfTrue="1" operator="greaterThanOrEqual">
      <formula>0.9</formula>
    </cfRule>
  </conditionalFormatting>
  <conditionalFormatting sqref="G23">
    <cfRule type="cellIs" dxfId="35" priority="58" stopIfTrue="1" operator="between">
      <formula>0</formula>
      <formula>0.599</formula>
    </cfRule>
    <cfRule type="cellIs" dxfId="34" priority="59" stopIfTrue="1" operator="between">
      <formula>0.6</formula>
      <formula>0.899</formula>
    </cfRule>
    <cfRule type="cellIs" dxfId="33" priority="60" stopIfTrue="1" operator="greaterThanOrEqual">
      <formula>0.9</formula>
    </cfRule>
  </conditionalFormatting>
  <conditionalFormatting sqref="G26">
    <cfRule type="cellIs" dxfId="32" priority="52" stopIfTrue="1" operator="between">
      <formula>0</formula>
      <formula>0.599</formula>
    </cfRule>
    <cfRule type="cellIs" dxfId="31" priority="53" stopIfTrue="1" operator="between">
      <formula>0.6</formula>
      <formula>0.899</formula>
    </cfRule>
    <cfRule type="cellIs" dxfId="30" priority="54" stopIfTrue="1" operator="greaterThanOrEqual">
      <formula>0.9</formula>
    </cfRule>
  </conditionalFormatting>
  <conditionalFormatting sqref="G27">
    <cfRule type="cellIs" dxfId="29" priority="49" stopIfTrue="1" operator="between">
      <formula>0</formula>
      <formula>0.599</formula>
    </cfRule>
    <cfRule type="cellIs" dxfId="28" priority="50" stopIfTrue="1" operator="between">
      <formula>0.6</formula>
      <formula>0.899</formula>
    </cfRule>
    <cfRule type="cellIs" dxfId="27" priority="51" stopIfTrue="1" operator="greaterThanOrEqual">
      <formula>0.9</formula>
    </cfRule>
  </conditionalFormatting>
  <conditionalFormatting sqref="G28">
    <cfRule type="cellIs" dxfId="26" priority="46" stopIfTrue="1" operator="between">
      <formula>0</formula>
      <formula>0.599</formula>
    </cfRule>
    <cfRule type="cellIs" dxfId="25" priority="47" stopIfTrue="1" operator="between">
      <formula>0.6</formula>
      <formula>0.899</formula>
    </cfRule>
    <cfRule type="cellIs" dxfId="24" priority="48" stopIfTrue="1" operator="greaterThanOrEqual">
      <formula>0.9</formula>
    </cfRule>
  </conditionalFormatting>
  <conditionalFormatting sqref="G29">
    <cfRule type="cellIs" dxfId="23" priority="43" stopIfTrue="1" operator="between">
      <formula>0</formula>
      <formula>0.599</formula>
    </cfRule>
    <cfRule type="cellIs" dxfId="22" priority="44" stopIfTrue="1" operator="between">
      <formula>0.6</formula>
      <formula>0.899</formula>
    </cfRule>
    <cfRule type="cellIs" dxfId="21" priority="45" stopIfTrue="1" operator="greaterThanOrEqual">
      <formula>0.9</formula>
    </cfRule>
  </conditionalFormatting>
  <conditionalFormatting sqref="G31">
    <cfRule type="cellIs" dxfId="20" priority="40" stopIfTrue="1" operator="between">
      <formula>0</formula>
      <formula>0.599</formula>
    </cfRule>
    <cfRule type="cellIs" dxfId="19" priority="41" stopIfTrue="1" operator="between">
      <formula>0.6</formula>
      <formula>0.899</formula>
    </cfRule>
    <cfRule type="cellIs" dxfId="18" priority="42" stopIfTrue="1" operator="greaterThanOrEqual">
      <formula>0.9</formula>
    </cfRule>
  </conditionalFormatting>
  <conditionalFormatting sqref="G32">
    <cfRule type="cellIs" dxfId="17" priority="37" stopIfTrue="1" operator="between">
      <formula>0</formula>
      <formula>0.599</formula>
    </cfRule>
    <cfRule type="cellIs" dxfId="16" priority="38" stopIfTrue="1" operator="between">
      <formula>0.6</formula>
      <formula>0.899</formula>
    </cfRule>
    <cfRule type="cellIs" dxfId="15" priority="39" stopIfTrue="1" operator="greaterThanOrEqual">
      <formula>0.9</formula>
    </cfRule>
  </conditionalFormatting>
  <conditionalFormatting sqref="G30">
    <cfRule type="cellIs" dxfId="14" priority="31" stopIfTrue="1" operator="between">
      <formula>0</formula>
      <formula>0.599</formula>
    </cfRule>
    <cfRule type="cellIs" dxfId="13" priority="32" stopIfTrue="1" operator="between">
      <formula>0.6</formula>
      <formula>0.899</formula>
    </cfRule>
    <cfRule type="cellIs" dxfId="12" priority="33" stopIfTrue="1" operator="greaterThanOrEqual">
      <formula>0.9</formula>
    </cfRule>
  </conditionalFormatting>
  <conditionalFormatting sqref="G34">
    <cfRule type="cellIs" dxfId="11" priority="7" stopIfTrue="1" operator="between">
      <formula>0</formula>
      <formula>0.599</formula>
    </cfRule>
    <cfRule type="cellIs" dxfId="10" priority="8" stopIfTrue="1" operator="between">
      <formula>0.6</formula>
      <formula>0.899</formula>
    </cfRule>
    <cfRule type="cellIs" dxfId="9" priority="9" stopIfTrue="1" operator="greaterThanOrEqual">
      <formula>0.9</formula>
    </cfRule>
  </conditionalFormatting>
  <conditionalFormatting sqref="G24">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zoomScale="90" zoomScaleNormal="90" workbookViewId="0">
      <selection activeCell="D35" sqref="D35:G35"/>
    </sheetView>
  </sheetViews>
  <sheetFormatPr defaultColWidth="9.140625" defaultRowHeight="11.25"/>
  <cols>
    <col min="1" max="1" width="1.140625" style="28" customWidth="1"/>
    <col min="2" max="2" width="19.28515625" style="28" customWidth="1"/>
    <col min="3" max="3" width="1.140625" style="28" customWidth="1"/>
    <col min="4" max="4" width="17.140625" style="28" customWidth="1"/>
    <col min="5" max="5" width="17.5703125" style="28" customWidth="1"/>
    <col min="6" max="6" width="9.7109375" style="28" customWidth="1"/>
    <col min="7" max="7" width="13" style="28" customWidth="1"/>
    <col min="8" max="8" width="4.28515625" style="28" customWidth="1"/>
    <col min="9" max="9" width="15.85546875" style="28" customWidth="1"/>
    <col min="10" max="10" width="3.5703125" style="28" customWidth="1"/>
    <col min="11" max="11" width="7.5703125" style="29" customWidth="1"/>
    <col min="12" max="12" width="16.7109375" style="28" customWidth="1"/>
    <col min="13" max="13" width="12" style="28" customWidth="1"/>
    <col min="14" max="14" width="5.42578125" style="28" customWidth="1"/>
    <col min="15" max="15" width="2.5703125" style="28" customWidth="1"/>
    <col min="16" max="16384" width="9.140625" style="28"/>
  </cols>
  <sheetData>
    <row r="1" spans="1:17" ht="38.25" customHeight="1">
      <c r="A1" s="122"/>
      <c r="B1" s="122"/>
      <c r="C1" s="122"/>
      <c r="D1" s="122"/>
      <c r="E1" s="122"/>
      <c r="F1" s="122"/>
      <c r="G1" s="122"/>
      <c r="H1" s="122"/>
      <c r="I1" s="122"/>
      <c r="J1" s="122"/>
      <c r="K1" s="123"/>
      <c r="L1" s="122"/>
      <c r="M1" s="122"/>
      <c r="N1" s="122"/>
    </row>
    <row r="2" spans="1:17" customFormat="1" ht="27.75" customHeight="1">
      <c r="A2" s="3"/>
      <c r="B2" s="975" t="str">
        <f>+"Панель показателей:  "&amp;"  "&amp;IF(+'Ввод данных'!B4="Выберите","",'Ввод данных'!B4&amp;" - ")&amp;IF('Ввод данных'!F6="Выберите","",'Ввод данных'!F6)</f>
        <v>Панель показателей:    Кыргызстан - ВИЧ/СПИД/ТБ</v>
      </c>
      <c r="C2" s="975"/>
      <c r="D2" s="975"/>
      <c r="E2" s="975"/>
      <c r="F2" s="975"/>
      <c r="G2" s="975"/>
      <c r="H2" s="975"/>
      <c r="I2" s="975"/>
      <c r="J2" s="975"/>
      <c r="K2" s="975"/>
      <c r="L2" s="975"/>
      <c r="M2" s="975"/>
      <c r="N2" s="975"/>
      <c r="O2" s="975"/>
      <c r="P2" s="975"/>
      <c r="Q2" s="975"/>
    </row>
    <row r="3" spans="1:17" customFormat="1" ht="18.75">
      <c r="A3" s="3"/>
      <c r="B3" s="628">
        <f>+IF('Ввод данных'!F8="Выберите","",'Ввод данных'!F8)</f>
        <v>0</v>
      </c>
      <c r="C3" s="945"/>
      <c r="D3" s="945"/>
      <c r="E3" s="977"/>
      <c r="F3" s="977"/>
      <c r="G3" s="977"/>
      <c r="H3" s="977"/>
      <c r="I3" s="977"/>
      <c r="J3" s="977"/>
      <c r="K3" s="977"/>
      <c r="L3" s="628" t="str">
        <f>+'Ввод данных'!A16</f>
        <v>Отчетный период</v>
      </c>
      <c r="M3" s="170" t="str">
        <f>+'Ввод данных'!B16</f>
        <v>P2</v>
      </c>
      <c r="N3" s="170"/>
      <c r="O3" s="28"/>
    </row>
    <row r="4" spans="1:17" customFormat="1" ht="15">
      <c r="A4" s="3"/>
      <c r="B4" s="320" t="str">
        <f>+'Ввод данных'!A12</f>
        <v>Последняя оценка:</v>
      </c>
      <c r="C4" s="978" t="str">
        <f>+IF('Ввод данных'!B12="Выберите","",'Ввод данных'!B12)</f>
        <v>A1</v>
      </c>
      <c r="D4" s="978"/>
      <c r="E4" s="944" t="str">
        <f>+'Ввод данных'!B8</f>
        <v>ПРООН</v>
      </c>
      <c r="F4" s="944"/>
      <c r="G4" s="944"/>
      <c r="H4" s="944"/>
      <c r="I4" s="944"/>
      <c r="J4" s="944"/>
      <c r="K4" s="944"/>
      <c r="L4" s="628" t="str">
        <f>+'Ввод данных'!C16</f>
        <v>с:</v>
      </c>
      <c r="M4" s="171">
        <f>+IF(ISBLANK('Ввод данных'!D16),"",'Ввод данных'!D16)</f>
        <v>43466</v>
      </c>
      <c r="N4" s="171"/>
      <c r="O4" s="28"/>
    </row>
    <row r="5" spans="1:17" customFormat="1" ht="18.75" customHeight="1">
      <c r="A5" s="3"/>
      <c r="B5" s="628"/>
      <c r="C5" s="628"/>
      <c r="D5" s="108"/>
      <c r="E5" s="968"/>
      <c r="F5" s="968"/>
      <c r="G5" s="968"/>
      <c r="H5" s="968"/>
      <c r="I5" s="968"/>
      <c r="J5" s="968"/>
      <c r="K5" s="968"/>
      <c r="L5" s="628" t="str">
        <f>+'Ввод данных'!E16</f>
        <v>до:</v>
      </c>
      <c r="M5" s="171">
        <f>+IF(ISBLANK('Ввод данных'!F16),"",'Ввод данных'!F16)</f>
        <v>43646</v>
      </c>
      <c r="N5" s="171"/>
    </row>
    <row r="6" spans="1:17" customFormat="1" ht="22.5" customHeight="1">
      <c r="A6" s="3"/>
      <c r="B6" s="111"/>
      <c r="C6" s="112"/>
      <c r="D6" s="113"/>
      <c r="E6" s="1094" t="s">
        <v>439</v>
      </c>
      <c r="F6" s="1094"/>
      <c r="G6" s="1094"/>
      <c r="H6" s="1094"/>
      <c r="I6" s="1094"/>
      <c r="J6" s="1094"/>
      <c r="K6" s="1094"/>
      <c r="L6" s="2"/>
      <c r="M6" s="2"/>
      <c r="N6" s="2"/>
    </row>
    <row r="7" spans="1:17" s="30" customFormat="1" ht="4.5" customHeight="1">
      <c r="A7" s="124"/>
      <c r="B7" s="125"/>
      <c r="C7" s="125"/>
      <c r="D7" s="125"/>
      <c r="E7" s="125"/>
      <c r="F7" s="125"/>
      <c r="G7" s="125"/>
      <c r="H7" s="125"/>
      <c r="I7" s="125"/>
      <c r="J7" s="125"/>
      <c r="K7" s="125"/>
      <c r="L7" s="126"/>
      <c r="M7" s="126"/>
      <c r="N7" s="127"/>
    </row>
    <row r="8" spans="1:17" s="30" customFormat="1" ht="21" customHeight="1" thickBot="1">
      <c r="A8" s="124"/>
      <c r="B8" s="1095" t="s">
        <v>440</v>
      </c>
      <c r="C8" s="1095"/>
      <c r="D8" s="1095"/>
      <c r="E8" s="1095"/>
      <c r="F8" s="1095"/>
      <c r="G8" s="1095"/>
      <c r="H8" s="1095"/>
      <c r="I8" s="1095"/>
      <c r="J8" s="1095"/>
      <c r="K8" s="1095"/>
      <c r="L8" s="1095"/>
      <c r="M8" s="1095"/>
      <c r="N8" s="1095"/>
    </row>
    <row r="9" spans="1:17" s="30" customFormat="1" ht="3.75" customHeight="1" thickBot="1">
      <c r="A9" s="124"/>
      <c r="B9" s="125"/>
      <c r="C9" s="125"/>
      <c r="D9" s="125"/>
      <c r="E9" s="125"/>
      <c r="F9" s="125"/>
      <c r="G9" s="125"/>
      <c r="H9" s="125"/>
      <c r="I9" s="125"/>
      <c r="J9" s="125"/>
      <c r="K9" s="125"/>
      <c r="L9" s="126"/>
      <c r="M9" s="126"/>
      <c r="N9" s="127"/>
    </row>
    <row r="10" spans="1:17" s="31" customFormat="1" ht="25.5" customHeight="1" thickBot="1">
      <c r="A10" s="128"/>
      <c r="B10" s="1107" t="s">
        <v>1</v>
      </c>
      <c r="C10" s="1108"/>
      <c r="D10" s="1096" t="s">
        <v>441</v>
      </c>
      <c r="E10" s="1097"/>
      <c r="F10" s="1097"/>
      <c r="G10" s="1098"/>
      <c r="H10" s="131"/>
      <c r="I10" s="1096" t="s">
        <v>439</v>
      </c>
      <c r="J10" s="1097"/>
      <c r="K10" s="1097"/>
      <c r="L10" s="1097"/>
      <c r="M10" s="1097"/>
      <c r="N10" s="1098"/>
    </row>
    <row r="11" spans="1:17" s="31" customFormat="1" ht="28.5" customHeight="1">
      <c r="A11" s="128"/>
      <c r="B11" s="290" t="s">
        <v>442</v>
      </c>
      <c r="C11" s="148"/>
      <c r="D11" s="1101" t="str">
        <f>IF(ISBLANK(Финансирование!C9),"",(Финансирование!C9))</f>
        <v>ГФ в январе и апреле 2019 г. произвел выплату двумя траншами на общую сумму 3 078 027$, что в сумме с выплатами в 2018 составляет сумму всего бюджета за июль 2018-июнь 2019</v>
      </c>
      <c r="E11" s="1102"/>
      <c r="F11" s="1102"/>
      <c r="G11" s="1103"/>
      <c r="H11" s="154"/>
      <c r="I11" s="1109"/>
      <c r="J11" s="1110"/>
      <c r="K11" s="1110"/>
      <c r="L11" s="1110"/>
      <c r="M11" s="1110"/>
      <c r="N11" s="1111"/>
    </row>
    <row r="12" spans="1:17" s="31" customFormat="1" ht="27.75" customHeight="1">
      <c r="A12" s="128"/>
      <c r="B12" s="291" t="s">
        <v>443</v>
      </c>
      <c r="C12" s="149"/>
      <c r="D12" s="1072"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072"/>
      <c r="F12" s="1072"/>
      <c r="G12" s="1073"/>
      <c r="H12" s="154"/>
      <c r="I12" s="1069"/>
      <c r="J12" s="1070"/>
      <c r="K12" s="1070"/>
      <c r="L12" s="1070"/>
      <c r="M12" s="1070"/>
      <c r="N12" s="1071"/>
    </row>
    <row r="13" spans="1:17" s="31" customFormat="1" ht="26.25" customHeight="1">
      <c r="A13" s="128"/>
      <c r="B13" s="291" t="s">
        <v>444</v>
      </c>
      <c r="C13" s="149"/>
      <c r="D13" s="1066" t="str">
        <f>IF(ISBLANK(Финансирование!K9),"",(Финансирование!K9))</f>
        <v xml:space="preserve">В отчетном периоде ГФ произвел выплату в полном объеме бюджета отчетного периода.
Расходы ОП составили 7 370 949$,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30 июня 2019 в  3 972 818$. Итого за весь период гранта было освоено 208% выделлных средств на ОП. В текущем периоде ПРООН произвел выплаты 33 СП  в срок на общую сумму в 967 7503$ по запросу от СП в рамках 39 подписанных Соглашений и бюджетов. </v>
      </c>
      <c r="E13" s="1067"/>
      <c r="F13" s="1067"/>
      <c r="G13" s="1068"/>
      <c r="H13" s="154"/>
      <c r="I13" s="1069"/>
      <c r="J13" s="1070"/>
      <c r="K13" s="1070"/>
      <c r="L13" s="1070"/>
      <c r="M13" s="1070"/>
      <c r="N13" s="1071"/>
    </row>
    <row r="14" spans="1:17" s="31" customFormat="1" ht="28.5" customHeight="1" thickBot="1">
      <c r="A14" s="128"/>
      <c r="B14" s="292" t="s">
        <v>445</v>
      </c>
      <c r="C14" s="150"/>
      <c r="D14" s="1099" t="str">
        <f>IF(ISBLANK(Финансирование!K23),"",(Финансирование!K23))</f>
        <v xml:space="preserve">В отчетном периоде ОП подготовил и направил ИОР/ЗПС в ГФ и офис МАФ в установленные сроки. Платеж от ГФ на отчетный период был получен  в январе и апреле 2019 согласно графика платежей ГФ. </v>
      </c>
      <c r="E14" s="1099"/>
      <c r="F14" s="1099"/>
      <c r="G14" s="1100"/>
      <c r="H14" s="154"/>
      <c r="I14" s="1104"/>
      <c r="J14" s="1105"/>
      <c r="K14" s="1105"/>
      <c r="L14" s="1105"/>
      <c r="M14" s="1105"/>
      <c r="N14" s="1106"/>
    </row>
    <row r="15" spans="1:17" s="31" customFormat="1" ht="4.5" customHeight="1">
      <c r="A15" s="128"/>
      <c r="B15" s="151"/>
      <c r="C15" s="152"/>
      <c r="D15" s="153"/>
      <c r="E15" s="153"/>
      <c r="F15" s="153"/>
      <c r="G15" s="153"/>
      <c r="H15" s="154"/>
      <c r="I15" s="155"/>
      <c r="J15" s="155"/>
      <c r="K15" s="155"/>
      <c r="L15" s="155"/>
      <c r="M15" s="155"/>
      <c r="N15" s="155"/>
      <c r="O15" s="69"/>
    </row>
    <row r="16" spans="1:17" s="30" customFormat="1" ht="21" customHeight="1" thickBot="1">
      <c r="A16" s="124"/>
      <c r="B16" s="1095" t="s">
        <v>446</v>
      </c>
      <c r="C16" s="1095"/>
      <c r="D16" s="1095"/>
      <c r="E16" s="1095"/>
      <c r="F16" s="1095"/>
      <c r="G16" s="1095"/>
      <c r="H16" s="1095"/>
      <c r="I16" s="1095"/>
      <c r="J16" s="1095"/>
      <c r="K16" s="1095"/>
      <c r="L16" s="1095"/>
      <c r="M16" s="1095"/>
      <c r="N16" s="1095"/>
    </row>
    <row r="17" spans="1:15" s="31" customFormat="1" ht="3.75" customHeight="1" thickBot="1">
      <c r="A17" s="128"/>
      <c r="B17" s="137"/>
      <c r="C17" s="138"/>
      <c r="D17" s="139"/>
      <c r="E17" s="140"/>
      <c r="F17" s="141"/>
      <c r="G17" s="141"/>
      <c r="H17" s="142"/>
      <c r="I17" s="143"/>
      <c r="J17" s="144"/>
      <c r="K17" s="133"/>
      <c r="L17" s="134"/>
      <c r="M17" s="135"/>
      <c r="N17" s="136"/>
    </row>
    <row r="18" spans="1:15" s="31" customFormat="1" ht="22.5" customHeight="1" thickBot="1">
      <c r="A18" s="128"/>
      <c r="B18" s="1108" t="s">
        <v>17</v>
      </c>
      <c r="C18" s="1112"/>
      <c r="D18" s="1078" t="s">
        <v>441</v>
      </c>
      <c r="E18" s="1079"/>
      <c r="F18" s="1079"/>
      <c r="G18" s="1080"/>
      <c r="H18" s="131"/>
      <c r="I18" s="1074" t="s">
        <v>439</v>
      </c>
      <c r="J18" s="1075"/>
      <c r="K18" s="1075"/>
      <c r="L18" s="1075"/>
      <c r="M18" s="1076"/>
      <c r="N18" s="1077"/>
    </row>
    <row r="19" spans="1:15" s="31" customFormat="1" ht="48.75" customHeight="1">
      <c r="A19" s="128"/>
      <c r="B19" s="293" t="s">
        <v>447</v>
      </c>
      <c r="C19" s="156"/>
      <c r="D19" s="1084" t="str">
        <f>IF(ISBLANK(Управление!C8),"",(Управление!C8))</f>
        <v xml:space="preserve">По обоим компонентам предварительных условий (ПУ) нет согласно письму от ГФ по результатам работы за 1-е полугодие 2018 года.  </v>
      </c>
      <c r="E19" s="1085"/>
      <c r="F19" s="1085"/>
      <c r="G19" s="1086"/>
      <c r="H19" s="157"/>
      <c r="I19" s="1088"/>
      <c r="J19" s="1089"/>
      <c r="K19" s="1089"/>
      <c r="L19" s="1089"/>
      <c r="M19" s="1089"/>
      <c r="N19" s="1090"/>
    </row>
    <row r="20" spans="1:15" ht="30.75" customHeight="1">
      <c r="A20" s="122"/>
      <c r="B20" s="294" t="s">
        <v>448</v>
      </c>
      <c r="C20" s="158"/>
      <c r="D20" s="1066" t="str">
        <f>IF(ISBLANK(Управление!J8),"",(Управление!J8))</f>
        <v>По ВИЧ\ТБ  гранту всего 22  штатных позиции, из них 4 - по компоненту ВИЧ,  2 - по компоненту ТБ.,  оставшиеся  16   относятся к обоим компонентам.   22 штатных позиции заполнены</v>
      </c>
      <c r="E20" s="1067"/>
      <c r="F20" s="1067"/>
      <c r="G20" s="1087"/>
      <c r="H20" s="157"/>
      <c r="I20" s="1081"/>
      <c r="J20" s="1082"/>
      <c r="K20" s="1082"/>
      <c r="L20" s="1082"/>
      <c r="M20" s="1082"/>
      <c r="N20" s="1083"/>
      <c r="O20" s="32"/>
    </row>
    <row r="21" spans="1:15" ht="31.5" customHeight="1">
      <c r="A21" s="122"/>
      <c r="B21" s="295" t="s">
        <v>449</v>
      </c>
      <c r="C21" s="158"/>
      <c r="D21" s="1066" t="e">
        <f>IF(ISBLANK(Управление!#REF!),"",(Управление!#REF!))</f>
        <v>#REF!</v>
      </c>
      <c r="E21" s="1067"/>
      <c r="F21" s="1067"/>
      <c r="G21" s="1087"/>
      <c r="H21" s="157"/>
      <c r="I21" s="1081"/>
      <c r="J21" s="1082"/>
      <c r="K21" s="1082"/>
      <c r="L21" s="1082"/>
      <c r="M21" s="1082"/>
      <c r="N21" s="1083"/>
      <c r="O21" s="32"/>
    </row>
    <row r="22" spans="1:15" ht="34.5" customHeight="1">
      <c r="A22" s="122"/>
      <c r="B22" s="295" t="s">
        <v>450</v>
      </c>
      <c r="C22" s="158"/>
      <c r="D22" s="1066" t="e">
        <f>IF(ISBLANK(Управление!#REF!),"",(Управление!#REF!))</f>
        <v>#REF!</v>
      </c>
      <c r="E22" s="1067"/>
      <c r="F22" s="1067"/>
      <c r="G22" s="1087"/>
      <c r="H22" s="157"/>
      <c r="I22" s="1081"/>
      <c r="J22" s="1082"/>
      <c r="K22" s="1082"/>
      <c r="L22" s="1082"/>
      <c r="M22" s="1082"/>
      <c r="N22" s="1083"/>
      <c r="O22" s="32"/>
    </row>
    <row r="23" spans="1:15" ht="33.75" customHeight="1">
      <c r="A23" s="122"/>
      <c r="B23" s="295" t="s">
        <v>451</v>
      </c>
      <c r="C23" s="158"/>
      <c r="D23" s="1066" t="str">
        <f>IF(ISBLANK(Управление!C29),"",(Управление!C29))</f>
        <v>Медикаменты и ИМН закуплены согласно потребности на 2019 год. В расчетах потребности учтены текущий запас, ожидаемые поставки и наличие бюджета</v>
      </c>
      <c r="E23" s="1067"/>
      <c r="F23" s="1067"/>
      <c r="G23" s="1087"/>
      <c r="H23" s="157"/>
      <c r="I23" s="1081"/>
      <c r="J23" s="1082"/>
      <c r="K23" s="1082"/>
      <c r="L23" s="1082"/>
      <c r="M23" s="1082"/>
      <c r="N23" s="1083"/>
      <c r="O23" s="32"/>
    </row>
    <row r="24" spans="1:15" ht="39.75" customHeight="1" thickBot="1">
      <c r="A24" s="122"/>
      <c r="B24" s="296" t="s">
        <v>452</v>
      </c>
      <c r="C24" s="159"/>
      <c r="D24" s="1120" t="str">
        <f>IF(ISBLANK(Управление!J29),"",(Управление!J29))</f>
        <v xml:space="preserve">Запас ПТП 2-го ряда составляет в среднем от 2-20 месяцев, за исключением некоторых препаратов. Ситуация большого запаса и наоборот меньше 2 месяцев, связано с переходным периодом на новые режимы, согласно новым рекомендациям ВОЗ. Согласно, плану перехода использование Амикацина постепенно будет увеличиваться, после того как капреомицин и канамицин уйдет из схем лечения, а также ежемесячный расход деламанида будет увеличиваться, так как закуплен для 84 пациента, с ежемесячным набором по 7 больных в месяц. 
Препараты, запас у которых меньше 2-х месяцев: Этамбутол, Изониазид, Клофаземин и Имипенем/Циластатин - плановая поставка препаратов покроет потребность на 2019 год.
</v>
      </c>
      <c r="E24" s="1121"/>
      <c r="F24" s="1121"/>
      <c r="G24" s="1122"/>
      <c r="H24" s="157"/>
      <c r="I24" s="1113"/>
      <c r="J24" s="1114"/>
      <c r="K24" s="1114"/>
      <c r="L24" s="1114"/>
      <c r="M24" s="1114"/>
      <c r="N24" s="1115"/>
      <c r="O24" s="32"/>
    </row>
    <row r="25" spans="1:15" ht="4.5" customHeight="1">
      <c r="A25" s="124"/>
      <c r="B25" s="129"/>
      <c r="C25" s="130"/>
      <c r="D25" s="145"/>
      <c r="E25" s="146"/>
      <c r="F25" s="147"/>
      <c r="G25" s="147"/>
      <c r="H25" s="131"/>
      <c r="I25" s="146"/>
      <c r="J25" s="132"/>
      <c r="K25" s="133"/>
      <c r="L25" s="134"/>
      <c r="M25" s="135"/>
      <c r="N25" s="136"/>
      <c r="O25" s="32"/>
    </row>
    <row r="26" spans="1:15" s="30" customFormat="1" ht="21" customHeight="1" thickBot="1">
      <c r="A26" s="124"/>
      <c r="B26" s="1095" t="s">
        <v>453</v>
      </c>
      <c r="C26" s="1095"/>
      <c r="D26" s="1095"/>
      <c r="E26" s="1095"/>
      <c r="F26" s="1095"/>
      <c r="G26" s="1095"/>
      <c r="H26" s="1095"/>
      <c r="I26" s="1095"/>
      <c r="J26" s="1095"/>
      <c r="K26" s="1095"/>
      <c r="L26" s="1095"/>
      <c r="M26" s="1095"/>
      <c r="N26" s="1095"/>
    </row>
    <row r="27" spans="1:15" ht="3.75" customHeight="1" thickBot="1">
      <c r="A27" s="124"/>
      <c r="B27" s="129"/>
      <c r="C27" s="130"/>
      <c r="D27" s="145"/>
      <c r="E27" s="146"/>
      <c r="F27" s="147"/>
      <c r="G27" s="147"/>
      <c r="H27" s="131"/>
      <c r="I27" s="146"/>
      <c r="J27" s="132"/>
      <c r="K27" s="133"/>
      <c r="L27" s="134"/>
      <c r="M27" s="135"/>
      <c r="N27" s="136"/>
      <c r="O27" s="32"/>
    </row>
    <row r="28" spans="1:15" ht="21.75" customHeight="1" thickBot="1">
      <c r="A28" s="122"/>
      <c r="B28" s="1107" t="s">
        <v>454</v>
      </c>
      <c r="C28" s="1112"/>
      <c r="D28" s="1126" t="s">
        <v>441</v>
      </c>
      <c r="E28" s="1127"/>
      <c r="F28" s="1127"/>
      <c r="G28" s="1128"/>
      <c r="H28" s="131"/>
      <c r="I28" s="1126" t="s">
        <v>439</v>
      </c>
      <c r="J28" s="1127"/>
      <c r="K28" s="1127"/>
      <c r="L28" s="1127"/>
      <c r="M28" s="1127"/>
      <c r="N28" s="1128"/>
      <c r="O28" s="32"/>
    </row>
    <row r="29" spans="1:15" ht="29.25" customHeight="1">
      <c r="A29" s="122"/>
      <c r="B29" s="297" t="s">
        <v>455</v>
      </c>
      <c r="C29" s="160"/>
      <c r="D29" s="1129" t="str">
        <f>IF(ISBLANK(Программа!C37),"",(Программа!C37))</f>
        <v xml:space="preserve">В течение последних лет наблюдается устойчивое снижение числа зарегистрированных случаев ТБ. При этом следует отметить, что несоблюдение диагностического алгоритма и отсутсвие мероприятий по активному выявлению случаев на ПМСП, приводит не только к снижению числа зарегистрированных случаев, но и к снижению числа обследованных на ТБ,  </v>
      </c>
      <c r="E29" s="1130"/>
      <c r="F29" s="1130"/>
      <c r="G29" s="1131"/>
      <c r="H29" s="157"/>
      <c r="I29" s="1116"/>
      <c r="J29" s="1117"/>
      <c r="K29" s="1117"/>
      <c r="L29" s="1117"/>
      <c r="M29" s="1117"/>
      <c r="N29" s="1118"/>
      <c r="O29" s="32"/>
    </row>
    <row r="30" spans="1:15" ht="21.95" customHeight="1">
      <c r="A30" s="122"/>
      <c r="B30" s="298" t="s">
        <v>456</v>
      </c>
      <c r="C30" s="161"/>
      <c r="D30" s="1119" t="str">
        <f>IF(ISBLANK(Программа!G37),"",(Программа!G37))</f>
        <v xml:space="preserve">В течение отчетного периода выявление и регистрация РУ/МЛУ ТБ проводилась на рутинной основе, дополнительные мероприятия по активному выявлению случаев не проводились. </v>
      </c>
      <c r="E30" s="1092"/>
      <c r="F30" s="1092"/>
      <c r="G30" s="1093"/>
      <c r="H30" s="157"/>
      <c r="I30" s="1063"/>
      <c r="J30" s="1064"/>
      <c r="K30" s="1064"/>
      <c r="L30" s="1064"/>
      <c r="M30" s="1064"/>
      <c r="N30" s="1065"/>
      <c r="O30" s="32"/>
    </row>
    <row r="31" spans="1:15" ht="21.95" customHeight="1">
      <c r="A31" s="122"/>
      <c r="B31" s="298" t="s">
        <v>457</v>
      </c>
      <c r="C31" s="161"/>
      <c r="D31" s="1119" t="str">
        <f>IF(ISBLANK(Программа!M37),"",(Программа!M37))</f>
        <v xml:space="preserve">Охват лечением среди РУ/МЛУ больных составил 95%, что является хорошим показателем. Некоторые пациенты с РУ/МЛУ/ШЛУ, имевшие неудачные эпизоды лечения в прошлом, отказываются от лечения. С ними проводится мотивационная работа со стороны врачей и кейс-менеджеров, которые с июля 2019 года финансируются за счет средств ПРООН.  </v>
      </c>
      <c r="E31" s="1092"/>
      <c r="F31" s="1092"/>
      <c r="G31" s="1093"/>
      <c r="H31" s="157"/>
      <c r="I31" s="1063"/>
      <c r="J31" s="1064"/>
      <c r="K31" s="1064"/>
      <c r="L31" s="1064"/>
      <c r="M31" s="1064"/>
      <c r="N31" s="1065"/>
      <c r="O31" s="32"/>
    </row>
    <row r="32" spans="1:15" ht="21.95" customHeight="1">
      <c r="A32" s="122"/>
      <c r="B32" s="299" t="s">
        <v>150</v>
      </c>
      <c r="C32" s="161"/>
      <c r="D32" s="1091" t="str">
        <f>IF(ISBLANK(Программа!L50),"",(Программа!L50))</f>
        <v xml:space="preserve">Данные получены от Национальной Противотуберкулезной Программы и включают данные пенитенциарной системы. Общее число зарегистрированных случаев (новых и рецидивов) в 4 кв. 2018-1 кв. 2019 года составило 3023, включая 2456  новых случаев (81%) и 567 (19%) рецидивов.   Из них 121 зарегистрированы в пенитенциарном секторе, и 2902 - в гражданскеом секторе. Количество зарегистрированных ТБ случаев постоянно снижается в последние годы. Согласно отчетам суб-получателей, это происходит по двум причинам: (1) в связи с сокращением ТБ коек, число необоснованных госпитализаций (когда пациенты в прошлом болевшие ТБ, регистрируются как рецидивы и получают "санаторное" лечение: доля рецидивов, зарегистрированных в 2018 году снизилась на 17% по сравнению с 2016 годом, в то время как доля новых зарегистрированных случаев снизилась только на 7%; (2) низкая настроженность ПМСП: диагностический алгоритм не выполняется в полной мере, мероприятия по активному выявлению случаев не проводятся. ПРООН неоднократно рекомендовала улучшить выполнение диагностического алгортма на уровне ПМСП (рекомендации были включены в Письма по управлению Грантом /Соглашением); согласно последнией информации, рекомендации находятся на стадии выполнения.      </v>
      </c>
      <c r="E32" s="1092"/>
      <c r="F32" s="1092"/>
      <c r="G32" s="1093"/>
      <c r="H32" s="157"/>
      <c r="I32" s="1063"/>
      <c r="J32" s="1064"/>
      <c r="K32" s="1064"/>
      <c r="L32" s="1064"/>
      <c r="M32" s="1064"/>
      <c r="N32" s="1065"/>
      <c r="O32" s="32"/>
    </row>
    <row r="33" spans="1:15" ht="42.75" customHeight="1">
      <c r="A33" s="122"/>
      <c r="B33" s="299" t="s">
        <v>135</v>
      </c>
      <c r="C33" s="161"/>
      <c r="D33" s="1091" t="str">
        <f>IF(ISBLANK(Программа!L51),"",(Программа!L51))</f>
        <v xml:space="preserve">В период 4 кв. 2018 г.-1 кв.2019 г., Национальная Противотуберкулезная Программа зарегистрировала 709 РУ/МЛУ/ШЛУ случаев вместо планируемых 720. По сравнению с целевым показателем, индиатор выполнен на 98%. 51 из 709 случаев РУ/МЛУ были выявлены в пенитенциарной системе и 658 - в гражданском секторе. </v>
      </c>
      <c r="E33" s="1092"/>
      <c r="F33" s="1092"/>
      <c r="G33" s="1093"/>
      <c r="H33" s="157"/>
      <c r="I33" s="1135"/>
      <c r="J33" s="1136"/>
      <c r="K33" s="1136"/>
      <c r="L33" s="1136"/>
      <c r="M33" s="1136"/>
      <c r="N33" s="1137"/>
      <c r="O33" s="32"/>
    </row>
    <row r="34" spans="1:15" ht="21.95" customHeight="1">
      <c r="A34" s="122"/>
      <c r="B34" s="299" t="s">
        <v>151</v>
      </c>
      <c r="C34" s="161"/>
      <c r="D34" s="1091" t="str">
        <f>IF(ISBLANK(Программа!L52),"",(Программа!L52))</f>
        <v>В течение отчетного периода 687 РУ/МЛУ случаев были взяты на лечение, включая 674 бактериологически подтвержденных и 13 клинически диагностированных. Таким образом, целевой показатель достигнут на 94%. Это число включае 50 случаев из пенитенциарной системы и 624 случая из гражданского сектора. Из 709 случаев РУ/МЛУ случаев, которые зарегистрированы в отчетный период, на лечение взяты 95% (674), охват лечением в этом отчетном периоде выше по сравнению с предыдущим . Разница объясняется за счет ранее леченых случаев ТБ, которые были обнаружены во время мероприятий по активному выявлению случаев. Т.к. некоторые из этих пациментов имеют неблагоприятные исходы лечения в прошлом, часть из них отказывается от лечения. Врачи-фтизиатры на местах и кейс-менеджеры продолжают их мотивировать на лечение.</v>
      </c>
      <c r="E34" s="1092"/>
      <c r="F34" s="1092"/>
      <c r="G34" s="1093"/>
      <c r="H34" s="157"/>
      <c r="I34" s="1063"/>
      <c r="J34" s="1064"/>
      <c r="K34" s="1064"/>
      <c r="L34" s="1064"/>
      <c r="M34" s="1064"/>
      <c r="N34" s="1065"/>
      <c r="O34" s="32"/>
    </row>
    <row r="35" spans="1:15" ht="27.75" customHeight="1">
      <c r="A35" s="122"/>
      <c r="B35" s="299" t="s">
        <v>152</v>
      </c>
      <c r="C35" s="196"/>
      <c r="D35" s="1091" t="e">
        <f>IF(ISBLANK(Программа!#REF!),"",(Программа!#REF!))</f>
        <v>#REF!</v>
      </c>
      <c r="E35" s="1092"/>
      <c r="F35" s="1092"/>
      <c r="G35" s="1093"/>
      <c r="H35" s="157"/>
      <c r="I35" s="1063"/>
      <c r="J35" s="1064"/>
      <c r="K35" s="1064"/>
      <c r="L35" s="1064"/>
      <c r="M35" s="1064"/>
      <c r="N35" s="1065"/>
      <c r="O35" s="32"/>
    </row>
    <row r="36" spans="1:15" ht="21.95" customHeight="1">
      <c r="A36" s="122"/>
      <c r="B36" s="299" t="s">
        <v>153</v>
      </c>
      <c r="C36" s="196"/>
      <c r="D36" s="1091" t="str">
        <f>IF(ISBLANK(Программа!L54),"",(Программа!L54))</f>
        <v xml:space="preserve">Доступность новых препаратов и индивидуальных режимов вносит вклад в улучшение охвата ШЛУ пациентов лечением ТБ: начиная с 2017 года число ШЛУ случаев, взятых на лечение, имеет тенденцию к увеличению. НТП сообщает о 54 случаев ШЛУ ТБ, взятых на лечение в период с 4 кв 2018 г. по 1 кв 2019 г..   </v>
      </c>
      <c r="E36" s="1092"/>
      <c r="F36" s="1092"/>
      <c r="G36" s="1093"/>
      <c r="H36" s="157"/>
      <c r="I36" s="1063"/>
      <c r="J36" s="1064"/>
      <c r="K36" s="1064"/>
      <c r="L36" s="1064"/>
      <c r="M36" s="1064"/>
      <c r="N36" s="1065"/>
      <c r="O36" s="32"/>
    </row>
    <row r="37" spans="1:15" ht="21.95" customHeight="1">
      <c r="A37" s="122"/>
      <c r="B37" s="299" t="s">
        <v>154</v>
      </c>
      <c r="C37" s="196"/>
      <c r="D37" s="1091" t="str">
        <f>IF(ISBLANK(Программа!L55),"",(Программа!L55))</f>
        <v xml:space="preserve">Тестирование на ВИЧ доступно по всей стране. В течение отчетного периода 92% зарегистрированных пациентов в 4 кв.2018-1 кв.2019 г. были протестированы на ВИЧ (2786 из 3023 новых случаев и рецидивов). Согласно клиническому руководству, все ТБ пациенты должны быть протестированы на ВИЧ. </v>
      </c>
      <c r="E37" s="1092"/>
      <c r="F37" s="1092"/>
      <c r="G37" s="1093"/>
      <c r="H37" s="157"/>
      <c r="I37" s="1063"/>
      <c r="J37" s="1064"/>
      <c r="K37" s="1064"/>
      <c r="L37" s="1064"/>
      <c r="M37" s="1064"/>
      <c r="N37" s="1065"/>
      <c r="O37" s="32"/>
    </row>
    <row r="38" spans="1:15" ht="21.95" customHeight="1">
      <c r="A38" s="122"/>
      <c r="B38" s="299" t="s">
        <v>155</v>
      </c>
      <c r="C38" s="196"/>
      <c r="D38" s="1091" t="e">
        <f>IF(ISBLANK(Программа!#REF!),"",(Программа!#REF!))</f>
        <v>#REF!</v>
      </c>
      <c r="E38" s="1092"/>
      <c r="F38" s="1092"/>
      <c r="G38" s="1093"/>
      <c r="H38" s="157"/>
      <c r="I38" s="1063"/>
      <c r="J38" s="1064"/>
      <c r="K38" s="1064"/>
      <c r="L38" s="1064"/>
      <c r="M38" s="1064"/>
      <c r="N38" s="1065"/>
      <c r="O38" s="32"/>
    </row>
    <row r="39" spans="1:15" ht="21.95" customHeight="1">
      <c r="A39" s="122"/>
      <c r="B39" s="299" t="s">
        <v>156</v>
      </c>
      <c r="C39" s="196"/>
      <c r="D39" s="1091" t="e">
        <f>IF(ISBLANK(Программа!#REF!),"",(Программа!#REF!))</f>
        <v>#REF!</v>
      </c>
      <c r="E39" s="1092"/>
      <c r="F39" s="1092"/>
      <c r="G39" s="1093"/>
      <c r="H39" s="157"/>
      <c r="I39" s="1063"/>
      <c r="J39" s="1064"/>
      <c r="K39" s="1064"/>
      <c r="L39" s="1064"/>
      <c r="M39" s="1064"/>
      <c r="N39" s="1065"/>
      <c r="O39" s="32"/>
    </row>
    <row r="40" spans="1:15" ht="21.95" customHeight="1">
      <c r="A40" s="122"/>
      <c r="B40" s="299" t="s">
        <v>157</v>
      </c>
      <c r="C40" s="196"/>
      <c r="D40" s="1091" t="e">
        <f>IF(ISBLANK(Программа!#REF!),"",(Программа!#REF!))</f>
        <v>#REF!</v>
      </c>
      <c r="E40" s="1092"/>
      <c r="F40" s="1092"/>
      <c r="G40" s="1093"/>
      <c r="H40" s="157"/>
      <c r="I40" s="1063"/>
      <c r="J40" s="1064"/>
      <c r="K40" s="1064"/>
      <c r="L40" s="1064"/>
      <c r="M40" s="1064"/>
      <c r="N40" s="1065"/>
      <c r="O40" s="32"/>
    </row>
    <row r="41" spans="1:15" ht="21.95" customHeight="1" thickBot="1">
      <c r="A41" s="122"/>
      <c r="B41" s="331" t="s">
        <v>158</v>
      </c>
      <c r="C41" s="162"/>
      <c r="D41" s="1123" t="e">
        <f>IF(ISBLANK(Программа!#REF!),"",(Программа!#REF!))</f>
        <v>#REF!</v>
      </c>
      <c r="E41" s="1124"/>
      <c r="F41" s="1124"/>
      <c r="G41" s="1125"/>
      <c r="H41" s="157"/>
      <c r="I41" s="1132"/>
      <c r="J41" s="1133"/>
      <c r="K41" s="1133"/>
      <c r="L41" s="1133"/>
      <c r="M41" s="1133"/>
      <c r="N41" s="1134"/>
      <c r="O41" s="32"/>
    </row>
    <row r="42" spans="1:15" ht="14.25">
      <c r="A42" s="122"/>
      <c r="B42" s="163"/>
      <c r="C42" s="163"/>
      <c r="D42" s="164"/>
      <c r="E42" s="122"/>
      <c r="F42" s="163"/>
      <c r="G42" s="163"/>
      <c r="H42" s="122"/>
      <c r="I42" s="165"/>
      <c r="J42" s="122"/>
      <c r="K42" s="166"/>
      <c r="L42" s="166"/>
      <c r="M42" s="166"/>
      <c r="N42" s="166"/>
      <c r="O42" s="32"/>
    </row>
  </sheetData>
  <sheetProtection password="CFC9" sheet="1"/>
  <mergeCells count="65">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 ref="D30:G30"/>
    <mergeCell ref="D32:G32"/>
    <mergeCell ref="D24:G24"/>
    <mergeCell ref="I30:N30"/>
    <mergeCell ref="I31:N31"/>
    <mergeCell ref="B26:N26"/>
    <mergeCell ref="D23:G23"/>
    <mergeCell ref="I21:N21"/>
    <mergeCell ref="I22:N22"/>
    <mergeCell ref="I23:N23"/>
    <mergeCell ref="I29:N29"/>
    <mergeCell ref="B2:Q2"/>
    <mergeCell ref="E5:K5"/>
    <mergeCell ref="E3:K3"/>
    <mergeCell ref="C4:D4"/>
    <mergeCell ref="E4:K4"/>
    <mergeCell ref="C3:D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B1" zoomScaleNormal="110" zoomScaleSheetLayoutView="100" workbookViewId="0">
      <selection activeCell="B14" sqref="B14:E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40" t="str">
        <f>+"Панель показателей:  "&amp;"  "&amp;IF(+'Ввод данных'!B4="Выберите","",'Ввод данных'!B4&amp;" - ")&amp;IF('Ввод данных'!F6="Выберите","",'Ввод данных'!F6)</f>
        <v>Панель показателей:    Кыргызстан - ВИЧ/СПИД/ТБ</v>
      </c>
      <c r="C2" s="940"/>
      <c r="D2" s="940"/>
      <c r="E2" s="940"/>
      <c r="F2" s="940"/>
      <c r="G2" s="940"/>
      <c r="H2" s="940"/>
      <c r="I2" s="940"/>
      <c r="J2" s="940"/>
      <c r="K2" s="940"/>
      <c r="L2" s="940"/>
    </row>
    <row r="3" spans="1:13">
      <c r="B3" s="631">
        <f>+IF('Ввод данных'!F8="Выберите","",'Ввод данных'!F8)</f>
        <v>0</v>
      </c>
      <c r="C3" s="1219"/>
      <c r="D3" s="1219"/>
      <c r="E3" s="968"/>
      <c r="F3" s="968"/>
      <c r="G3" s="968"/>
      <c r="H3" s="968"/>
      <c r="I3" s="968"/>
      <c r="J3" s="969" t="str">
        <f>+'Ввод данных'!A16</f>
        <v>Отчетный период</v>
      </c>
      <c r="K3" s="969"/>
      <c r="L3" s="170" t="str">
        <f>+'Ввод данных'!B16</f>
        <v>P2</v>
      </c>
      <c r="M3" s="78"/>
    </row>
    <row r="4" spans="1:13">
      <c r="B4" s="321" t="str">
        <f>+'Ввод данных'!A12</f>
        <v>Последняя оценка:</v>
      </c>
      <c r="C4" s="1214" t="str">
        <f>+IF('Ввод данных'!B12="Выберите","",'Ввод данных'!B12)</f>
        <v>A1</v>
      </c>
      <c r="D4" s="1214"/>
      <c r="E4" s="968" t="str">
        <f>+'Ввод данных'!B8</f>
        <v>ПРООН</v>
      </c>
      <c r="F4" s="968"/>
      <c r="G4" s="968"/>
      <c r="H4" s="968"/>
      <c r="I4" s="968"/>
      <c r="J4" s="969" t="str">
        <f>+'Ввод данных'!C16</f>
        <v>с:</v>
      </c>
      <c r="K4" s="1217"/>
      <c r="L4" s="171">
        <f>+IF(ISBLANK('Ввод данных'!D16),"",'Ввод данных'!D16)</f>
        <v>43466</v>
      </c>
    </row>
    <row r="5" spans="1:13" ht="18.75" customHeight="1">
      <c r="B5" s="631"/>
      <c r="C5" s="631"/>
      <c r="D5" s="968"/>
      <c r="E5" s="968"/>
      <c r="F5" s="968"/>
      <c r="G5" s="968"/>
      <c r="H5" s="968"/>
      <c r="I5" s="968"/>
      <c r="J5" s="968"/>
      <c r="K5" s="631" t="str">
        <f>+'Ввод данных'!E16</f>
        <v>до:</v>
      </c>
      <c r="L5" s="171">
        <f>+IF(ISBLANK('Ввод данных'!F16),"",'Ввод данных'!F16)</f>
        <v>43646</v>
      </c>
    </row>
    <row r="6" spans="1:13" ht="18.75">
      <c r="B6" s="22"/>
      <c r="C6" s="631"/>
      <c r="D6" s="23"/>
      <c r="E6" s="1218" t="s">
        <v>458</v>
      </c>
      <c r="F6" s="1218"/>
      <c r="G6" s="1218"/>
      <c r="H6" s="1218"/>
      <c r="I6" s="1218"/>
    </row>
    <row r="7" spans="1:13" ht="18.75">
      <c r="E7" s="640"/>
      <c r="F7" s="640"/>
      <c r="G7" s="640"/>
      <c r="H7" s="640"/>
      <c r="I7" s="640"/>
    </row>
    <row r="8" spans="1:13" s="30" customFormat="1" ht="21" customHeight="1" thickBot="1">
      <c r="B8" s="70" t="s">
        <v>459</v>
      </c>
      <c r="C8" s="70"/>
      <c r="D8" s="70"/>
      <c r="E8" s="70"/>
      <c r="F8" s="70"/>
      <c r="G8" s="70"/>
      <c r="H8" s="70"/>
      <c r="I8" s="70"/>
      <c r="J8" s="70"/>
      <c r="K8" s="70"/>
      <c r="L8" s="70"/>
    </row>
    <row r="9" spans="1:13" ht="6" customHeight="1">
      <c r="B9" s="68"/>
    </row>
    <row r="10" spans="1:13">
      <c r="B10" s="1220"/>
      <c r="C10" s="1221"/>
      <c r="D10" s="1221"/>
      <c r="E10" s="1221"/>
      <c r="F10" s="1221"/>
      <c r="G10" s="1221"/>
      <c r="H10" s="1221"/>
      <c r="I10" s="1221"/>
      <c r="J10" s="1221"/>
      <c r="K10" s="1221"/>
      <c r="L10" s="1222"/>
    </row>
    <row r="11" spans="1:13">
      <c r="B11" s="1223"/>
      <c r="C11" s="1224"/>
      <c r="D11" s="1224"/>
      <c r="E11" s="1224"/>
      <c r="F11" s="1224"/>
      <c r="G11" s="1224"/>
      <c r="H11" s="1224"/>
      <c r="I11" s="1224"/>
      <c r="J11" s="1224"/>
      <c r="K11" s="1224"/>
      <c r="L11" s="1225"/>
    </row>
    <row r="12" spans="1:13" ht="15.75" thickBot="1"/>
    <row r="13" spans="1:13" ht="26.25" customHeight="1" thickBot="1">
      <c r="B13" s="1161" t="s">
        <v>460</v>
      </c>
      <c r="C13" s="1162"/>
      <c r="D13" s="1162"/>
      <c r="E13" s="1164"/>
      <c r="F13" s="71"/>
      <c r="G13" s="1148" t="s">
        <v>461</v>
      </c>
      <c r="H13" s="1149"/>
      <c r="I13" s="1149"/>
      <c r="J13" s="639" t="s">
        <v>462</v>
      </c>
      <c r="K13" s="1149" t="s">
        <v>463</v>
      </c>
      <c r="L13" s="1226"/>
    </row>
    <row r="14" spans="1:13">
      <c r="A14" s="1199" t="s">
        <v>198</v>
      </c>
      <c r="B14" s="1192"/>
      <c r="C14" s="1192"/>
      <c r="D14" s="1192"/>
      <c r="E14" s="1193"/>
      <c r="F14" s="43"/>
      <c r="G14" s="1202"/>
      <c r="H14" s="1153"/>
      <c r="I14" s="1153"/>
      <c r="J14" s="1157"/>
      <c r="K14" s="1215"/>
      <c r="L14" s="1216"/>
    </row>
    <row r="15" spans="1:13" ht="32.25" customHeight="1">
      <c r="A15" s="1200"/>
      <c r="B15" s="1192"/>
      <c r="C15" s="1192"/>
      <c r="D15" s="1192"/>
      <c r="E15" s="1193"/>
      <c r="F15" s="43"/>
      <c r="G15" s="1154"/>
      <c r="H15" s="1155"/>
      <c r="I15" s="1155"/>
      <c r="J15" s="1150"/>
      <c r="K15" s="1140"/>
      <c r="L15" s="1141"/>
    </row>
    <row r="16" spans="1:13">
      <c r="A16" s="1200"/>
      <c r="B16" s="1192"/>
      <c r="C16" s="1192"/>
      <c r="D16" s="1192"/>
      <c r="E16" s="1193"/>
      <c r="F16" s="43"/>
      <c r="G16" s="1154"/>
      <c r="H16" s="1155"/>
      <c r="I16" s="1155"/>
      <c r="J16" s="1156"/>
      <c r="K16" s="1138"/>
      <c r="L16" s="1139"/>
    </row>
    <row r="17" spans="1:12" ht="78.75" customHeight="1">
      <c r="A17" s="1200"/>
      <c r="B17" s="1192"/>
      <c r="C17" s="1192"/>
      <c r="D17" s="1192"/>
      <c r="E17" s="1193"/>
      <c r="F17" s="43"/>
      <c r="G17" s="1154"/>
      <c r="H17" s="1155"/>
      <c r="I17" s="1155"/>
      <c r="J17" s="1150"/>
      <c r="K17" s="1140"/>
      <c r="L17" s="1141"/>
    </row>
    <row r="18" spans="1:12">
      <c r="A18" s="1200"/>
      <c r="B18" s="1192"/>
      <c r="C18" s="1192"/>
      <c r="D18" s="1192"/>
      <c r="E18" s="1193"/>
      <c r="F18" s="43"/>
      <c r="G18" s="1142"/>
      <c r="H18" s="1143"/>
      <c r="I18" s="1144"/>
      <c r="J18" s="1156"/>
      <c r="K18" s="1138"/>
      <c r="L18" s="1139"/>
    </row>
    <row r="19" spans="1:12" ht="30.75" customHeight="1">
      <c r="A19" s="1200"/>
      <c r="B19" s="1192"/>
      <c r="C19" s="1192"/>
      <c r="D19" s="1192"/>
      <c r="E19" s="1193"/>
      <c r="F19" s="43"/>
      <c r="G19" s="1145"/>
      <c r="H19" s="1146"/>
      <c r="I19" s="1147"/>
      <c r="J19" s="1150"/>
      <c r="K19" s="1140"/>
      <c r="L19" s="1141"/>
    </row>
    <row r="20" spans="1:12">
      <c r="A20" s="1200"/>
      <c r="B20" s="1192"/>
      <c r="C20" s="1192"/>
      <c r="D20" s="1192"/>
      <c r="E20" s="1193"/>
      <c r="F20" s="43"/>
      <c r="G20" s="1154"/>
      <c r="H20" s="1155"/>
      <c r="I20" s="1155"/>
      <c r="J20" s="1156"/>
      <c r="K20" s="1138"/>
      <c r="L20" s="1139"/>
    </row>
    <row r="21" spans="1:12" ht="45.75" customHeight="1">
      <c r="A21" s="1200"/>
      <c r="B21" s="1192"/>
      <c r="C21" s="1192"/>
      <c r="D21" s="1192"/>
      <c r="E21" s="1193"/>
      <c r="F21" s="43"/>
      <c r="G21" s="1154"/>
      <c r="H21" s="1155"/>
      <c r="I21" s="1155"/>
      <c r="J21" s="1150"/>
      <c r="K21" s="1140"/>
      <c r="L21" s="1141"/>
    </row>
    <row r="22" spans="1:12">
      <c r="A22" s="1200"/>
      <c r="B22" s="1192"/>
      <c r="C22" s="1192"/>
      <c r="D22" s="1192"/>
      <c r="E22" s="1193"/>
      <c r="F22" s="43"/>
      <c r="G22" s="1154"/>
      <c r="H22" s="1155"/>
      <c r="I22" s="1155"/>
      <c r="J22" s="1152"/>
      <c r="K22" s="1150"/>
      <c r="L22" s="1151"/>
    </row>
    <row r="23" spans="1:12" ht="34.5" customHeight="1">
      <c r="A23" s="1200"/>
      <c r="B23" s="1192"/>
      <c r="C23" s="1192"/>
      <c r="D23" s="1192"/>
      <c r="E23" s="1193"/>
      <c r="F23" s="43"/>
      <c r="G23" s="1154"/>
      <c r="H23" s="1155"/>
      <c r="I23" s="1155"/>
      <c r="J23" s="1153"/>
      <c r="K23" s="1150"/>
      <c r="L23" s="1151"/>
    </row>
    <row r="24" spans="1:12" ht="15" customHeight="1">
      <c r="A24" s="1200"/>
      <c r="B24" s="1192"/>
      <c r="C24" s="1192"/>
      <c r="D24" s="1192"/>
      <c r="E24" s="1193"/>
      <c r="F24" s="43"/>
      <c r="G24" s="1154"/>
      <c r="H24" s="1155"/>
      <c r="I24" s="1155"/>
      <c r="J24" s="1156"/>
      <c r="K24" s="1230"/>
      <c r="L24" s="1179"/>
    </row>
    <row r="25" spans="1:12" ht="30" customHeight="1" thickBot="1">
      <c r="A25" s="1201"/>
      <c r="B25" s="1194"/>
      <c r="C25" s="1194"/>
      <c r="D25" s="1194"/>
      <c r="E25" s="1195"/>
      <c r="F25" s="43"/>
      <c r="G25" s="1165"/>
      <c r="H25" s="1166"/>
      <c r="I25" s="1166"/>
      <c r="J25" s="1213"/>
      <c r="K25" s="1231"/>
      <c r="L25" s="1182"/>
    </row>
    <row r="27" spans="1:12" ht="18.75" customHeight="1">
      <c r="D27" s="609"/>
      <c r="E27" s="315" t="s">
        <v>464</v>
      </c>
      <c r="F27" s="315"/>
      <c r="G27" s="315"/>
      <c r="H27" s="315"/>
      <c r="I27" s="315"/>
    </row>
    <row r="28" spans="1:12" ht="6" customHeight="1">
      <c r="E28" s="640"/>
      <c r="F28" s="640"/>
      <c r="G28" s="640"/>
      <c r="H28" s="640"/>
      <c r="I28" s="640"/>
    </row>
    <row r="29" spans="1:12" s="30" customFormat="1" ht="21" customHeight="1" thickBot="1">
      <c r="B29" s="70" t="s">
        <v>465</v>
      </c>
      <c r="C29" s="70"/>
      <c r="D29" s="70"/>
      <c r="E29" s="70"/>
      <c r="F29" s="70"/>
      <c r="G29" s="70"/>
      <c r="H29" s="70"/>
      <c r="I29" s="70"/>
      <c r="J29" s="70"/>
      <c r="K29" s="70"/>
      <c r="L29" s="70"/>
    </row>
    <row r="30" spans="1:12" ht="6" customHeight="1" thickBot="1">
      <c r="B30" s="68"/>
    </row>
    <row r="31" spans="1:12" ht="21.75" customHeight="1" thickBot="1">
      <c r="B31" s="1161" t="s">
        <v>461</v>
      </c>
      <c r="C31" s="1162"/>
      <c r="D31" s="1162"/>
      <c r="E31" s="1164"/>
      <c r="F31" s="71"/>
      <c r="G31" s="1161" t="s">
        <v>466</v>
      </c>
      <c r="H31" s="1162"/>
      <c r="I31" s="1163"/>
      <c r="J31" s="639" t="s">
        <v>467</v>
      </c>
      <c r="K31" s="1229" t="s">
        <v>463</v>
      </c>
      <c r="L31" s="1164"/>
    </row>
    <row r="32" spans="1:12" ht="14.25" customHeight="1">
      <c r="A32" s="1158" t="s">
        <v>468</v>
      </c>
      <c r="B32" s="1173"/>
      <c r="C32" s="1174"/>
      <c r="D32" s="1174"/>
      <c r="E32" s="1175"/>
      <c r="F32" s="43"/>
      <c r="G32" s="1196"/>
      <c r="H32" s="1197"/>
      <c r="I32" s="1198"/>
      <c r="J32" s="1228"/>
      <c r="K32" s="1215"/>
      <c r="L32" s="1216"/>
    </row>
    <row r="33" spans="1:12" ht="30" customHeight="1">
      <c r="A33" s="1159"/>
      <c r="B33" s="1145"/>
      <c r="C33" s="1146"/>
      <c r="D33" s="1146"/>
      <c r="E33" s="1176"/>
      <c r="F33" s="43"/>
      <c r="G33" s="1189"/>
      <c r="H33" s="1190"/>
      <c r="I33" s="1191"/>
      <c r="J33" s="1207"/>
      <c r="K33" s="1140"/>
      <c r="L33" s="1141"/>
    </row>
    <row r="34" spans="1:12">
      <c r="A34" s="1159"/>
      <c r="B34" s="1208"/>
      <c r="C34" s="1209"/>
      <c r="D34" s="1209"/>
      <c r="E34" s="1139"/>
      <c r="F34" s="43"/>
      <c r="G34" s="1186"/>
      <c r="H34" s="1187"/>
      <c r="I34" s="1188"/>
      <c r="J34" s="1212"/>
      <c r="K34" s="1232"/>
      <c r="L34" s="1233"/>
    </row>
    <row r="35" spans="1:12" ht="30" customHeight="1">
      <c r="A35" s="1159"/>
      <c r="B35" s="1210"/>
      <c r="C35" s="1211"/>
      <c r="D35" s="1211"/>
      <c r="E35" s="1141"/>
      <c r="F35" s="43"/>
      <c r="G35" s="1189"/>
      <c r="H35" s="1190"/>
      <c r="I35" s="1191"/>
      <c r="J35" s="1207"/>
      <c r="K35" s="1234"/>
      <c r="L35" s="1235"/>
    </row>
    <row r="36" spans="1:12">
      <c r="A36" s="1159"/>
      <c r="B36" s="1177"/>
      <c r="C36" s="1178"/>
      <c r="D36" s="1178"/>
      <c r="E36" s="1179"/>
      <c r="F36" s="43"/>
      <c r="G36" s="1186"/>
      <c r="H36" s="1187"/>
      <c r="I36" s="1188"/>
      <c r="J36" s="1206"/>
      <c r="K36" s="1232"/>
      <c r="L36" s="1233"/>
    </row>
    <row r="37" spans="1:12" ht="45" customHeight="1">
      <c r="A37" s="1159"/>
      <c r="B37" s="1203"/>
      <c r="C37" s="1204"/>
      <c r="D37" s="1204"/>
      <c r="E37" s="1205"/>
      <c r="F37" s="43"/>
      <c r="G37" s="1189"/>
      <c r="H37" s="1190"/>
      <c r="I37" s="1191"/>
      <c r="J37" s="1207"/>
      <c r="K37" s="1234"/>
      <c r="L37" s="1235"/>
    </row>
    <row r="38" spans="1:12">
      <c r="A38" s="1159"/>
      <c r="B38" s="1177"/>
      <c r="C38" s="1178"/>
      <c r="D38" s="1178"/>
      <c r="E38" s="1179"/>
      <c r="F38" s="43"/>
      <c r="G38" s="1167"/>
      <c r="H38" s="1168"/>
      <c r="I38" s="1169"/>
      <c r="J38" s="1206"/>
      <c r="K38" s="1236"/>
      <c r="L38" s="1237"/>
    </row>
    <row r="39" spans="1:12">
      <c r="A39" s="1159"/>
      <c r="B39" s="1203"/>
      <c r="C39" s="1204"/>
      <c r="D39" s="1204"/>
      <c r="E39" s="1205"/>
      <c r="F39" s="43"/>
      <c r="G39" s="1170"/>
      <c r="H39" s="1171"/>
      <c r="I39" s="1172"/>
      <c r="J39" s="1207"/>
      <c r="K39" s="1238"/>
      <c r="L39" s="1239"/>
    </row>
    <row r="40" spans="1:12">
      <c r="A40" s="1159"/>
      <c r="B40" s="1177"/>
      <c r="C40" s="1178"/>
      <c r="D40" s="1178"/>
      <c r="E40" s="1179"/>
      <c r="F40" s="43"/>
      <c r="G40" s="1167"/>
      <c r="H40" s="1168"/>
      <c r="I40" s="1169"/>
      <c r="J40" s="1206"/>
      <c r="K40" s="1236"/>
      <c r="L40" s="1237"/>
    </row>
    <row r="41" spans="1:12">
      <c r="A41" s="1159"/>
      <c r="B41" s="1203"/>
      <c r="C41" s="1204"/>
      <c r="D41" s="1204"/>
      <c r="E41" s="1205"/>
      <c r="F41" s="43"/>
      <c r="G41" s="1170"/>
      <c r="H41" s="1171"/>
      <c r="I41" s="1172"/>
      <c r="J41" s="1207"/>
      <c r="K41" s="1238"/>
      <c r="L41" s="1239"/>
    </row>
    <row r="42" spans="1:12">
      <c r="A42" s="1159"/>
      <c r="B42" s="1177"/>
      <c r="C42" s="1178"/>
      <c r="D42" s="1178"/>
      <c r="E42" s="1179"/>
      <c r="F42" s="43"/>
      <c r="G42" s="1167"/>
      <c r="H42" s="1168"/>
      <c r="I42" s="1169"/>
      <c r="J42" s="1206"/>
      <c r="K42" s="1236"/>
      <c r="L42" s="1237"/>
    </row>
    <row r="43" spans="1:12" ht="15.75" thickBot="1">
      <c r="A43" s="1160"/>
      <c r="B43" s="1180"/>
      <c r="C43" s="1181"/>
      <c r="D43" s="1181"/>
      <c r="E43" s="1182"/>
      <c r="F43" s="43"/>
      <c r="G43" s="1183"/>
      <c r="H43" s="1184"/>
      <c r="I43" s="1185"/>
      <c r="J43" s="1227"/>
      <c r="K43" s="1240"/>
      <c r="L43" s="1241"/>
    </row>
  </sheetData>
  <sheetProtection password="CFC9" sheet="1"/>
  <mergeCells count="66">
    <mergeCell ref="J42:J43"/>
    <mergeCell ref="J32:J33"/>
    <mergeCell ref="K31:L31"/>
    <mergeCell ref="K24:L25"/>
    <mergeCell ref="K34:L35"/>
    <mergeCell ref="K40:L41"/>
    <mergeCell ref="K42:L43"/>
    <mergeCell ref="K36:L37"/>
    <mergeCell ref="K38:L39"/>
    <mergeCell ref="K32:L33"/>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K18:L19"/>
    <mergeCell ref="G18:I19"/>
    <mergeCell ref="G13:I13"/>
    <mergeCell ref="K22:L23"/>
    <mergeCell ref="K20:L21"/>
    <mergeCell ref="J22:J23"/>
    <mergeCell ref="G16:I17"/>
    <mergeCell ref="J16:J17"/>
    <mergeCell ref="J14:J1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42" t="str">
        <f>'Сведения о гранте'!B3:J3</f>
        <v>Панель показателей:  Кыргызстан - ВИЧ/СПИД/ТБ</v>
      </c>
      <c r="C3" s="1242"/>
      <c r="D3" s="1242"/>
      <c r="E3" s="1242"/>
      <c r="F3" s="1242"/>
      <c r="G3" s="1242"/>
      <c r="H3" s="1242"/>
      <c r="I3" s="1"/>
    </row>
    <row r="6" spans="2:15" ht="18.75">
      <c r="B6" s="1243" t="s">
        <v>469</v>
      </c>
      <c r="C6" s="1243"/>
      <c r="D6" s="1243"/>
      <c r="E6" s="1243"/>
      <c r="F6" s="1243"/>
      <c r="G6" s="1243"/>
      <c r="H6" s="1243"/>
    </row>
    <row r="8" spans="2:15" ht="18.75">
      <c r="B8" s="58" t="s">
        <v>470</v>
      </c>
      <c r="C8" s="58" t="s">
        <v>471</v>
      </c>
      <c r="D8" s="58" t="s">
        <v>472</v>
      </c>
      <c r="E8" s="58" t="s">
        <v>473</v>
      </c>
      <c r="F8" s="58" t="s">
        <v>474</v>
      </c>
      <c r="G8" s="58" t="s">
        <v>410</v>
      </c>
      <c r="H8" s="58" t="s">
        <v>475</v>
      </c>
      <c r="I8" s="59" t="s">
        <v>476</v>
      </c>
      <c r="J8" s="59" t="s">
        <v>477</v>
      </c>
      <c r="M8" s="19"/>
      <c r="N8" s="19"/>
      <c r="O8" s="19"/>
    </row>
    <row r="9" spans="2:15">
      <c r="B9" s="301" t="s">
        <v>478</v>
      </c>
      <c r="C9" s="301" t="s">
        <v>478</v>
      </c>
      <c r="D9" s="301" t="s">
        <v>478</v>
      </c>
      <c r="E9" s="301" t="s">
        <v>478</v>
      </c>
      <c r="F9" s="301" t="s">
        <v>478</v>
      </c>
      <c r="G9" s="301" t="s">
        <v>478</v>
      </c>
      <c r="H9" s="301" t="s">
        <v>478</v>
      </c>
      <c r="I9" s="302" t="s">
        <v>478</v>
      </c>
      <c r="J9" s="301" t="s">
        <v>478</v>
      </c>
      <c r="M9" s="19"/>
      <c r="N9" s="19"/>
      <c r="O9" s="19"/>
    </row>
    <row r="10" spans="2:15">
      <c r="B10" s="54" t="s">
        <v>265</v>
      </c>
      <c r="C10" s="54" t="s">
        <v>147</v>
      </c>
      <c r="D10" s="54" t="s">
        <v>479</v>
      </c>
      <c r="E10" s="54" t="s">
        <v>480</v>
      </c>
      <c r="F10" s="54" t="s">
        <v>150</v>
      </c>
      <c r="G10" s="289" t="s">
        <v>130</v>
      </c>
      <c r="H10" s="57" t="s">
        <v>481</v>
      </c>
      <c r="I10" s="25" t="s">
        <v>482</v>
      </c>
      <c r="J10" s="301" t="s">
        <v>483</v>
      </c>
      <c r="M10" s="19"/>
      <c r="N10" s="19"/>
      <c r="O10" s="19"/>
    </row>
    <row r="11" spans="2:15">
      <c r="B11" s="54" t="s">
        <v>484</v>
      </c>
      <c r="C11" s="54" t="s">
        <v>485</v>
      </c>
      <c r="D11" s="54" t="s">
        <v>486</v>
      </c>
      <c r="E11" s="54" t="s">
        <v>487</v>
      </c>
      <c r="F11" s="54" t="s">
        <v>135</v>
      </c>
      <c r="G11" s="289" t="s">
        <v>488</v>
      </c>
      <c r="H11" s="57" t="s">
        <v>489</v>
      </c>
      <c r="I11" s="25" t="s">
        <v>490</v>
      </c>
      <c r="J11" s="301" t="s">
        <v>491</v>
      </c>
      <c r="M11" s="19"/>
      <c r="N11" s="19"/>
      <c r="O11" s="19"/>
    </row>
    <row r="12" spans="2:15">
      <c r="B12" s="54" t="s">
        <v>228</v>
      </c>
      <c r="D12" s="54" t="s">
        <v>492</v>
      </c>
      <c r="E12" s="54" t="s">
        <v>493</v>
      </c>
      <c r="F12" s="54" t="s">
        <v>151</v>
      </c>
      <c r="G12" s="289" t="s">
        <v>494</v>
      </c>
      <c r="H12" s="57" t="s">
        <v>495</v>
      </c>
      <c r="I12" s="25" t="s">
        <v>496</v>
      </c>
      <c r="J12" s="301" t="s">
        <v>497</v>
      </c>
      <c r="M12" s="167"/>
      <c r="N12" s="19"/>
      <c r="O12" s="19"/>
    </row>
    <row r="13" spans="2:15">
      <c r="B13" s="54" t="s">
        <v>120</v>
      </c>
      <c r="D13" s="54" t="s">
        <v>498</v>
      </c>
      <c r="E13" s="55"/>
      <c r="F13" s="54" t="s">
        <v>152</v>
      </c>
      <c r="G13" s="289" t="s">
        <v>499</v>
      </c>
      <c r="H13" s="57" t="s">
        <v>500</v>
      </c>
      <c r="I13" s="25" t="s">
        <v>501</v>
      </c>
      <c r="J13" s="301" t="s">
        <v>502</v>
      </c>
      <c r="M13" s="167"/>
      <c r="N13" s="19"/>
      <c r="O13" s="19"/>
    </row>
    <row r="14" spans="2:15">
      <c r="B14" s="54" t="s">
        <v>503</v>
      </c>
      <c r="D14" s="54" t="s">
        <v>504</v>
      </c>
      <c r="F14" s="54" t="s">
        <v>153</v>
      </c>
      <c r="G14" s="289" t="s">
        <v>505</v>
      </c>
      <c r="H14" s="57" t="s">
        <v>506</v>
      </c>
      <c r="I14" s="25" t="s">
        <v>507</v>
      </c>
      <c r="J14" s="301" t="s">
        <v>508</v>
      </c>
      <c r="M14" s="167"/>
      <c r="N14" s="19"/>
      <c r="O14" s="19"/>
    </row>
    <row r="15" spans="2:15">
      <c r="D15" s="54" t="s">
        <v>509</v>
      </c>
      <c r="F15" s="54" t="s">
        <v>154</v>
      </c>
      <c r="H15" s="57" t="s">
        <v>510</v>
      </c>
      <c r="I15" s="25" t="s">
        <v>511</v>
      </c>
      <c r="J15" s="301" t="s">
        <v>512</v>
      </c>
      <c r="M15" s="167"/>
      <c r="N15" s="19"/>
      <c r="O15" s="19"/>
    </row>
    <row r="16" spans="2:15">
      <c r="D16" s="54" t="s">
        <v>513</v>
      </c>
      <c r="F16" s="54" t="s">
        <v>155</v>
      </c>
      <c r="H16" s="57" t="s">
        <v>514</v>
      </c>
      <c r="I16" s="25" t="s">
        <v>515</v>
      </c>
      <c r="J16" s="301" t="s">
        <v>516</v>
      </c>
      <c r="M16" s="167"/>
      <c r="N16" s="19"/>
      <c r="O16" s="19"/>
    </row>
    <row r="17" spans="4:15">
      <c r="D17" s="54" t="s">
        <v>517</v>
      </c>
      <c r="F17" s="54" t="s">
        <v>156</v>
      </c>
      <c r="H17" s="57" t="s">
        <v>518</v>
      </c>
      <c r="I17" s="25" t="s">
        <v>519</v>
      </c>
      <c r="J17" s="301" t="s">
        <v>520</v>
      </c>
      <c r="M17" s="167"/>
      <c r="N17" s="19"/>
      <c r="O17" s="19"/>
    </row>
    <row r="18" spans="4:15">
      <c r="D18" s="54" t="s">
        <v>521</v>
      </c>
      <c r="F18" s="54" t="s">
        <v>157</v>
      </c>
      <c r="H18" s="57" t="s">
        <v>522</v>
      </c>
      <c r="I18" s="25" t="s">
        <v>523</v>
      </c>
      <c r="J18" s="301" t="s">
        <v>524</v>
      </c>
      <c r="M18" s="167"/>
      <c r="N18" s="19"/>
      <c r="O18" s="19"/>
    </row>
    <row r="19" spans="4:15">
      <c r="D19" s="54" t="s">
        <v>525</v>
      </c>
      <c r="F19" s="54" t="s">
        <v>158</v>
      </c>
      <c r="H19" s="57" t="s">
        <v>526</v>
      </c>
      <c r="I19" s="25" t="s">
        <v>527</v>
      </c>
      <c r="J19" s="301" t="s">
        <v>528</v>
      </c>
      <c r="M19" s="167"/>
      <c r="N19" s="19"/>
      <c r="O19" s="19"/>
    </row>
    <row r="20" spans="4:15">
      <c r="D20" s="56"/>
      <c r="F20" s="54" t="s">
        <v>159</v>
      </c>
      <c r="H20" s="57" t="s">
        <v>128</v>
      </c>
      <c r="I20" s="25" t="s">
        <v>529</v>
      </c>
      <c r="J20" s="301" t="s">
        <v>530</v>
      </c>
      <c r="M20" s="19"/>
      <c r="N20" s="19"/>
      <c r="O20" s="19"/>
    </row>
    <row r="21" spans="4:15">
      <c r="D21" s="554"/>
      <c r="F21" s="54" t="s">
        <v>160</v>
      </c>
      <c r="H21" s="554"/>
      <c r="I21" s="25" t="s">
        <v>531</v>
      </c>
      <c r="J21" s="301" t="s">
        <v>532</v>
      </c>
      <c r="M21" s="19"/>
      <c r="N21" s="19"/>
      <c r="O21" s="19"/>
    </row>
    <row r="22" spans="4:15">
      <c r="H22" s="554"/>
      <c r="I22" s="25" t="s">
        <v>533</v>
      </c>
      <c r="J22" s="301" t="s">
        <v>534</v>
      </c>
      <c r="M22" s="19"/>
      <c r="N22" s="19"/>
      <c r="O22" s="19"/>
    </row>
    <row r="23" spans="4:15">
      <c r="I23" s="25" t="s">
        <v>535</v>
      </c>
      <c r="J23" s="301" t="s">
        <v>536</v>
      </c>
      <c r="M23" s="19"/>
      <c r="N23" s="19"/>
      <c r="O23" s="19"/>
    </row>
    <row r="24" spans="4:15">
      <c r="I24" s="25" t="s">
        <v>537</v>
      </c>
      <c r="J24" s="301" t="s">
        <v>538</v>
      </c>
      <c r="M24" s="19"/>
      <c r="N24" s="19"/>
      <c r="O24" s="19"/>
    </row>
    <row r="25" spans="4:15">
      <c r="I25" s="42"/>
      <c r="J25" s="301" t="s">
        <v>539</v>
      </c>
    </row>
    <row r="26" spans="4:15">
      <c r="I26" s="25" t="s">
        <v>540</v>
      </c>
      <c r="J26" s="301" t="s">
        <v>541</v>
      </c>
    </row>
    <row r="27" spans="4:15">
      <c r="I27" s="25" t="s">
        <v>542</v>
      </c>
      <c r="J27" s="301" t="s">
        <v>543</v>
      </c>
    </row>
    <row r="28" spans="4:15">
      <c r="I28" s="42" t="s">
        <v>544</v>
      </c>
      <c r="J28" s="301" t="s">
        <v>545</v>
      </c>
    </row>
    <row r="29" spans="4:15">
      <c r="I29" s="42" t="s">
        <v>546</v>
      </c>
      <c r="J29" s="301" t="s">
        <v>547</v>
      </c>
    </row>
    <row r="30" spans="4:15">
      <c r="I30" s="42" t="s">
        <v>529</v>
      </c>
      <c r="J30" s="301" t="s">
        <v>548</v>
      </c>
    </row>
    <row r="31" spans="4:15">
      <c r="J31" s="301" t="s">
        <v>549</v>
      </c>
    </row>
    <row r="32" spans="4:15">
      <c r="J32" s="301" t="s">
        <v>550</v>
      </c>
    </row>
    <row r="33" spans="10:10">
      <c r="J33" s="301" t="s">
        <v>551</v>
      </c>
    </row>
    <row r="34" spans="10:10">
      <c r="J34" s="301" t="s">
        <v>552</v>
      </c>
    </row>
    <row r="35" spans="10:10">
      <c r="J35" s="301" t="s">
        <v>553</v>
      </c>
    </row>
    <row r="36" spans="10:10">
      <c r="J36" s="301" t="s">
        <v>553</v>
      </c>
    </row>
    <row r="37" spans="10:10">
      <c r="J37" s="301" t="s">
        <v>554</v>
      </c>
    </row>
    <row r="38" spans="10:10">
      <c r="J38" s="301" t="s">
        <v>555</v>
      </c>
    </row>
    <row r="39" spans="10:10">
      <c r="J39" s="301" t="s">
        <v>556</v>
      </c>
    </row>
    <row r="40" spans="10:10">
      <c r="J40" s="301" t="s">
        <v>557</v>
      </c>
    </row>
    <row r="41" spans="10:10">
      <c r="J41" s="301" t="s">
        <v>558</v>
      </c>
    </row>
    <row r="42" spans="10:10">
      <c r="J42" s="301" t="s">
        <v>559</v>
      </c>
    </row>
    <row r="43" spans="10:10">
      <c r="J43" s="301" t="s">
        <v>560</v>
      </c>
    </row>
    <row r="44" spans="10:10">
      <c r="J44" s="301" t="s">
        <v>561</v>
      </c>
    </row>
    <row r="45" spans="10:10">
      <c r="J45" s="301" t="s">
        <v>562</v>
      </c>
    </row>
    <row r="46" spans="10:10">
      <c r="J46" s="301" t="s">
        <v>563</v>
      </c>
    </row>
    <row r="47" spans="10:10">
      <c r="J47" s="301" t="s">
        <v>564</v>
      </c>
    </row>
    <row r="48" spans="10:10">
      <c r="J48" s="301" t="s">
        <v>565</v>
      </c>
    </row>
    <row r="49" spans="10:10">
      <c r="J49" s="301" t="s">
        <v>566</v>
      </c>
    </row>
    <row r="50" spans="10:10">
      <c r="J50" s="301" t="s">
        <v>567</v>
      </c>
    </row>
    <row r="51" spans="10:10">
      <c r="J51" s="301" t="s">
        <v>568</v>
      </c>
    </row>
    <row r="52" spans="10:10">
      <c r="J52" s="301" t="s">
        <v>569</v>
      </c>
    </row>
    <row r="53" spans="10:10">
      <c r="J53" s="301" t="s">
        <v>570</v>
      </c>
    </row>
    <row r="54" spans="10:10">
      <c r="J54" s="301" t="s">
        <v>571</v>
      </c>
    </row>
    <row r="55" spans="10:10">
      <c r="J55" s="301" t="s">
        <v>572</v>
      </c>
    </row>
    <row r="56" spans="10:10">
      <c r="J56" s="301" t="s">
        <v>573</v>
      </c>
    </row>
    <row r="57" spans="10:10">
      <c r="J57" s="301" t="s">
        <v>574</v>
      </c>
    </row>
    <row r="58" spans="10:10">
      <c r="J58" s="301" t="s">
        <v>575</v>
      </c>
    </row>
    <row r="59" spans="10:10">
      <c r="J59" s="301" t="s">
        <v>576</v>
      </c>
    </row>
    <row r="60" spans="10:10">
      <c r="J60" s="301" t="s">
        <v>577</v>
      </c>
    </row>
    <row r="61" spans="10:10">
      <c r="J61" s="301" t="s">
        <v>578</v>
      </c>
    </row>
    <row r="62" spans="10:10">
      <c r="J62" s="301" t="s">
        <v>579</v>
      </c>
    </row>
    <row r="63" spans="10:10">
      <c r="J63" s="301" t="s">
        <v>580</v>
      </c>
    </row>
    <row r="64" spans="10:10">
      <c r="J64" s="301" t="s">
        <v>581</v>
      </c>
    </row>
    <row r="65" spans="10:10">
      <c r="J65" s="301" t="s">
        <v>582</v>
      </c>
    </row>
    <row r="66" spans="10:10">
      <c r="J66" s="301" t="s">
        <v>583</v>
      </c>
    </row>
    <row r="67" spans="10:10">
      <c r="J67" s="301" t="s">
        <v>584</v>
      </c>
    </row>
    <row r="68" spans="10:10">
      <c r="J68" s="301" t="s">
        <v>585</v>
      </c>
    </row>
    <row r="69" spans="10:10">
      <c r="J69" s="301" t="s">
        <v>586</v>
      </c>
    </row>
    <row r="70" spans="10:10">
      <c r="J70" s="301" t="s">
        <v>587</v>
      </c>
    </row>
    <row r="71" spans="10:10">
      <c r="J71" s="301" t="s">
        <v>588</v>
      </c>
    </row>
    <row r="72" spans="10:10">
      <c r="J72" s="301" t="s">
        <v>589</v>
      </c>
    </row>
    <row r="73" spans="10:10">
      <c r="J73" s="301" t="s">
        <v>590</v>
      </c>
    </row>
    <row r="74" spans="10:10">
      <c r="J74" s="301" t="s">
        <v>591</v>
      </c>
    </row>
    <row r="75" spans="10:10">
      <c r="J75" s="301" t="s">
        <v>592</v>
      </c>
    </row>
    <row r="76" spans="10:10">
      <c r="J76" s="301" t="s">
        <v>114</v>
      </c>
    </row>
    <row r="77" spans="10:10">
      <c r="J77" s="301" t="s">
        <v>593</v>
      </c>
    </row>
    <row r="78" spans="10:10">
      <c r="J78" s="301" t="s">
        <v>594</v>
      </c>
    </row>
    <row r="79" spans="10:10">
      <c r="J79" s="301" t="s">
        <v>595</v>
      </c>
    </row>
    <row r="80" spans="10:10">
      <c r="J80" s="301" t="s">
        <v>596</v>
      </c>
    </row>
    <row r="81" spans="10:10">
      <c r="J81" s="301" t="s">
        <v>597</v>
      </c>
    </row>
    <row r="82" spans="10:10">
      <c r="J82" s="301" t="s">
        <v>598</v>
      </c>
    </row>
    <row r="83" spans="10:10">
      <c r="J83" s="301" t="s">
        <v>599</v>
      </c>
    </row>
    <row r="84" spans="10:10">
      <c r="J84" s="301" t="s">
        <v>600</v>
      </c>
    </row>
    <row r="85" spans="10:10">
      <c r="J85" s="301" t="s">
        <v>601</v>
      </c>
    </row>
    <row r="86" spans="10:10">
      <c r="J86" s="301" t="s">
        <v>602</v>
      </c>
    </row>
    <row r="87" spans="10:10">
      <c r="J87" s="301" t="s">
        <v>603</v>
      </c>
    </row>
    <row r="88" spans="10:10">
      <c r="J88" s="301" t="s">
        <v>604</v>
      </c>
    </row>
    <row r="89" spans="10:10">
      <c r="J89" s="301" t="s">
        <v>605</v>
      </c>
    </row>
    <row r="90" spans="10:10">
      <c r="J90" s="301" t="s">
        <v>606</v>
      </c>
    </row>
    <row r="91" spans="10:10">
      <c r="J91" s="301" t="s">
        <v>607</v>
      </c>
    </row>
    <row r="92" spans="10:10">
      <c r="J92" s="301" t="s">
        <v>608</v>
      </c>
    </row>
    <row r="93" spans="10:10">
      <c r="J93" s="301" t="s">
        <v>609</v>
      </c>
    </row>
    <row r="94" spans="10:10">
      <c r="J94" s="301" t="s">
        <v>610</v>
      </c>
    </row>
    <row r="95" spans="10:10">
      <c r="J95" s="301" t="s">
        <v>611</v>
      </c>
    </row>
    <row r="96" spans="10:10">
      <c r="J96" s="301" t="s">
        <v>612</v>
      </c>
    </row>
    <row r="97" spans="10:10">
      <c r="J97" s="301" t="s">
        <v>613</v>
      </c>
    </row>
    <row r="98" spans="10:10">
      <c r="J98" s="301" t="s">
        <v>614</v>
      </c>
    </row>
    <row r="99" spans="10:10">
      <c r="J99" s="301" t="s">
        <v>615</v>
      </c>
    </row>
    <row r="100" spans="10:10">
      <c r="J100" s="301" t="s">
        <v>616</v>
      </c>
    </row>
    <row r="101" spans="10:10">
      <c r="J101" s="301" t="s">
        <v>617</v>
      </c>
    </row>
    <row r="102" spans="10:10">
      <c r="J102" s="301" t="s">
        <v>618</v>
      </c>
    </row>
    <row r="103" spans="10:10">
      <c r="J103" s="301" t="s">
        <v>619</v>
      </c>
    </row>
    <row r="104" spans="10:10">
      <c r="J104" s="301" t="s">
        <v>620</v>
      </c>
    </row>
    <row r="105" spans="10:10">
      <c r="J105" s="301" t="s">
        <v>621</v>
      </c>
    </row>
    <row r="106" spans="10:10">
      <c r="J106" s="301" t="s">
        <v>622</v>
      </c>
    </row>
    <row r="107" spans="10:10">
      <c r="J107" s="301" t="s">
        <v>623</v>
      </c>
    </row>
    <row r="108" spans="10:10">
      <c r="J108" s="301" t="s">
        <v>624</v>
      </c>
    </row>
    <row r="109" spans="10:10">
      <c r="J109" s="301" t="s">
        <v>625</v>
      </c>
    </row>
    <row r="110" spans="10:10">
      <c r="J110" s="301" t="s">
        <v>626</v>
      </c>
    </row>
    <row r="111" spans="10:10">
      <c r="J111" s="301" t="s">
        <v>627</v>
      </c>
    </row>
    <row r="112" spans="10:10">
      <c r="J112" s="301" t="s">
        <v>628</v>
      </c>
    </row>
    <row r="113" spans="10:10">
      <c r="J113" s="301" t="s">
        <v>629</v>
      </c>
    </row>
    <row r="114" spans="10:10">
      <c r="J114" s="301" t="s">
        <v>630</v>
      </c>
    </row>
    <row r="115" spans="10:10">
      <c r="J115" s="301" t="s">
        <v>631</v>
      </c>
    </row>
    <row r="116" spans="10:10">
      <c r="J116" s="301" t="s">
        <v>632</v>
      </c>
    </row>
    <row r="117" spans="10:10">
      <c r="J117" s="301" t="s">
        <v>633</v>
      </c>
    </row>
    <row r="118" spans="10:10">
      <c r="J118" s="301" t="s">
        <v>634</v>
      </c>
    </row>
    <row r="119" spans="10:10">
      <c r="J119" s="301" t="s">
        <v>635</v>
      </c>
    </row>
    <row r="120" spans="10:10">
      <c r="J120" s="301" t="s">
        <v>636</v>
      </c>
    </row>
    <row r="121" spans="10:10">
      <c r="J121" s="301" t="s">
        <v>637</v>
      </c>
    </row>
    <row r="122" spans="10:10">
      <c r="J122" s="301" t="s">
        <v>638</v>
      </c>
    </row>
    <row r="123" spans="10:10">
      <c r="J123" s="301" t="s">
        <v>639</v>
      </c>
    </row>
    <row r="124" spans="10:10">
      <c r="J124" s="301" t="s">
        <v>640</v>
      </c>
    </row>
    <row r="125" spans="10:10">
      <c r="J125" s="301" t="s">
        <v>641</v>
      </c>
    </row>
    <row r="126" spans="10:10">
      <c r="J126" s="301" t="s">
        <v>642</v>
      </c>
    </row>
    <row r="127" spans="10:10">
      <c r="J127" s="301" t="s">
        <v>643</v>
      </c>
    </row>
    <row r="128" spans="10:10">
      <c r="J128" s="301" t="s">
        <v>644</v>
      </c>
    </row>
    <row r="129" spans="10:10">
      <c r="J129" s="301" t="s">
        <v>645</v>
      </c>
    </row>
    <row r="130" spans="10:10">
      <c r="J130" s="301" t="s">
        <v>646</v>
      </c>
    </row>
    <row r="131" spans="10:10">
      <c r="J131" s="301" t="s">
        <v>647</v>
      </c>
    </row>
    <row r="132" spans="10:10">
      <c r="J132" s="301" t="s">
        <v>648</v>
      </c>
    </row>
    <row r="133" spans="10:10">
      <c r="J133" s="301" t="s">
        <v>649</v>
      </c>
    </row>
    <row r="134" spans="10:10">
      <c r="J134" s="301" t="s">
        <v>650</v>
      </c>
    </row>
    <row r="135" spans="10:10">
      <c r="J135" s="301" t="s">
        <v>651</v>
      </c>
    </row>
    <row r="136" spans="10:10">
      <c r="J136" s="301" t="s">
        <v>652</v>
      </c>
    </row>
    <row r="137" spans="10:10">
      <c r="J137" s="301" t="s">
        <v>653</v>
      </c>
    </row>
    <row r="138" spans="10:10">
      <c r="J138" s="301" t="s">
        <v>654</v>
      </c>
    </row>
    <row r="139" spans="10:10">
      <c r="J139" s="301" t="s">
        <v>655</v>
      </c>
    </row>
    <row r="140" spans="10:10">
      <c r="J140" s="301" t="s">
        <v>656</v>
      </c>
    </row>
    <row r="141" spans="10:10">
      <c r="J141" s="301" t="s">
        <v>657</v>
      </c>
    </row>
    <row r="142" spans="10:10">
      <c r="J142" s="301" t="s">
        <v>658</v>
      </c>
    </row>
    <row r="143" spans="10:10">
      <c r="J143" s="301" t="s">
        <v>659</v>
      </c>
    </row>
    <row r="144" spans="10:10">
      <c r="J144" s="28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68" t="s">
        <v>660</v>
      </c>
      <c r="B1" t="s">
        <v>661</v>
      </c>
    </row>
    <row r="2" spans="1:2">
      <c r="A2" s="68" t="s">
        <v>662</v>
      </c>
      <c r="B2" t="s">
        <v>663</v>
      </c>
    </row>
    <row r="3" spans="1:2">
      <c r="A3" s="68" t="s">
        <v>664</v>
      </c>
      <c r="B3" t="s">
        <v>665</v>
      </c>
    </row>
    <row r="4" spans="1:2">
      <c r="A4" s="68" t="s">
        <v>666</v>
      </c>
      <c r="B4" t="s">
        <v>667</v>
      </c>
    </row>
    <row r="5" spans="1:2">
      <c r="A5" s="68" t="s">
        <v>668</v>
      </c>
      <c r="B5" t="s">
        <v>669</v>
      </c>
    </row>
    <row r="6" spans="1:2">
      <c r="A6" s="68" t="s">
        <v>670</v>
      </c>
      <c r="B6" t="s">
        <v>671</v>
      </c>
    </row>
    <row r="7" spans="1:2">
      <c r="A7" s="68" t="s">
        <v>672</v>
      </c>
      <c r="B7" t="s">
        <v>673</v>
      </c>
    </row>
    <row r="8" spans="1:2">
      <c r="A8" s="68" t="s">
        <v>674</v>
      </c>
      <c r="B8" t="s">
        <v>675</v>
      </c>
    </row>
    <row r="9" spans="1:2">
      <c r="A9" s="68" t="s">
        <v>676</v>
      </c>
      <c r="B9" t="s">
        <v>677</v>
      </c>
    </row>
    <row r="10" spans="1:2">
      <c r="A10" s="68" t="s">
        <v>678</v>
      </c>
      <c r="B10" t="s">
        <v>679</v>
      </c>
    </row>
    <row r="11" spans="1:2">
      <c r="A11" s="68" t="s">
        <v>680</v>
      </c>
      <c r="B11" t="s">
        <v>681</v>
      </c>
    </row>
    <row r="12" spans="1:2">
      <c r="A12" s="68" t="s">
        <v>682</v>
      </c>
      <c r="B12" t="s">
        <v>683</v>
      </c>
    </row>
    <row r="13" spans="1:2">
      <c r="A13" s="68" t="s">
        <v>684</v>
      </c>
      <c r="B13" t="s">
        <v>685</v>
      </c>
    </row>
    <row r="14" spans="1:2">
      <c r="A14" s="68" t="s">
        <v>686</v>
      </c>
      <c r="B14" t="s">
        <v>687</v>
      </c>
    </row>
    <row r="15" spans="1:2">
      <c r="A15" s="68" t="s">
        <v>688</v>
      </c>
      <c r="B15" t="s">
        <v>689</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346"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343" t="s">
        <v>690</v>
      </c>
      <c r="C3" s="279">
        <v>196425</v>
      </c>
      <c r="D3" s="282">
        <v>10086.190000000002</v>
      </c>
      <c r="I3" s="348"/>
      <c r="J3" s="349"/>
      <c r="K3" s="349"/>
      <c r="L3" s="349"/>
    </row>
    <row r="4" spans="2:12" ht="34.5">
      <c r="B4" s="343" t="s">
        <v>691</v>
      </c>
      <c r="C4" s="279">
        <v>2920215</v>
      </c>
      <c r="D4" s="282">
        <v>1283202.9400000002</v>
      </c>
      <c r="I4" s="350"/>
      <c r="J4" s="351"/>
      <c r="K4" s="351"/>
      <c r="L4" s="351"/>
    </row>
    <row r="5" spans="2:12">
      <c r="B5" s="344" t="s">
        <v>692</v>
      </c>
      <c r="C5" s="280">
        <v>343499</v>
      </c>
      <c r="D5" s="282">
        <v>304251.71999999997</v>
      </c>
    </row>
    <row r="6" spans="2:12" ht="15.75" thickBot="1">
      <c r="B6" s="345" t="s">
        <v>195</v>
      </c>
      <c r="C6" s="285">
        <f>SUM(C3:C5)</f>
        <v>3460139</v>
      </c>
      <c r="D6" s="286">
        <f>SUM(D3:D5)</f>
        <v>1597540.85</v>
      </c>
      <c r="I6" s="354"/>
      <c r="L6" s="355"/>
    </row>
    <row r="7" spans="2:12" ht="57">
      <c r="I7" s="352" t="s">
        <v>693</v>
      </c>
      <c r="L7" s="353"/>
    </row>
    <row r="8" spans="2:12" ht="34.5">
      <c r="I8" s="354" t="s">
        <v>694</v>
      </c>
      <c r="L8" s="359"/>
    </row>
    <row r="9" spans="2:12">
      <c r="I9" s="354" t="s">
        <v>695</v>
      </c>
      <c r="L9" s="355"/>
    </row>
    <row r="10" spans="2:12" ht="15.75" thickBot="1">
      <c r="B10" s="349"/>
      <c r="C10" s="42" t="s">
        <v>696</v>
      </c>
      <c r="D10" s="42" t="s">
        <v>697</v>
      </c>
      <c r="E10" s="42" t="s">
        <v>698</v>
      </c>
      <c r="F10" s="42" t="s">
        <v>699</v>
      </c>
      <c r="G10" s="42"/>
      <c r="I10" s="356"/>
      <c r="J10" s="357">
        <f>SUM(J6:J9)</f>
        <v>0</v>
      </c>
      <c r="K10" s="357">
        <f>SUM(K6:K9)</f>
        <v>0</v>
      </c>
      <c r="L10" s="358"/>
    </row>
    <row r="11" spans="2:12" ht="26.25">
      <c r="B11" s="365" t="s">
        <v>690</v>
      </c>
      <c r="C11" s="361">
        <v>78211</v>
      </c>
      <c r="D11" s="362">
        <f>445269.08+4207.73</f>
        <v>449476.81</v>
      </c>
      <c r="E11" s="363">
        <v>554706</v>
      </c>
      <c r="F11" s="363">
        <v>459562.80000000005</v>
      </c>
      <c r="G11" s="364"/>
    </row>
    <row r="12" spans="2:12" ht="39">
      <c r="B12" s="365" t="s">
        <v>691</v>
      </c>
      <c r="C12" s="361">
        <v>797425.72399999993</v>
      </c>
      <c r="D12" s="362">
        <f>1328985.16+10597.9</f>
        <v>1339583.0599999998</v>
      </c>
      <c r="E12" s="363">
        <v>4906100</v>
      </c>
      <c r="F12" s="363">
        <v>2622785.89</v>
      </c>
      <c r="G12" s="364"/>
    </row>
    <row r="13" spans="2:12">
      <c r="B13" s="366" t="s">
        <v>692</v>
      </c>
      <c r="C13" s="362">
        <v>282670.70082999999</v>
      </c>
      <c r="D13" s="362">
        <f>116992.65-1717</f>
        <v>115275.65</v>
      </c>
      <c r="E13" s="363">
        <v>659696</v>
      </c>
      <c r="F13" s="363">
        <v>419527.37</v>
      </c>
      <c r="G13" s="364"/>
    </row>
    <row r="14" spans="2:12">
      <c r="B14" s="367" t="s">
        <v>195</v>
      </c>
      <c r="C14" s="368">
        <f>SUM(C11:C13)</f>
        <v>1158307.4248299999</v>
      </c>
      <c r="D14" s="368">
        <f>SUM(D11:D13)</f>
        <v>1904335.5199999998</v>
      </c>
      <c r="E14" s="369">
        <f>SUM(E11:E13)</f>
        <v>6120502</v>
      </c>
      <c r="F14" s="369">
        <f>SUM(F11:F13)</f>
        <v>3501876.0600000005</v>
      </c>
      <c r="G14" s="369"/>
    </row>
    <row r="17" spans="2:9">
      <c r="D17" s="360"/>
    </row>
    <row r="18" spans="2:9">
      <c r="B18" s="346" t="s">
        <v>700</v>
      </c>
      <c r="C18">
        <v>1854771.0908137045</v>
      </c>
      <c r="D18">
        <v>1486069.9447738212</v>
      </c>
      <c r="E18">
        <f>SUM(C18:D18)</f>
        <v>3340841.0355875259</v>
      </c>
      <c r="F18">
        <v>1515782.6800000002</v>
      </c>
      <c r="G18">
        <f>F18-D18</f>
        <v>29712.735226179007</v>
      </c>
    </row>
    <row r="19" spans="2:9">
      <c r="B19" s="346" t="s">
        <v>701</v>
      </c>
      <c r="C19">
        <v>64356.800000000003</v>
      </c>
      <c r="D19">
        <v>96678.23</v>
      </c>
      <c r="E19">
        <f t="shared" ref="E19:E20" si="0">SUM(C19:D19)</f>
        <v>161035.03</v>
      </c>
      <c r="F19">
        <v>87839.17</v>
      </c>
      <c r="G19">
        <f>F19-D19</f>
        <v>-8839.0599999999977</v>
      </c>
    </row>
    <row r="20" spans="2:9">
      <c r="B20" s="346" t="s">
        <v>702</v>
      </c>
      <c r="C20">
        <v>1919127.8908137046</v>
      </c>
      <c r="D20">
        <v>1582748.1747738211</v>
      </c>
      <c r="E20">
        <f t="shared" si="0"/>
        <v>3501876.0655875257</v>
      </c>
      <c r="F20">
        <f>SUM(F18:F19)</f>
        <v>1603621.85</v>
      </c>
    </row>
    <row r="21" spans="2:9">
      <c r="D21">
        <v>1603622</v>
      </c>
    </row>
    <row r="22" spans="2:9">
      <c r="D22" s="370">
        <f>D21-D20</f>
        <v>20873.825226178858</v>
      </c>
      <c r="F22" s="360">
        <f>D14+F20</f>
        <v>3507957.37</v>
      </c>
    </row>
    <row r="25" spans="2:9" ht="45">
      <c r="E25" s="347" t="s">
        <v>703</v>
      </c>
      <c r="F25" t="s">
        <v>704</v>
      </c>
      <c r="H25" t="s">
        <v>705</v>
      </c>
    </row>
    <row r="26" spans="2:9">
      <c r="B26" s="346" t="s">
        <v>199</v>
      </c>
      <c r="C26">
        <v>5365504</v>
      </c>
      <c r="D26">
        <v>4274978</v>
      </c>
      <c r="E26">
        <v>9640482</v>
      </c>
      <c r="F26">
        <v>5365504</v>
      </c>
      <c r="G26">
        <f>E26-F26</f>
        <v>4274978</v>
      </c>
      <c r="H26">
        <v>4274978</v>
      </c>
    </row>
    <row r="27" spans="2:9">
      <c r="B27" s="346" t="s">
        <v>200</v>
      </c>
      <c r="C27">
        <v>2778659</v>
      </c>
      <c r="D27">
        <v>1515782.6</v>
      </c>
      <c r="E27">
        <v>4302570</v>
      </c>
      <c r="F27">
        <v>2778659</v>
      </c>
      <c r="G27">
        <f t="shared" ref="G27:G28" si="1">E27-F27</f>
        <v>1523911</v>
      </c>
      <c r="H27">
        <v>1515783</v>
      </c>
      <c r="I27">
        <f>E27-H27</f>
        <v>2786787</v>
      </c>
    </row>
    <row r="28" spans="2:9">
      <c r="B28" s="346" t="s">
        <v>201</v>
      </c>
      <c r="C28">
        <v>146899</v>
      </c>
      <c r="D28">
        <v>87839</v>
      </c>
      <c r="E28">
        <v>228574</v>
      </c>
      <c r="F28">
        <v>146899</v>
      </c>
      <c r="G28">
        <f t="shared" si="1"/>
        <v>81675</v>
      </c>
      <c r="H28">
        <v>87839</v>
      </c>
      <c r="I28">
        <f>E28-H28</f>
        <v>140735</v>
      </c>
    </row>
    <row r="29" spans="2:9">
      <c r="B29" s="346" t="s">
        <v>202</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EBAFB83A586EF4F94E7F07E84C3D94B" ma:contentTypeVersion="11" ma:contentTypeDescription="Создание документа." ma:contentTypeScope="" ma:versionID="9764722808648bf14272150f53e434c1">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1223af74d8d44661e03e22fda91d430f"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Состояние одобрения"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CCD5A-6197-48E7-BF76-419C86216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90553-ac12-4b9f-ace9-08ae9ba49871"/>
    <ds:schemaRef ds:uri="b7c0ead1-1596-430a-9f15-fe6efc5e9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FA6C9-3F96-4413-B912-D348D4E4188B}">
  <ds:schemaRefs>
    <ds:schemaRef ds:uri="http://schemas.microsoft.com/office/2006/metadata/properties"/>
    <ds:schemaRef ds:uri="http://schemas.microsoft.com/office/infopath/2007/PartnerControls"/>
    <ds:schemaRef ds:uri="0d090553-ac12-4b9f-ace9-08ae9ba49871"/>
  </ds:schemaRefs>
</ds:datastoreItem>
</file>

<file path=customXml/itemProps3.xml><?xml version="1.0" encoding="utf-8"?>
<ds:datastoreItem xmlns:ds="http://schemas.openxmlformats.org/officeDocument/2006/customXml" ds:itemID="{DD02EAF0-2AA9-4A84-A04C-8376A13F02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Inga Babicheva</cp:lastModifiedBy>
  <cp:revision/>
  <dcterms:created xsi:type="dcterms:W3CDTF">2008-11-20T16:06:13Z</dcterms:created>
  <dcterms:modified xsi:type="dcterms:W3CDTF">2019-09-25T15:30:41Z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ies>
</file>