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SingleCells1.xml" ContentType="application/vnd.openxmlformats-officedocument.spreadsheetml.tableSingleCell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CCM\Dashboard\HIV-TB\"/>
    </mc:Choice>
  </mc:AlternateContent>
  <bookViews>
    <workbookView xWindow="-15" yWindow="1545" windowWidth="15600" windowHeight="4410"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externalReferences>
    <externalReference r:id="rId13"/>
    <externalReference r:id="rId14"/>
  </externalReference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данных'!$A$76:$G$146</definedName>
    <definedName name="PrintF">Финансирование!$A$2:$M$31</definedName>
    <definedName name="PrintGD">'Сведения о гранте'!$A$2:$J$13</definedName>
    <definedName name="PrintM" localSheetId="8">Действия!$A$2:$L$6</definedName>
    <definedName name="PrintM">Управление!$A$2:$M$50</definedName>
    <definedName name="PrintP">Программа!$A$2:$P$63</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Программа!$A$1:$Q$62</definedName>
    <definedName name="_xlnm.Print_Area" localSheetId="5">Управление!$A$1:$M$37</definedName>
    <definedName name="_xlnm.Print_Area" localSheetId="4">Финансирование!$A$2:$M$31</definedName>
  </definedNames>
  <calcPr calcId="152511" concurrentCalc="0"/>
</workbook>
</file>

<file path=xl/calcChain.xml><?xml version="1.0" encoding="utf-8"?>
<calcChain xmlns="http://schemas.openxmlformats.org/spreadsheetml/2006/main">
  <c r="I185" i="29" l="1"/>
  <c r="G185" i="29"/>
  <c r="I184" i="29"/>
  <c r="G184" i="29"/>
  <c r="I183" i="29"/>
  <c r="G183" i="29"/>
  <c r="I182" i="29"/>
  <c r="G182" i="29"/>
  <c r="I181" i="29"/>
  <c r="G181" i="29"/>
  <c r="I180" i="29"/>
  <c r="G180" i="29"/>
  <c r="H141" i="29"/>
  <c r="J141" i="29"/>
  <c r="F141" i="29"/>
  <c r="F127" i="29"/>
  <c r="H127" i="29"/>
  <c r="J127" i="29"/>
  <c r="F128" i="29"/>
  <c r="H128" i="29"/>
  <c r="J128" i="29"/>
  <c r="F129" i="29"/>
  <c r="H129" i="29"/>
  <c r="J129" i="29"/>
  <c r="F130" i="29"/>
  <c r="H130" i="29"/>
  <c r="J130" i="29"/>
  <c r="F131" i="29"/>
  <c r="H131" i="29"/>
  <c r="J131" i="29"/>
  <c r="F132" i="29"/>
  <c r="H132" i="29"/>
  <c r="J132" i="29"/>
  <c r="F133" i="29"/>
  <c r="H133" i="29"/>
  <c r="J133" i="29"/>
  <c r="F134" i="29"/>
  <c r="H134" i="29"/>
  <c r="J134" i="29"/>
  <c r="F135" i="29"/>
  <c r="H135" i="29"/>
  <c r="J135" i="29"/>
  <c r="F136" i="29"/>
  <c r="H136" i="29"/>
  <c r="J136" i="29"/>
  <c r="F137" i="29"/>
  <c r="H137" i="29"/>
  <c r="J137" i="29"/>
  <c r="F138" i="29"/>
  <c r="H138" i="29"/>
  <c r="J138" i="29"/>
  <c r="F139" i="29"/>
  <c r="H139" i="29"/>
  <c r="J139" i="29"/>
  <c r="F140" i="29"/>
  <c r="H140" i="29"/>
  <c r="J140" i="29"/>
  <c r="F126" i="29"/>
  <c r="H126" i="29"/>
  <c r="J126" i="29"/>
  <c r="B28" i="35"/>
  <c r="L8" i="37"/>
  <c r="F8" i="37"/>
  <c r="B8" i="37"/>
  <c r="B57" i="37"/>
  <c r="B58" i="37"/>
  <c r="B59" i="37"/>
  <c r="B60" i="37"/>
  <c r="B61" i="37"/>
  <c r="B62" i="37"/>
  <c r="D125" i="29"/>
  <c r="F125" i="29"/>
  <c r="H125" i="29"/>
  <c r="J125" i="29"/>
  <c r="D124" i="29"/>
  <c r="F124" i="29"/>
  <c r="H124" i="29"/>
  <c r="J124" i="29"/>
  <c r="D123" i="29"/>
  <c r="F123" i="29"/>
  <c r="H123" i="29"/>
  <c r="J123" i="29"/>
  <c r="D122" i="29"/>
  <c r="F122" i="29"/>
  <c r="H122" i="29"/>
  <c r="J122" i="29"/>
  <c r="D115" i="29"/>
  <c r="D114" i="29"/>
  <c r="D113" i="29"/>
  <c r="D104" i="29"/>
  <c r="D105" i="29"/>
  <c r="D103" i="29"/>
  <c r="X37" i="37"/>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29" i="37"/>
  <c r="W29" i="37"/>
  <c r="V29" i="37"/>
  <c r="U29" i="37"/>
  <c r="T29" i="37"/>
  <c r="X28" i="37"/>
  <c r="W28" i="37"/>
  <c r="V28" i="37"/>
  <c r="U28" i="37"/>
  <c r="T28" i="37"/>
  <c r="Z26" i="37"/>
  <c r="AA26" i="37"/>
  <c r="X26" i="37"/>
  <c r="W26" i="37"/>
  <c r="V26" i="37"/>
  <c r="U26" i="37"/>
  <c r="T26" i="37"/>
  <c r="Z25" i="37"/>
  <c r="AA25" i="37"/>
  <c r="X25" i="37"/>
  <c r="W25" i="37"/>
  <c r="V25" i="37"/>
  <c r="U25" i="37"/>
  <c r="T25" i="37"/>
  <c r="Z24" i="37"/>
  <c r="AA24" i="37"/>
  <c r="X24" i="37"/>
  <c r="W24" i="37"/>
  <c r="V24" i="37"/>
  <c r="U24" i="37"/>
  <c r="T24" i="37"/>
  <c r="AF23" i="37"/>
  <c r="AE23" i="37"/>
  <c r="AD23" i="37"/>
  <c r="AC23" i="37"/>
  <c r="AB23" i="37"/>
  <c r="X23" i="37"/>
  <c r="W23" i="37"/>
  <c r="V23" i="37"/>
  <c r="U23" i="37"/>
  <c r="T23" i="37"/>
  <c r="I37" i="35"/>
  <c r="I32" i="35"/>
  <c r="D90" i="29"/>
  <c r="O180" i="29"/>
  <c r="P180" i="29"/>
  <c r="Q180" i="29"/>
  <c r="O181" i="29"/>
  <c r="P181" i="29"/>
  <c r="Q181" i="29"/>
  <c r="O182" i="29"/>
  <c r="P182" i="29"/>
  <c r="Q182" i="29"/>
  <c r="O183" i="29"/>
  <c r="P183" i="29"/>
  <c r="Q183" i="29"/>
  <c r="O184" i="29"/>
  <c r="P184" i="29"/>
  <c r="Q184" i="29"/>
  <c r="O185" i="29"/>
  <c r="P185" i="29"/>
  <c r="Q185" i="29"/>
  <c r="N185" i="29"/>
  <c r="M185" i="29"/>
  <c r="L185" i="29"/>
  <c r="K185" i="29"/>
  <c r="J185" i="29"/>
  <c r="N184" i="29"/>
  <c r="M184" i="29"/>
  <c r="L184" i="29"/>
  <c r="K184" i="29"/>
  <c r="J184" i="29"/>
  <c r="E184" i="29"/>
  <c r="D184" i="29"/>
  <c r="A184" i="29"/>
  <c r="N183" i="29"/>
  <c r="M183" i="29"/>
  <c r="L183" i="29"/>
  <c r="K183" i="29"/>
  <c r="J183" i="29"/>
  <c r="N182" i="29"/>
  <c r="M182" i="29"/>
  <c r="L182" i="29"/>
  <c r="K182" i="29"/>
  <c r="J182" i="29"/>
  <c r="E182" i="29"/>
  <c r="D182" i="29"/>
  <c r="A182" i="29"/>
  <c r="N181" i="29"/>
  <c r="M181" i="29"/>
  <c r="L181" i="29"/>
  <c r="K181" i="29"/>
  <c r="J181" i="29"/>
  <c r="N180" i="29"/>
  <c r="M180" i="29"/>
  <c r="L180" i="29"/>
  <c r="K180" i="29"/>
  <c r="J180" i="29"/>
  <c r="E180" i="29"/>
  <c r="D180" i="29"/>
  <c r="A180" i="29"/>
  <c r="H201" i="29"/>
  <c r="G221" i="29"/>
  <c r="H221" i="29"/>
  <c r="I221" i="29"/>
  <c r="J221" i="29"/>
  <c r="K221" i="29"/>
  <c r="L221" i="29"/>
  <c r="M221" i="29"/>
  <c r="N221" i="29"/>
  <c r="O221" i="29"/>
  <c r="P221" i="29"/>
  <c r="Q221" i="29"/>
  <c r="A222" i="29"/>
  <c r="D222" i="29"/>
  <c r="E222" i="29"/>
  <c r="G222" i="29"/>
  <c r="H222" i="29"/>
  <c r="I222" i="29"/>
  <c r="J222" i="29"/>
  <c r="K222" i="29"/>
  <c r="L222" i="29"/>
  <c r="M222" i="29"/>
  <c r="N222" i="29"/>
  <c r="O222" i="29"/>
  <c r="P222" i="29"/>
  <c r="Q222" i="29"/>
  <c r="G223" i="29"/>
  <c r="H223" i="29"/>
  <c r="I223" i="29"/>
  <c r="J223" i="29"/>
  <c r="K223" i="29"/>
  <c r="L223" i="29"/>
  <c r="M223" i="29"/>
  <c r="N223" i="29"/>
  <c r="O223" i="29"/>
  <c r="P223" i="29"/>
  <c r="Q223" i="29"/>
  <c r="A224" i="29"/>
  <c r="D224" i="29"/>
  <c r="E224" i="29"/>
  <c r="G224" i="29"/>
  <c r="H224" i="29"/>
  <c r="I224" i="29"/>
  <c r="J224" i="29"/>
  <c r="K224" i="29"/>
  <c r="L224" i="29"/>
  <c r="M224" i="29"/>
  <c r="N224" i="29"/>
  <c r="O224" i="29"/>
  <c r="P224" i="29"/>
  <c r="Q224" i="29"/>
  <c r="G225" i="29"/>
  <c r="H225" i="29"/>
  <c r="I225" i="29"/>
  <c r="J225" i="29"/>
  <c r="K225" i="29"/>
  <c r="L225" i="29"/>
  <c r="M225" i="29"/>
  <c r="N225" i="29"/>
  <c r="O225" i="29"/>
  <c r="P225" i="29"/>
  <c r="Q225" i="29"/>
  <c r="A226" i="29"/>
  <c r="D226" i="29"/>
  <c r="E226" i="29"/>
  <c r="G226" i="29"/>
  <c r="H226" i="29"/>
  <c r="I226" i="29"/>
  <c r="J226" i="29"/>
  <c r="K226" i="29"/>
  <c r="L226" i="29"/>
  <c r="M226" i="29"/>
  <c r="N226" i="29"/>
  <c r="O226" i="29"/>
  <c r="P226" i="29"/>
  <c r="Q226" i="29"/>
  <c r="G227" i="29"/>
  <c r="H227" i="29"/>
  <c r="I227" i="29"/>
  <c r="J227" i="29"/>
  <c r="K227" i="29"/>
  <c r="L227" i="29"/>
  <c r="M227" i="29"/>
  <c r="N227" i="29"/>
  <c r="O227" i="29"/>
  <c r="P227" i="29"/>
  <c r="Q227" i="29"/>
  <c r="F83" i="29"/>
  <c r="F84" i="29"/>
  <c r="AF25" i="37"/>
  <c r="AB25" i="37"/>
  <c r="AE25" i="37"/>
  <c r="AD25" i="37"/>
  <c r="AC25" i="37"/>
  <c r="AF24" i="37"/>
  <c r="AB24" i="37"/>
  <c r="AE24" i="37"/>
  <c r="AD24" i="37"/>
  <c r="AC24" i="37"/>
  <c r="AF26" i="37"/>
  <c r="AB26" i="37"/>
  <c r="AE26" i="37"/>
  <c r="AD26" i="37"/>
  <c r="AC26" i="37"/>
  <c r="C115" i="29"/>
  <c r="B115" i="29"/>
  <c r="C114" i="29"/>
  <c r="B114" i="29"/>
  <c r="C113" i="29"/>
  <c r="B113" i="29"/>
  <c r="B33" i="29"/>
  <c r="C33" i="29"/>
  <c r="D33" i="29"/>
  <c r="B32" i="29"/>
  <c r="B34" i="29"/>
  <c r="C34" i="29"/>
  <c r="D34" i="29"/>
  <c r="B56" i="29"/>
  <c r="E56" i="29"/>
  <c r="C56" i="29"/>
  <c r="I27" i="47"/>
  <c r="I28" i="47"/>
  <c r="G29" i="47"/>
  <c r="G31" i="47"/>
  <c r="G27" i="47"/>
  <c r="G28" i="47"/>
  <c r="G26" i="47"/>
  <c r="F20" i="47"/>
  <c r="G19" i="47"/>
  <c r="G18" i="47"/>
  <c r="D22" i="47"/>
  <c r="E19" i="47"/>
  <c r="E20" i="47"/>
  <c r="E18" i="47"/>
  <c r="F14" i="47"/>
  <c r="E14" i="47"/>
  <c r="K10" i="47"/>
  <c r="J10" i="47"/>
  <c r="C14" i="47"/>
  <c r="D13" i="47"/>
  <c r="D12" i="47"/>
  <c r="D11" i="47"/>
  <c r="D14" i="47"/>
  <c r="F22" i="47"/>
  <c r="D6" i="47"/>
  <c r="C6" i="47"/>
  <c r="D64" i="29"/>
  <c r="D63" i="29"/>
  <c r="D62" i="29"/>
  <c r="D61" i="29"/>
  <c r="E35" i="29"/>
  <c r="H147"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Q29" i="29"/>
  <c r="Q30" i="29"/>
  <c r="Q31" i="29"/>
  <c r="B8" i="45"/>
  <c r="B23" i="45"/>
  <c r="B2" i="37"/>
  <c r="B2" i="35"/>
  <c r="B2" i="45"/>
  <c r="B3" i="27"/>
  <c r="B3" i="32"/>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39" i="35"/>
  <c r="J3" i="39"/>
  <c r="L3" i="39"/>
  <c r="B4" i="39"/>
  <c r="E4" i="39"/>
  <c r="J4" i="39"/>
  <c r="L4" i="39"/>
  <c r="K5" i="39"/>
  <c r="L5" i="39"/>
  <c r="L3" i="42"/>
  <c r="M3" i="42"/>
  <c r="B4" i="42"/>
  <c r="E4" i="42"/>
  <c r="L4" i="42"/>
  <c r="M4" i="42"/>
  <c r="L5" i="42"/>
  <c r="M5" i="42"/>
  <c r="D14" i="42"/>
  <c r="O3" i="37"/>
  <c r="Q3" i="37"/>
  <c r="B4" i="37"/>
  <c r="E4" i="37"/>
  <c r="P4" i="37"/>
  <c r="Q4" i="37"/>
  <c r="D5" i="37"/>
  <c r="P5" i="37"/>
  <c r="Q5" i="37"/>
  <c r="B43" i="37"/>
  <c r="F43" i="37"/>
  <c r="L43" i="37"/>
  <c r="T58" i="37"/>
  <c r="U58" i="37"/>
  <c r="T59" i="37"/>
  <c r="U59"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1" i="29"/>
  <c r="B10" i="45"/>
  <c r="B11" i="45"/>
  <c r="B19" i="45"/>
  <c r="B20" i="45"/>
  <c r="B21" i="45"/>
  <c r="B22" i="45"/>
  <c r="B25" i="45"/>
  <c r="H4" i="1"/>
  <c r="C35" i="29"/>
  <c r="I35" i="29"/>
  <c r="G35" i="29"/>
  <c r="Q35" i="29"/>
  <c r="J35" i="29"/>
  <c r="D35" i="29"/>
  <c r="Q33" i="29"/>
  <c r="Q34" i="29"/>
  <c r="B35" i="29"/>
  <c r="Q58" i="29"/>
  <c r="Q32" i="29"/>
  <c r="B7" i="35"/>
  <c r="B8" i="30"/>
  <c r="I28" i="35"/>
  <c r="B22" i="30"/>
  <c r="B18" i="35"/>
  <c r="I7" i="35"/>
  <c r="I18" i="35"/>
  <c r="J8" i="30"/>
  <c r="J22" i="30"/>
  <c r="L35" i="29"/>
  <c r="P60" i="29"/>
</calcChain>
</file>

<file path=xl/comments1.xml><?xml version="1.0" encoding="utf-8"?>
<comments xmlns="http://schemas.openxmlformats.org/spreadsheetml/2006/main">
  <authors>
    <author>Irina Schelokova</author>
  </authors>
  <commentList>
    <comment ref="B55"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6"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8" authorId="0" shapeId="0">
      <text>
        <r>
          <rPr>
            <b/>
            <sz val="9"/>
            <color indexed="81"/>
            <rFont val="Tahoma"/>
            <family val="2"/>
            <charset val="204"/>
          </rPr>
          <t>Irina Schelokova:</t>
        </r>
        <r>
          <rPr>
            <sz val="9"/>
            <color indexed="81"/>
            <rFont val="Tahoma"/>
            <family val="2"/>
            <charset val="204"/>
          </rPr>
          <t xml:space="preserve">
в 2 фазе индикатор исключен</t>
        </r>
      </text>
    </comment>
  </commentList>
</comments>
</file>

<file path=xl/comments2.xml><?xml version="1.0" encoding="utf-8"?>
<comments xmlns="http://schemas.openxmlformats.org/spreadsheetml/2006/main">
  <authors>
    <author>mgleixner</author>
    <author>Nazgul Akaeva</author>
    <author>molszak</author>
  </authors>
  <commentList>
    <comment ref="A30" authorId="0" shapeId="0">
      <text>
        <r>
          <rPr>
            <sz val="8"/>
            <color indexed="81"/>
            <rFont val="Tahoma"/>
            <family val="2"/>
          </rPr>
          <t>To define your periods (eg. P1, P2, P3 etc or P9, P10, P11 etc) you need to unprotect the cells.</t>
        </r>
      </text>
    </comment>
    <comment ref="B32" authorId="1" shapeId="0">
      <text>
        <r>
          <rPr>
            <b/>
            <sz val="9"/>
            <color indexed="81"/>
            <rFont val="Tahoma"/>
            <family val="2"/>
            <charset val="204"/>
          </rPr>
          <t>Nazgul Akaeva:</t>
        </r>
        <r>
          <rPr>
            <sz val="9"/>
            <color indexed="81"/>
            <rFont val="Tahoma"/>
            <family val="2"/>
            <charset val="204"/>
          </rPr>
          <t xml:space="preserve">
2 214 860$ -uncommitted cash balance from closed grants transferred to grant KGZ-C-UNDP</t>
        </r>
      </text>
    </comment>
    <comment ref="A81" authorId="2" shapeId="0">
      <text>
        <r>
          <rPr>
            <b/>
            <sz val="8"/>
            <color indexed="81"/>
            <rFont val="Tahoma"/>
            <family val="2"/>
          </rPr>
          <t xml:space="preserve">If data are not available, do not enter zeros; rather, leave the cells in the table blank. </t>
        </r>
      </text>
    </comment>
    <comment ref="A82" authorId="2" shapeId="0">
      <text>
        <r>
          <rPr>
            <b/>
            <sz val="8"/>
            <color indexed="81"/>
            <rFont val="Tahoma"/>
            <family val="2"/>
          </rPr>
          <t>If data are not available, do not enter zeros; rather, leave the cells in this table blank.</t>
        </r>
      </text>
    </comment>
    <comment ref="A83" authorId="2" shapeId="0">
      <text>
        <r>
          <rPr>
            <b/>
            <sz val="8"/>
            <color indexed="81"/>
            <rFont val="Tahoma"/>
            <family val="2"/>
          </rPr>
          <t xml:space="preserve">If data are not available, do not enter zeros; rather, leave the cells in the table blank. </t>
        </r>
      </text>
    </comment>
    <comment ref="A84" authorId="2"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109" authorId="0" shapeId="0">
      <text>
        <r>
          <rPr>
            <sz val="8"/>
            <color indexed="81"/>
            <rFont val="Tahoma"/>
            <family val="2"/>
          </rPr>
          <t>To define your periods (eg. P1, P2, P3 etc or P9, P10, P11 etc) you need to unprotect the cells.</t>
        </r>
      </text>
    </comment>
  </commentList>
</comments>
</file>

<file path=xl/comments3.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<sst xmlns="http://schemas.openxmlformats.org/spreadsheetml/2006/main" count="1091" uniqueCount="732">
  <si>
    <t xml:space="preserve">     Введите финансовые данные в каждую ячейку оранжевого цвета.</t>
  </si>
  <si>
    <t>M1: Статус Предварительных условий (ПУ) и Действий с установленным сроком исполнения (ДУС)</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</si>
  <si>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</si>
  <si>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(3)
Общее кол-во пациентов, получающих лечение</t>
  </si>
  <si>
    <t>Общ. финансирование:</t>
  </si>
  <si>
    <r>
      <rPr>
        <sz val="11"/>
        <rFont val="Arial"/>
        <family val="2"/>
      </rPr>
      <t>ОПР/ЗПС</t>
    </r>
    <r>
      <rPr>
        <sz val="11"/>
        <color indexed="8"/>
        <rFont val="Arial"/>
        <family val="2"/>
      </rPr>
      <t>; данные ОР; отчеты СР  основному реципиенту.</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</si>
  <si>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</si>
  <si>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M4: Количество полных отчетов, полученных к установленному сроку</t>
  </si>
  <si>
    <t>Документация ОР: складские данные</t>
  </si>
  <si>
    <t>Источник данных</t>
  </si>
  <si>
    <t>Валюта финансирования гранта (долл. США или евро).</t>
  </si>
  <si>
    <t>Количество месяцев.</t>
  </si>
  <si>
    <t>Банковская или бухгалтерская информация ОР; уведомления ГФ о выплате средств; ОПР/ЗПС; веб-сайт ГФ.</t>
  </si>
  <si>
    <t xml:space="preserve">Документация ОР. </t>
  </si>
  <si>
    <t>Документация ОР и СР.</t>
  </si>
  <si>
    <t>Документация ОР; соглашения с субреципиентами/ меморандум о взаимопонимании (МоВ); документация СКК.</t>
  </si>
  <si>
    <t>€</t>
  </si>
  <si>
    <t>$</t>
  </si>
  <si>
    <t>RCC</t>
  </si>
  <si>
    <t>Component</t>
  </si>
  <si>
    <t>Currency</t>
  </si>
  <si>
    <t>Round</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</si>
  <si>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</si>
  <si>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</si>
  <si>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</si>
  <si>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</si>
  <si>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</si>
  <si>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</si>
  <si>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</si>
  <si>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</si>
  <si>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</si>
  <si>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</si>
  <si>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</si>
  <si>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</si>
  <si>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</si>
  <si>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</si>
  <si>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</si>
  <si>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</si>
  <si>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</si>
  <si>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NVP</t>
  </si>
  <si>
    <t>3TC</t>
  </si>
  <si>
    <t>D4T</t>
  </si>
  <si>
    <t>AZT</t>
  </si>
  <si>
    <t>DDI</t>
  </si>
  <si>
    <t>EFV</t>
  </si>
  <si>
    <t>AS/MQ</t>
  </si>
  <si>
    <t>AS/LF</t>
  </si>
  <si>
    <t>AS/AQ</t>
  </si>
  <si>
    <t>Medicaments</t>
  </si>
  <si>
    <t>min</t>
  </si>
  <si>
    <t>max</t>
  </si>
  <si>
    <t>F1</t>
  </si>
  <si>
    <t>F2</t>
  </si>
  <si>
    <t>F3</t>
  </si>
  <si>
    <t>F4</t>
  </si>
  <si>
    <t>P1</t>
  </si>
  <si>
    <t>P2</t>
  </si>
  <si>
    <t>P3</t>
  </si>
  <si>
    <t>P4</t>
  </si>
  <si>
    <t>M1</t>
  </si>
  <si>
    <t>M2</t>
  </si>
  <si>
    <t>M3</t>
  </si>
  <si>
    <t>M4</t>
  </si>
  <si>
    <t>M5</t>
  </si>
  <si>
    <t>M6</t>
  </si>
  <si>
    <t>P5</t>
  </si>
  <si>
    <t>P6</t>
  </si>
  <si>
    <t>P7</t>
  </si>
  <si>
    <t>P8</t>
  </si>
  <si>
    <t>P9</t>
  </si>
  <si>
    <t>P10</t>
  </si>
  <si>
    <t>P11</t>
  </si>
  <si>
    <t>Countries</t>
  </si>
  <si>
    <t>UNOPS</t>
  </si>
  <si>
    <t>Valor</t>
  </si>
  <si>
    <t>Rating</t>
  </si>
  <si>
    <t>RDT</t>
  </si>
  <si>
    <t>Period</t>
  </si>
  <si>
    <t>P12</t>
  </si>
  <si>
    <t>LFA</t>
  </si>
  <si>
    <t>E-PAP</t>
  </si>
  <si>
    <t>Al/Lum</t>
  </si>
  <si>
    <t>Set-up = List of validation for Grant Detail page</t>
  </si>
  <si>
    <t>0% - 59%</t>
  </si>
  <si>
    <t>60% - 89%</t>
  </si>
  <si>
    <t>&gt; 90%</t>
  </si>
  <si>
    <t>V1.0</t>
  </si>
  <si>
    <t>Наименование:</t>
  </si>
  <si>
    <t>Определение</t>
  </si>
  <si>
    <t>Измерение</t>
  </si>
  <si>
    <t>Источники Данных</t>
  </si>
  <si>
    <t>Грант №</t>
  </si>
  <si>
    <t>Страна:</t>
  </si>
  <si>
    <t>Пожалуйста выберите</t>
  </si>
  <si>
    <t>Афганистан</t>
  </si>
  <si>
    <t>Албания</t>
  </si>
  <si>
    <t>Алжир</t>
  </si>
  <si>
    <t>Ангола</t>
  </si>
  <si>
    <t>Аргентина</t>
  </si>
  <si>
    <t>Армения</t>
  </si>
  <si>
    <t>Азербайджан</t>
  </si>
  <si>
    <t>Бангладеш</t>
  </si>
  <si>
    <t>Беларусь</t>
  </si>
  <si>
    <t>Белиз</t>
  </si>
  <si>
    <t>Бенин</t>
  </si>
  <si>
    <t>Бутан</t>
  </si>
  <si>
    <t>Боливия</t>
  </si>
  <si>
    <t>Босния и Герцеговина</t>
  </si>
  <si>
    <t>Ботсвана</t>
  </si>
  <si>
    <t>Бразилия</t>
  </si>
  <si>
    <t>Болгария</t>
  </si>
  <si>
    <t>Буркина Фасо</t>
  </si>
  <si>
    <t>Бурунди</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</si>
  <si>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</si>
  <si>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</si>
  <si>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</si>
  <si>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</si>
  <si>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</si>
  <si>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</si>
  <si>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</si>
  <si>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</si>
  <si>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</si>
  <si>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</si>
  <si>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</si>
  <si>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</si>
  <si>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</si>
  <si>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</si>
  <si>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</si>
  <si>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</si>
  <si>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</si>
  <si>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</si>
  <si>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</si>
  <si>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</si>
  <si>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</si>
  <si>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</si>
  <si>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</si>
  <si>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</si>
  <si>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</si>
  <si>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</si>
  <si>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</si>
  <si>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</si>
  <si>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</si>
  <si>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</si>
  <si>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</si>
  <si>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</si>
  <si>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</si>
  <si>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</si>
  <si>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</si>
  <si>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</si>
  <si>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</si>
  <si>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</si>
  <si>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</si>
  <si>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</si>
  <si>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</si>
  <si>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</si>
  <si>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</si>
  <si>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</si>
  <si>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</si>
  <si>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Кыргызстан</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</si>
  <si>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</si>
  <si>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</si>
  <si>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</si>
  <si>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</si>
  <si>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</si>
  <si>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</si>
  <si>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</si>
  <si>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</si>
  <si>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</si>
  <si>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</si>
  <si>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</si>
  <si>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</si>
  <si>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</si>
  <si>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</si>
  <si>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</si>
  <si>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Глобальный (LWF)</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</si>
  <si>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</si>
  <si>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</si>
  <si>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</si>
  <si>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</si>
  <si>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</si>
  <si>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</si>
  <si>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</si>
  <si>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</si>
  <si>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</si>
  <si>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</si>
  <si>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</si>
  <si>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</si>
  <si>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</si>
  <si>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</si>
  <si>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</si>
  <si>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</si>
  <si>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</si>
  <si>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</si>
  <si>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</si>
  <si>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</si>
  <si>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</si>
  <si>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</si>
  <si>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</si>
  <si>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</si>
  <si>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</si>
  <si>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</si>
  <si>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</si>
  <si>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</si>
  <si>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</si>
  <si>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</si>
  <si>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</si>
  <si>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</si>
  <si>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</si>
  <si>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</si>
  <si>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</si>
  <si>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</si>
  <si>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</si>
  <si>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</si>
  <si>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</si>
  <si>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</si>
  <si>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</si>
  <si>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</si>
  <si>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</si>
  <si>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</si>
  <si>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</si>
  <si>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</si>
  <si>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</si>
  <si>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</si>
  <si>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</si>
  <si>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</si>
  <si>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</si>
  <si>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</si>
  <si>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Раунд 1</t>
  </si>
  <si>
    <t>Раунд 2</t>
  </si>
  <si>
    <t>Раунд 3</t>
  </si>
  <si>
    <t>Раунд 4</t>
  </si>
  <si>
    <t>Раунд 5</t>
  </si>
  <si>
    <t>Раунд 6</t>
  </si>
  <si>
    <t>Раунд 7</t>
  </si>
  <si>
    <t>Раунд 8</t>
  </si>
  <si>
    <t>Раунд 9</t>
  </si>
  <si>
    <t>Раунд 10</t>
  </si>
  <si>
    <t>Фаза 1</t>
  </si>
  <si>
    <t>Фаза 2</t>
  </si>
  <si>
    <t>Изониазид</t>
  </si>
  <si>
    <t>Этамбутол</t>
  </si>
  <si>
    <t>Рифампицин</t>
  </si>
  <si>
    <t>Пиразинамид</t>
  </si>
  <si>
    <t>Пищевые добавки для ТБ</t>
  </si>
  <si>
    <t>ВИЧ / СПИД</t>
  </si>
  <si>
    <t>МАЛЯРИЯ</t>
  </si>
  <si>
    <t>ТБ</t>
  </si>
  <si>
    <t>ВИЧ/СПИД/ТБ</t>
  </si>
  <si>
    <t>УСЗ</t>
  </si>
  <si>
    <t>Компонент:</t>
  </si>
  <si>
    <t>Раунд:</t>
  </si>
  <si>
    <t>Период предоставления отчетной информации</t>
  </si>
  <si>
    <t>Отчетный период</t>
  </si>
  <si>
    <t>Дата ввода информации:</t>
  </si>
  <si>
    <t>Кем подготовлено:</t>
  </si>
  <si>
    <t>Информация об индикаторах</t>
  </si>
  <si>
    <t>Фаза:</t>
  </si>
  <si>
    <t>Всего</t>
  </si>
  <si>
    <t>До отчетного периода</t>
  </si>
  <si>
    <t>Текущий отчетный период</t>
  </si>
  <si>
    <t>Выполненные</t>
  </si>
  <si>
    <t>Невыполненные, но непросроченные</t>
  </si>
  <si>
    <t>Запланировано</t>
  </si>
  <si>
    <t>Заполнено</t>
  </si>
  <si>
    <t>Вакантно</t>
  </si>
  <si>
    <t>СР</t>
  </si>
  <si>
    <t>Ожидаемое кол-во</t>
  </si>
  <si>
    <t>Полученное кол-во</t>
  </si>
  <si>
    <t>Расходы</t>
  </si>
  <si>
    <t>Компонент</t>
  </si>
  <si>
    <t>Код</t>
  </si>
  <si>
    <t>Достигнуто</t>
  </si>
  <si>
    <t>с:</t>
  </si>
  <si>
    <t>дo:</t>
  </si>
  <si>
    <t>Дата начала:</t>
  </si>
  <si>
    <t>Дата подготовки отчета:</t>
  </si>
  <si>
    <t>Рекомендации</t>
  </si>
  <si>
    <t>Управление</t>
  </si>
  <si>
    <t>P1 - тенденция</t>
  </si>
  <si>
    <t>P2 - тенденция</t>
  </si>
  <si>
    <t>P3 - тенденция</t>
  </si>
  <si>
    <t>Срок</t>
  </si>
  <si>
    <t>Ответственное лицо</t>
  </si>
  <si>
    <t>Дата</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</si>
  <si>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</si>
  <si>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</si>
  <si>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</si>
  <si>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</si>
  <si>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</si>
  <si>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</si>
  <si>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</si>
  <si>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</si>
  <si>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</si>
  <si>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</si>
  <si>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</si>
  <si>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</si>
  <si>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</si>
  <si>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</si>
  <si>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</si>
  <si>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</si>
  <si>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</si>
  <si>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ПУ</t>
  </si>
  <si>
    <t>Предварительное условие</t>
  </si>
  <si>
    <t>СКМ</t>
  </si>
  <si>
    <t>Страновой Координационный Механизм</t>
  </si>
  <si>
    <t>Суб-реципиент</t>
  </si>
  <si>
    <t>ССР</t>
  </si>
  <si>
    <t>Суб-суб-реципиент</t>
  </si>
  <si>
    <t>УЗС</t>
  </si>
  <si>
    <t>Управление Закупками и Снабжением</t>
  </si>
  <si>
    <t>УФО</t>
  </si>
  <si>
    <t>Принципиальный Реципиент</t>
  </si>
  <si>
    <t>Улучшенный Финансовый Отчет</t>
  </si>
  <si>
    <t>Финансирование</t>
  </si>
  <si>
    <t>Информация о гранте</t>
  </si>
  <si>
    <t>Основной реципиент:</t>
  </si>
  <si>
    <t>Дата начала (дд/ммм/гг):</t>
  </si>
  <si>
    <t>Название гранта:</t>
  </si>
  <si>
    <t>Местный агент Фонда:</t>
  </si>
  <si>
    <t>Менеджер портфолио Фонда:</t>
  </si>
  <si>
    <t xml:space="preserve">Информация о программе: </t>
  </si>
  <si>
    <t>Введите данные в ячейки соответствующего цвета</t>
  </si>
  <si>
    <t>Общий бюджет</t>
  </si>
  <si>
    <t>Общая сумма выплат</t>
  </si>
  <si>
    <t xml:space="preserve">Информация об управлении: </t>
  </si>
  <si>
    <t>Выплачено Глобальным фондом</t>
  </si>
  <si>
    <t>Расходы и платежи ОР</t>
  </si>
  <si>
    <t>Выплачено субреципиентам</t>
  </si>
  <si>
    <t>F4: Последний отчетный и платежный цикл ОР</t>
  </si>
  <si>
    <t>Информация об управлении:</t>
  </si>
  <si>
    <t>Невыполненные и просроченные</t>
  </si>
  <si>
    <t>Финансовые обязательства</t>
  </si>
  <si>
    <t>Общий объем финансовых обязательств</t>
  </si>
  <si>
    <t>Общий объем расходов</t>
  </si>
  <si>
    <t>Связаны напрямую?</t>
  </si>
  <si>
    <t>Грант №:</t>
  </si>
  <si>
    <t>Отчетный период:</t>
  </si>
  <si>
    <t>Разница между имеющимся и безопасным уровнем запасов</t>
  </si>
  <si>
    <t>Решение СКК</t>
  </si>
  <si>
    <t>Предпринятые действия</t>
  </si>
  <si>
    <t>Предыдущий отчетный период</t>
  </si>
  <si>
    <t>F3: Выплаты и расходы</t>
  </si>
  <si>
    <t>Выплаты</t>
  </si>
  <si>
    <t>Всего:</t>
  </si>
  <si>
    <t>Валюта финансирования гранта</t>
  </si>
  <si>
    <t>(2 = 1 x 30)
Месячный курс лечения 
(кол-во таблеток на 1 пациента на 30 дней)</t>
  </si>
  <si>
    <t>% Общего объема</t>
  </si>
  <si>
    <t>Решения и действия</t>
  </si>
  <si>
    <t>до:</t>
  </si>
  <si>
    <t>Общая сумма:</t>
  </si>
  <si>
    <t>Осуществляются ли закупки и набор персонала согласно графику?</t>
  </si>
  <si>
    <t xml:space="preserve">Информация о финансировании: </t>
  </si>
  <si>
    <t>(4 = 2 x 3)
Общее кол-во таблеток, необходимое для всех пациентов на 1месяц</t>
  </si>
  <si>
    <t xml:space="preserve">     Введите данные о реализации программы в каждую ячейку желтого цвета.</t>
  </si>
  <si>
    <t>Заключительные комментарии</t>
  </si>
  <si>
    <t>Расходы субреципиентов</t>
  </si>
  <si>
    <t>Расчетные (дни)</t>
  </si>
  <si>
    <t>Фактические (дни)</t>
  </si>
  <si>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</si>
  <si>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Количество  полученных отчетов. Эта цифра отражает только отчетный период; она не является совокупной.</t>
  </si>
  <si>
    <t>Введите данные об управлении в каждую ячейку голубого цвета.</t>
  </si>
  <si>
    <t>Программа</t>
  </si>
  <si>
    <t>Осваиваются ли все средства и расходуются ли они согласно бюджету?</t>
  </si>
  <si>
    <t>F2: Бюджет и фактические расходы согласно задачам гранта</t>
  </si>
  <si>
    <t>Последняя выплата средств: количество календарных дней</t>
  </si>
  <si>
    <t xml:space="preserve">Спустя сколько дней ОР получил платеж </t>
  </si>
  <si>
    <t>Спустя сколько дней суб-реципиенты получили платежи</t>
  </si>
  <si>
    <t>Получающие финансирование</t>
  </si>
  <si>
    <t>Незавершенные</t>
  </si>
  <si>
    <t xml:space="preserve">M3: Контрактные соглашения (СР) </t>
  </si>
  <si>
    <t>Совокупный утвердженный бюджет*</t>
  </si>
  <si>
    <t>M6: Разница между текущим и резервным запасами</t>
  </si>
  <si>
    <t>(1)
Кол-во таблеток на 1 пациента в день
(см. Национальный протокол по лечению)</t>
  </si>
  <si>
    <t>(5)
Текущие запасы на центральном складе (с действительным сроком годности на ближайшие 3 месяца)</t>
  </si>
  <si>
    <t xml:space="preserve">Сколько дней понадобилось для подачи ИОР/ЗПС в офис МАФ </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</si>
  <si>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</si>
  <si>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</si>
  <si>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</si>
  <si>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Программные показатели (Система оценки результатов реализации)</t>
  </si>
  <si>
    <t>Целевой показатель</t>
  </si>
  <si>
    <t>Таблица обновляется автоматически. Данные в эти ячейки не вводятся</t>
  </si>
  <si>
    <t>Финансовые показатели</t>
  </si>
  <si>
    <t>Уровень запасов, выраженный в месяцах лечения для всех имеющихся пациентов</t>
  </si>
  <si>
    <t xml:space="preserve">Уровень резервных запасов в месяцах </t>
  </si>
  <si>
    <t>Лекарственные средства и продукты медицинского назначения</t>
  </si>
  <si>
    <t>Отдел управления проектом</t>
  </si>
  <si>
    <t>Основные рекомендации Комитета по надзору</t>
  </si>
  <si>
    <t>Какой общий статус реализации этого гранта?</t>
  </si>
  <si>
    <t>Запланированные действия/Предыдущий период</t>
  </si>
  <si>
    <t>Каково общее состояние действий, осуществленных за предыдущий период?</t>
  </si>
  <si>
    <t>Достигаются ли технические целевые показатели?</t>
  </si>
  <si>
    <t>Показатели</t>
  </si>
  <si>
    <t>Показатели по управлению</t>
  </si>
  <si>
    <t>Кем подготовлен:</t>
  </si>
  <si>
    <t>Портфолио Менеджер  Фонда:</t>
  </si>
  <si>
    <t>Последняя оценка</t>
  </si>
  <si>
    <t>Последняя оценка:</t>
  </si>
  <si>
    <t>F1: Бюджет и выплаты Глобальным фондом</t>
  </si>
  <si>
    <t>M2: Статус ключевых руководящих должностей в структуре ОР</t>
  </si>
  <si>
    <t>Показатели должны быть выбраны ОР и членами СКК или Техническим комитетом СКК, см. Систему оценки результатов реализации</t>
  </si>
  <si>
    <t>Номер показателя: название (№ в Системе оценки результатов реализации)</t>
  </si>
  <si>
    <t>Система оценки результатов реализации</t>
  </si>
  <si>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</si>
  <si>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M5: Бюджет и закупки товаров медицинского назначения, медицинского оборудования,  лекарственных средств и фармацевтических препаратов</t>
  </si>
  <si>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</si>
  <si>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</si>
  <si>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Совокупный бюджет</t>
  </si>
  <si>
    <t>Совокупные расходы</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</si>
  <si>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</si>
  <si>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</si>
  <si>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Подписавшие соглашение</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</si>
  <si>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</si>
  <si>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t>Определеные</t>
  </si>
  <si>
    <t>Прошедшие оценку</t>
  </si>
  <si>
    <t>Одобренные</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</si>
  <si>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</si>
  <si>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</si>
  <si>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</si>
  <si>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</si>
  <si>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</si>
  <si>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</si>
  <si>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</si>
  <si>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Количество в текущем отчетном периоде.</t>
  </si>
  <si>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</si>
  <si>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</si>
  <si>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</si>
  <si>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</si>
  <si>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</si>
  <si>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ZDV/3TC/NVP</t>
  </si>
  <si>
    <t>ZDV/3TC</t>
  </si>
  <si>
    <t>ПРООН</t>
  </si>
  <si>
    <t>да</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</si>
  <si>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</si>
  <si>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</si>
  <si>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</si>
  <si>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Комментарии:</t>
  </si>
  <si>
    <t>Отчетная документация организаций - СР: ежемесячные списки больных МЛУ-ТБ и ежеквартальные отчеты.</t>
  </si>
  <si>
    <t>Измеряется в абсолютных числах  на основании списков больных, которые предоставляет СР.</t>
  </si>
  <si>
    <t>База данных МЛУ-ТБ НЦФ РЦИиЭ</t>
  </si>
  <si>
    <t>Число лабораторно подтвержденных МЛУ-ТБ больных, начавших  лечение препаратами второго ряда по ДОТС+, согласно годовому рабочему плану.</t>
  </si>
  <si>
    <t>Число МЛУ-ТБ больных на лечение получающие мотивационную поддержку.</t>
  </si>
  <si>
    <t>Бюджет (в $)</t>
  </si>
  <si>
    <t>Утвержденный бюджет*</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</si>
  <si>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</si>
  <si>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</si>
  <si>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</si>
  <si>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Budget</t>
  </si>
  <si>
    <t>Expenditures</t>
  </si>
  <si>
    <t>1 Budget</t>
  </si>
  <si>
    <t>1 Expenditures</t>
  </si>
  <si>
    <t>PR</t>
  </si>
  <si>
    <t>SR</t>
  </si>
  <si>
    <t>Общий итог</t>
  </si>
  <si>
    <t>Cummulative/EFR</t>
  </si>
  <si>
    <t>Last/DB</t>
  </si>
  <si>
    <t>PUDR</t>
  </si>
  <si>
    <t>Замечания и комментарии</t>
  </si>
  <si>
    <t>Продукция</t>
  </si>
  <si>
    <t>Число МЛУ-ТБ больных на лечение по ДОТС+, получающие мотивационную поддержку ( продуктовые и гигиенические пакеты, денежные перечисления) для лучшей приверженности лечения в течение всего курса лечения.</t>
  </si>
  <si>
    <t>Число МЛУ-ТБ больных, включенных в лечение препаратами второго ряда ( гражданский и пенитенциарный секторы здравоохранения).</t>
  </si>
  <si>
    <t xml:space="preserve">Число  больных с чувствительной формой ТБ и ПЛУ(ПТП 1 ряда) на лечении, получающих мотивационную поддержку для лучшей приверженности к лечению </t>
  </si>
  <si>
    <t>Р1</t>
  </si>
  <si>
    <t xml:space="preserve">MDR TB-1: Процент ранее излеченных ТБ пациентов, прошедших ТЛЧ (только бактериологически положительные случаи) </t>
  </si>
  <si>
    <t>MDR TB-2: Количество бактериологически подтвержденных зарегистрированных ЛУ-ТБ случаев (РУ-ТБ и/или МЛУ-ТБ)</t>
  </si>
  <si>
    <t>MDR TB-3: Число больных  с устойчивыми формами туберкулеза, включенных на лечение препаратами второго ряда ( вместе с пенитенциарной системой)</t>
  </si>
  <si>
    <t>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t>
  </si>
  <si>
    <t xml:space="preserve">Процент и количество пациентов с симптомами или подозрениями на ТБ, обследованных методом Xpert MTB/RIF и подтвержденным активным ТБ  </t>
  </si>
  <si>
    <t>Разрабатываются УОФ.</t>
  </si>
  <si>
    <t>Арташес Мирзоян</t>
  </si>
  <si>
    <t>Р2</t>
  </si>
  <si>
    <t>Мотивационной поддержкой были охвачены все больные ЛУ-ТБ, которые не прерывали лечение более  5 дней.</t>
  </si>
  <si>
    <t>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t>
  </si>
  <si>
    <t>Данный индикатор показывает охват ранее леченных тестом на лекарственную чувствительность.</t>
  </si>
  <si>
    <t>8%</t>
  </si>
  <si>
    <t>&gt;100%</t>
  </si>
  <si>
    <t>KGZ-C-UNDP</t>
  </si>
  <si>
    <t>Управление программой</t>
  </si>
  <si>
    <t>Профилактика - ПИН и их партнеры</t>
  </si>
  <si>
    <t>Профилактика - Работники секс-бизнеса и их клиенты</t>
  </si>
  <si>
    <t>Профилактика - МСМ и трансгендерные лица</t>
  </si>
  <si>
    <t xml:space="preserve">Профилактика - Другие уязвимые группы населения </t>
  </si>
  <si>
    <t xml:space="preserve">Лечение, уход и поддержка
</t>
  </si>
  <si>
    <t>Укрепление систем сообществ</t>
  </si>
  <si>
    <t>Устранение правовых барьеров к доступу</t>
  </si>
  <si>
    <t>УC3 - Информационные системы здравоохранения и МиО</t>
  </si>
  <si>
    <t>ТБ/ВИЧ</t>
  </si>
  <si>
    <t>МЛУ-ТБ</t>
  </si>
  <si>
    <t>ППМР</t>
  </si>
  <si>
    <t>УСЗ - системы управления закупками и логистикой</t>
  </si>
  <si>
    <t xml:space="preserve">Профилактика - заключенные
</t>
  </si>
  <si>
    <t>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t>
  </si>
  <si>
    <t xml:space="preserve">В отчетном период ПРООН произвел выплаты 44 СП  в срок в полном объеме по запросу от СП.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</si>
  <si>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</si>
  <si>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t>
  </si>
  <si>
    <t>Процент взрослых и детей с известным ВИЧ статусом, получающих антиретровирусную терапию на данный момент</t>
  </si>
  <si>
    <t xml:space="preserve">Все лица с известным статусом на конец отчетного периода получающие АРТ в соответствие с национальным клиническим протоколом из оценочного числа ЛЖВ. </t>
  </si>
  <si>
    <t xml:space="preserve">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на 2016 г. </t>
  </si>
  <si>
    <t xml:space="preserve">Для сбора данных используется утвержденные НСК КР учетно-отчетные формы 4 и 4 а. РЦ “СПИД” предоставляет данные в ПРООН ежеквартально. </t>
  </si>
  <si>
    <t xml:space="preserve">Количество ЛЖВ, находящихся на попечении общинных организаций и участвующих в программах поддержки </t>
  </si>
  <si>
    <t xml:space="preserve">Указывается фактическое количество ЛЖВ,  получивших услугу через сообщества/инициативные группы/НПО и/или программы поддержки хотя бы один раз в квартал (и как минимум дважды за отчетное полугодие). </t>
  </si>
  <si>
    <t>Измеряется в абсолютных числах, расчет ведется по лицам, получившим услуги. Не кумулятивный.</t>
  </si>
  <si>
    <t>Отчетная документация организаций - СР (ежеквартально), БД МИС.</t>
  </si>
  <si>
    <t>Процент ЛУИН, охваченных программами по профилактике ВИЧ</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</si>
  <si>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</si>
  <si>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Процент ЛУИН заключенных, охваченных программами по  профилактике ВИЧ</t>
  </si>
  <si>
    <t xml:space="preserve">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из числа заключенных. </t>
  </si>
  <si>
    <t>Не кумулятивный, данные от СР представляются в абсолютных числах. На уровне ОР осуществляется кумуляция данных и расчеты в процентах. Числитель:Количество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знаменатель: фактическое количество заключенных.</t>
  </si>
  <si>
    <t xml:space="preserve">Количество игл и шприцев, розданных на 1-го ЛУИН за год
</t>
  </si>
  <si>
    <t>Число шприцев, распространенных в рамках программ по обмену игл и шприцев на одно лицо, употребляющее инъекционные наркотики за год</t>
  </si>
  <si>
    <t xml:space="preserve">Кумулятивно за год. 
Числитель: Число игл и шприцев, распространенных в рамках ПОШ за последние 12 месяцев
Знаменатель: Оценочное число лиц, потребляющих инъекционные наркотики в стране за 2013 год. </t>
  </si>
  <si>
    <t xml:space="preserve">Процент ЛУИН получающих ОЗТ, которые находятся на лечении не менее 6 месяцев после начала лечения </t>
  </si>
  <si>
    <t xml:space="preserve">Индикатор отражает приверженность/удержание на опиоидной заместительной терапии и охватывает и гражданский, пенитенциарный системы (включая сайты CDC).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</si>
  <si>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</si>
  <si>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</si>
  <si>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</si>
  <si>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</si>
  <si>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</si>
  <si>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</si>
  <si>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</si>
  <si>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</si>
  <si>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</si>
  <si>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</si>
  <si>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</si>
  <si>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</si>
  <si>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</si>
  <si>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</si>
  <si>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</si>
  <si>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</si>
  <si>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</si>
  <si>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</si>
  <si>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</si>
  <si>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</si>
  <si>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</si>
  <si>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(взрослых и детей), у которых ТБ статус был оценен и зарегистрирован во время их последнего визита, среди всех взрослых и детей, вовлеченных в уход по ВИЧ</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</si>
  <si>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</si>
  <si>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</si>
  <si>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Данные РЦ СПИД, ЭС.</t>
  </si>
  <si>
    <t>Процент ЛЖВ, которые получали комбинированное лечение (АРТ и ТБ), из числа ЛЖВ с выявленным ТБ статусом</t>
  </si>
  <si>
    <t>Процент ЛЖВ с ТБ, получавших в  отчетном периоде антиретровирусную терапию и противотуберкулезное лечение.</t>
  </si>
  <si>
    <t>Числитель: Количество взрослых и детей с ВИЧ-инфекцией и ТБ, получавших в  отчетном периоде антиретровирусную терапию и противотуберкулезное лечение
Знаменатель: Количество ЛЖВ с ТБ</t>
  </si>
  <si>
    <t>Данные РЦ СПИД, программа ЭС.</t>
  </si>
  <si>
    <t>Процент ЛЖВ среди вновь взятых на Д-учет, получивших профилактику  изониазидом</t>
  </si>
  <si>
    <t>Процент ЛЖВ, получивших профилактику изониазидом среди вновь взятых на Д-учет.</t>
  </si>
  <si>
    <t>Числитель: Число ЛЖВ вновь взятых на Д-учет, которые получили  профилактику изониазидом (хотя бы одну дозу) за отчетный период
Знаменатель: Число ЛЖВ, вновь взятых  на диспансерный учет в организациях здравоохранения (Число взрослых и детей с ВИЧ-инфекцией которые были на приеме в медицинском учреждении, предоставляющем услуги при ВИЧ-инфекции,  хотя бы один раз в течение отчетного года) за отчетный период</t>
  </si>
  <si>
    <t>Процент ВИЧ-положительных беременных женщин, которые получали антиретровирусные препараты (АРВ) для снижения риска передачи от матери ребенку</t>
  </si>
  <si>
    <t xml:space="preserve">Индикатор рассчитывается в целом и в разбивке данных с учетом схемы назначения антиретровирусных препаратов и включает число ВИЧ-инфицированных беременных женщин, получивших полный курс антиретровирусной профилактики за отчетный период из оценочного числа ВИЧ-инфицированных беременных женщин, родивших за последние 12 месяцев. 
</t>
  </si>
  <si>
    <t>Кумулятивно за год. 
Числитель: Число ВИЧ-инфицированных беременных женщин, получивших полный курс антиретровирусной профилактики за отчетный период
Знаменатель: Оценочное число ВИЧ-инфицированных беременных женщин, родивших за последние 12 месяцев</t>
  </si>
  <si>
    <t>Данные РЦ СПИД, программа ЭС, Спектрум.</t>
  </si>
  <si>
    <t xml:space="preserve">Процент рожденных от ВИЧ-инфицированных женщин младенцев, прошедших вирусологический тест на ВИЧ в течение двух месяцев со дня рождения </t>
  </si>
  <si>
    <t xml:space="preserve">Индикатор включает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из оценочного числа ВИЧ-инфицированных беременных женщин, родивших за последние 12 месяцев. 
</t>
  </si>
  <si>
    <t xml:space="preserve">
Кумулятивно за год. 
Числитель: Число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Знаменатель: Оценочное число ВИЧ-инфицированных женщин, родивших  за последние 12 мес.</t>
  </si>
  <si>
    <t>Количество задокументированных нарушений прав человека (в разбивке по ключевым группам)</t>
  </si>
  <si>
    <t>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t>
  </si>
  <si>
    <t>Подсчитывается 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 задействованных в программе.</t>
  </si>
  <si>
    <t xml:space="preserve">Программные отчеты суб-получателей, задокументированные случаи. </t>
  </si>
  <si>
    <t>Количество организаций, участвующих в программе "Уличные юристы"</t>
  </si>
  <si>
    <t>Количество организаций и их сотрудников, задействованных в программе "Уличные Юристы".</t>
  </si>
  <si>
    <t>Подсчитывается количество НПО и их сотрдников, задействованных в программе "Уличные Юристы" за отчетный период.</t>
  </si>
  <si>
    <t>Программные отчеты суб-получателей, списки уличных юристов.</t>
  </si>
  <si>
    <t>Показатель по ТБ</t>
  </si>
  <si>
    <t>Показатель по ВИЧ /СПИД</t>
  </si>
  <si>
    <t>ВИЧ/СПИД</t>
  </si>
  <si>
    <t>Процент ЛУИН, охваченных программами по  профилактике ВИЧ</t>
  </si>
  <si>
    <t>Топ 10</t>
  </si>
  <si>
    <t>с текущим грантом</t>
  </si>
  <si>
    <t>Достигнуто на 110%</t>
  </si>
  <si>
    <t xml:space="preserve">Процент взрослых и детей с известным ВИЧ статусом, получающих антиретровирусную терапию на данный момент </t>
  </si>
  <si>
    <t>Достигнуто на 120%</t>
  </si>
  <si>
    <t>Ч:247
З:380
%:65</t>
  </si>
  <si>
    <t>Ч:272
З:400
%:68</t>
  </si>
  <si>
    <t>Ч:123
З:241
%:51</t>
  </si>
  <si>
    <t>Ч:120
З:254
%:47.2</t>
  </si>
  <si>
    <t>Ч: 2420
З: 8000
%: 30.3</t>
  </si>
  <si>
    <t>Ч: 2640
З: 8000
%: 33</t>
  </si>
  <si>
    <t>Ч: 2713
З: 8300
%: 33</t>
  </si>
  <si>
    <t>Ч: 3629
З: 8443
%: 42.9</t>
  </si>
  <si>
    <t>Ч:4260
З: 7103
%: 60</t>
  </si>
  <si>
    <t>Ч:4430
З: 7103
%: 62.4</t>
  </si>
  <si>
    <t>Ч:4050
З: 7103
%: 57</t>
  </si>
  <si>
    <t>Ч:3790
З: 7103
%: 53.3</t>
  </si>
  <si>
    <t xml:space="preserve"> Топ 10</t>
  </si>
  <si>
    <t>Ч: 3270
З: 11692
%: 28</t>
  </si>
  <si>
    <t>Ч: 3815
З: 11692
%: 32.6</t>
  </si>
  <si>
    <t xml:space="preserve">Ч: 3765
З: 11692
%:32.2 </t>
  </si>
  <si>
    <t xml:space="preserve">Ч: 5344
З: 11692
%:45.7 </t>
  </si>
  <si>
    <t>Ч: 5912
З: 25000
%: 23.6</t>
  </si>
  <si>
    <t>Ч: 6600
З: 25000
%: 26.4</t>
  </si>
  <si>
    <t>Ч: 6950
З: 25000
%: 28</t>
  </si>
  <si>
    <t>Ч: 7503
З: 25000
%: 30</t>
  </si>
  <si>
    <t>Ч:1630
З: 7103
%: 22.9</t>
  </si>
  <si>
    <t>Ч:2030
З: 7103
%: 28.6</t>
  </si>
  <si>
    <t>Ч:1097
З: 7103
%: 15.4</t>
  </si>
  <si>
    <t>Ч:1350
З: 7103
%: 19</t>
  </si>
  <si>
    <t>Ч: 1727
З: 11692
%: 14.8</t>
  </si>
  <si>
    <t>Ч: 2158
З: 11692
%: 18.5</t>
  </si>
  <si>
    <t>Достигнуто на 103%</t>
  </si>
  <si>
    <t>Ч: 1841
З: 11692
%: 15.7</t>
  </si>
  <si>
    <t>Ч: 2237
З: 11692
%: 19.1</t>
  </si>
  <si>
    <t>Процент взрослых и детей , у которых ТБ статус был оценен и зарегистрирован во время их последнего визита, среди всех взрослых и детей, вовлеченных в уход по ВИЧ</t>
  </si>
  <si>
    <t xml:space="preserve"> с текущим грантом</t>
  </si>
  <si>
    <t>95.6%</t>
  </si>
  <si>
    <t>94.6%</t>
  </si>
  <si>
    <t>61.6%</t>
  </si>
  <si>
    <t>Количество задокументированных нарушений прав человека (в разбивке по уязвимым группам)</t>
  </si>
  <si>
    <t>Информация о программе: ТБ</t>
  </si>
  <si>
    <t>Информация о программе: ВИЧ/СПИД</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</si>
  <si>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</si>
  <si>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</si>
  <si>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</si>
  <si>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</si>
  <si>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СР ВИЧ/СПИД</t>
  </si>
  <si>
    <t>СР ТБ</t>
  </si>
  <si>
    <t>Отчеты ССР для СР ТБ</t>
  </si>
  <si>
    <t>Отчеты ССР для СР ВИЧ/СПИД</t>
  </si>
  <si>
    <t>Отчеты СР для ОР ВИЧ СПИД</t>
  </si>
  <si>
    <t>Отчеты СР для ОР ТБ</t>
  </si>
  <si>
    <t>Комментарии по ВИЧ:</t>
  </si>
  <si>
    <t>Комментарии по ТБ:</t>
  </si>
  <si>
    <t>Комментрии:</t>
  </si>
  <si>
    <t>Замечания</t>
  </si>
  <si>
    <t>н/п</t>
  </si>
  <si>
    <t>Ч:294
З:420
%:70</t>
  </si>
  <si>
    <t>Ч:123
З:262
%:46.9</t>
  </si>
  <si>
    <t>Ч: 3359
З: 8522
%: 39.4</t>
  </si>
  <si>
    <t>Ч:4615
З: 7103
%: 65</t>
  </si>
  <si>
    <t>Ч:3932
З: 7103
%: 55.3</t>
  </si>
  <si>
    <t>Ч: 4360
З: 11692
%: 37.3</t>
  </si>
  <si>
    <t xml:space="preserve">Ч: 5754
З: 11692
%:49.2 </t>
  </si>
  <si>
    <t>Ч: 7628
З: 25000
%: 30.5</t>
  </si>
  <si>
    <t>Ч:1679
З: 7103
%: 23.6</t>
  </si>
  <si>
    <t>Ч: 2659
З: 11692
%: 22.7</t>
  </si>
  <si>
    <t>Программные показатели по ТБ</t>
  </si>
  <si>
    <t>Программные показатели по ВИЧ/СПИД</t>
  </si>
  <si>
    <t>1684</t>
  </si>
  <si>
    <r>
      <t>Данный индикатор достиг  70% выполнения, мотивационную поддержку</t>
    </r>
    <r>
      <rPr>
        <sz val="8"/>
        <rFont val="Calibri"/>
        <family val="2"/>
        <charset val="204"/>
      </rPr>
      <t xml:space="preserve"> в виде денежных выплат получают только приверженные пациенты не прерывающ</t>
    </r>
    <r>
      <rPr>
        <sz val="8"/>
        <color indexed="8"/>
        <rFont val="Calibri"/>
        <family val="2"/>
      </rPr>
      <t>ие лечение более 5 дней.</t>
    </r>
  </si>
  <si>
    <t>2034</t>
  </si>
  <si>
    <t>Данный индикатор достиг выполнение 121%,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t>
  </si>
  <si>
    <t>96%</t>
  </si>
  <si>
    <t>Данный индикатор показывает охват ранее леченных тестом на лекарственную чувствительность и был выполнен на 101%</t>
  </si>
  <si>
    <t>736</t>
  </si>
  <si>
    <t xml:space="preserve"> Количество случаев МЛУ / РР-ТБ, зарегистрированных во  2-3  кв.2017 г. было 736 по сравнению с целевым 712 (103%).  </t>
  </si>
  <si>
    <t>686</t>
  </si>
  <si>
    <t>В Q2-3 2017 686 пациентов с устойчивыми формами туберкулеза были включены в лечение препаратами второй линии против 662 целевого количества и составило 103%. В это количество больных 643  покрыты из Глобального фонда, а 43 пациента на средства  MSF. В гражданском секторе здравоохранения взяты на лечение 658 пациентов, в тюремном секторе - 28 человек. В дополнение к 686 пациентам также начали лечение 205 пациентов с полирезистентной формой ТБ, которые также были закуплены ПРООН. Эти пациенты не отражены в  данном показателе из-за  его определения.</t>
  </si>
  <si>
    <t>18%</t>
  </si>
  <si>
    <t xml:space="preserve"> 
За отчетный период Q1-4 2017 13121 пациентов с симптомами, указывающими на туберкулез, прошли обследование мокроты методом GX. Из них 2440 случаев были подтверждены как активный туберкулез, что сотавило 18,6%.
</t>
  </si>
  <si>
    <t>По компоненту ВИЧ - Предварительных условий (ПУ) нет, согласно письму от ГФ по результатам работы за 1-е полугодие 2017 года включено 1 Действие с установленным сроком исполнения (ДУС) - срок исполнения 30 июня 2018 года (по программе ПТМ). 
Все предваритиельные условия выполнены</t>
  </si>
  <si>
    <t>По компоненту ВИЧ - С начала августа 2018 года из 7 штатных позиций в программном отделе 6 было занята, 1 позиция была вакантной до конца 2017 года. Дополнительно в отчетном периоде  работали 1 Эксперт по ВИЧ и 1 Фармацевт по индивидуальным контрактам.
По компоненту ТБ - Координатор гранта ТБ, Финансовый специалист, специалист по амбулаторному лечению и специалист МиО гранта ТБ</t>
  </si>
  <si>
    <t>По компоненту ВИЧ - продолжили реализацию программы всего 32 Суб-получателя в рамках 42 СП-Соглашений, из которых все СП по всем Соглашениям получали финансирование. 
ПО компоненту ТБ: Соглашения подписаны в Марте,  отчеты за третий и четвертый кварталы сданы и отражены в отчете PU\DR</t>
  </si>
  <si>
    <t>По компоненту ВИЧ -  40 из 42 ожидаемых программных отчетов СП были получены своевременно, отчеты от 2 организаций - СП были получены позже установленного срока (15 число следующего за отчетным периодом месяца). 38 отчетов были проверены, доработаны СП и приняты в течение 30 календарных дней, 4 отчета были приняты после установленного срока (РЦ СПИД, ГЦПБС, ООЦПБС - связано с уточнением программных данных за 2017 год и ОФ "Гендер Вектор"). 
Комментарии по ТБ: Суб-суб-получателей были приняты в рамках отчета МЗ КР.
 Все СР предоставили полные отчеты в установленные сроки</t>
  </si>
  <si>
    <t>Число  больных  с чувствительной формой ТБ, клторые находятся на амбулаторном этапе лечение, получающие мотивационную поддержку в виде денежных перечислений для лучшей приверженности.</t>
  </si>
  <si>
    <t>Отчетная документация организаций - СР: ежемесячные списки больныхТБ и ежеквартальные отчеты.</t>
  </si>
  <si>
    <t>Иструмент учета данных  ежеквартельной форме ТБ 06, табл. 3 (числитель) и ТБ 06, табл. 3 (знаменатель);</t>
  </si>
  <si>
    <t xml:space="preserve">Количество ранее излеченных ТБ случаев с результатом устойчивости на изониазид (Н) и рифампицин (R) за оценочный период к общему количеству бактериологически положительных ранее излеченных пациентов ТБ за оценочный период. </t>
  </si>
  <si>
    <t>Измеряется в абсолютных числах  на основании ежеквартальных статистических данных РЦИиЭ НЦФ.</t>
  </si>
  <si>
    <t xml:space="preserve">Отчетный инструмент  относится к форме ТБ 06, табл. 1. </t>
  </si>
  <si>
    <t xml:space="preserve">    Абсолютному количеству бактериологически подтвержденных случаев ЛУ РУ ТБ и/или МЛУ/ШЛУ выявленных за отчетный период.                                      
</t>
  </si>
  <si>
    <t xml:space="preserve"> Источником данных для этого индикатора будет являтся электронная база данных по ТБ.        
 Числитель: количество пациентов с симптомами или признаками ТБ, подлежащих обследованию методом  Xpert MTB/RIF с подтвержденной активной формой ТБ.    
Знаменатель: количество пациентов с симптомами или признаками ТБ, подлежащих обследованию методом  Xpert MTB/RIF.      </t>
  </si>
  <si>
    <t xml:space="preserve">  Процент и абсолютное количество пациентов с симптомами туберкулеза, у которых выявлен активный ТБ методом Xpert MTB/RIF.
</t>
  </si>
  <si>
    <t>РЦИиЭ НЦФ разработана учетно-отчетная форма для расчета данного показателя.</t>
  </si>
  <si>
    <t>Capreomycin  1000mg  Порошок для инъекций</t>
  </si>
  <si>
    <t>Kanamycin  1000mg  Порошок для инъекций</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</si>
  <si>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</si>
  <si>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</si>
  <si>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</si>
  <si>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</si>
  <si>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</si>
  <si>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</si>
  <si>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</si>
  <si>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</si>
  <si>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</si>
  <si>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</si>
  <si>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</si>
  <si>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</si>
  <si>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</si>
  <si>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</si>
  <si>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Метадон</t>
  </si>
  <si>
    <t>Представленная информация отражает ситуацию на 31/12/17 (данные ежемесячного отчета по использованию ПТП). Остатки не включают ожидаемые поставки, которые будут получены в период январь-июнь 2018г.</t>
  </si>
  <si>
    <r>
      <t xml:space="preserve">Все закупки, запланированные на 2017 год, были выполнены. Заказ на поставку АРВ препаратов и тест-систем был размещен в середине 2016 г. За счет сэкономленных средств 2017 г. было решено закупить буфер АРВ препаратов на 9 мес. 2018 г. заказ был размешен в середине 2017 г. Тест системы покрывают шестимесячную потребность 2018 г. (срок годности AZT/3TC до Мая 2020 г. и Февраля 2021 г.) </t>
    </r>
    <r>
      <rPr>
        <sz val="8"/>
        <rFont val="Calibri"/>
        <family val="2"/>
      </rPr>
      <t xml:space="preserve">
Контракты заключены, оплата после 100% поставки.</t>
    </r>
  </si>
  <si>
    <t xml:space="preserve">Представленная информация отражает ситуацию на 31/12/17 (Данные Электронной базы слежения за случаями ВИЧ и данным РЦ СПИД). Представленная информация отражает данные по пациентам согласно Клиническому протоколу. Назначение и перевод пациентов на фиксированные схемы лечения производится, в соотвествии с КП в частности на "Атриплу" (FDC FTC/TDF/EFV), “Кивексу” (FDC ABC/3TC) и "Труваду" (FDC FTC/TDF). 
Остатки метадона на начало года составляли 12 кг 900 гр (покрывает 4 месяца). </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</si>
  <si>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</si>
  <si>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Достигнуто на 102%</t>
  </si>
  <si>
    <t>Достигнуто на 67%</t>
  </si>
  <si>
    <t>Достигнуто на 119%</t>
  </si>
  <si>
    <t>Достигнуто на 85%</t>
  </si>
  <si>
    <t>Достигнуто на 116%</t>
  </si>
  <si>
    <t>Достигнуто на 83%</t>
  </si>
  <si>
    <t>Достигнуто на 104%</t>
  </si>
  <si>
    <t>Достигнуто на 92%</t>
  </si>
  <si>
    <t>Достигнуто на 100%</t>
  </si>
  <si>
    <t>Достигнуто на 88%</t>
  </si>
  <si>
    <t>Ч:1450
З:8000
%: 18</t>
  </si>
  <si>
    <t>Ч:1500
З:8000
%: 18.8</t>
  </si>
  <si>
    <t>Ч:1550
З:8000
%: 19.4</t>
  </si>
  <si>
    <t>Ч:1354
З:8300
%: 16</t>
  </si>
  <si>
    <t>Ч:1501
З:8443
%: 17.7</t>
  </si>
  <si>
    <t>Ч:1453
З:8522
%: 17</t>
  </si>
  <si>
    <t>95.2%</t>
  </si>
  <si>
    <t xml:space="preserve">В отчетный период услуги получили  5599 ЛУИН  в государственных ПОШ, 10041 ЛУИН в НПО и 1535 в ГСИН. После исключения дублирующих кодов, общее количество клиентов  охваченных программами по профилактике ВИЧ в отчетном периоде  составило 16430, в том числе 2101 женщин. </t>
  </si>
  <si>
    <t xml:space="preserve">В соответствии с официальными данными, представленными Центром СПИД Республики на 31 декабря 2017 г., 3237 ЛЖВ получают АРВ лечение. В это число входят 2792 взрослых (из них: мужчин - 1495, женщин - 1297) и 445 детей (из них: дев. -177, мал. -268). </t>
  </si>
  <si>
    <t>За отчетный период 3117 ЛЖВ получили различные услуги через сообщества и/или программы поддержки, из них 2821 (включая 1385 женщин) получили услуги через Центры СПИД, ЦСМ, НПО, сети и 296 (включая 11 женщин) в ГСИН.</t>
  </si>
  <si>
    <t>Ч: 15000
З: 25 000
%: 60</t>
  </si>
  <si>
    <t>Ч: 16430
З: 25 000
%: 65.7</t>
  </si>
  <si>
    <t>Ч: 3478
З: 9300
%: 37.4</t>
  </si>
  <si>
    <t>Ч: 3237
З: 8500
%: 38</t>
  </si>
  <si>
    <t xml:space="preserve">Ч: 1616
З:2694
%: 60% </t>
  </si>
  <si>
    <t>Ч: 3117
З:3370
%: 92.4</t>
  </si>
  <si>
    <t>Ч: 294
З:420
%:70</t>
  </si>
  <si>
    <t xml:space="preserve">За предыдущий отчетный период (Янв-Июнь 2017) 262 ЛУИН вошли в программу и из них 123 находились на лечении не менее 6 месяцев после начала лечения, что составило 46.9%. 
Из тех, кто не смог удержаться в течение 6 месяцев: умер -7; другие причины-1; самовольный выход - 14; перешел на другой сайт и не дошел- 6; заключен в тюрьму - 1; плановое завершение - 1; добровольное досрочное - 109. Из них 41% (57/139) вернулись и получили ОЗТ в период с июля 2017 года по февраль 2018 года.
Согласно данным, полученным из ЭРЗПТ, в отчетном периоде получали ОЗТ- 1 455 ЛУИН, а по состоянию на 31 декабря 2017 г. - 1 226 ЛУИН фактически получали ОЗТ (сайты РЦН, ГСИН и CDC). Из них 77% (940/1226) получали ОЗТ в течение 6 и более месяцев.
</t>
  </si>
  <si>
    <t xml:space="preserve">За отчетный период 3359 заключенных (из них женщин- 142), прошли тестирование на ВИЧ и знают свои результаты из общего количества 8522 заключенных, что составило 39.4%. Всего за год прошли тестирование 6488 заключенных, при целевом показателе 4800. Процент выполнения от целевого показателя- 135%. </t>
  </si>
  <si>
    <t xml:space="preserve">Шесть НПО, расположенных в городах Бишкек, Кант, Сокулук, Кызыл-Кия, Токмок, Чолпон-Ата, Каракол и в Джалал-Абадской, Ошской, Нарынской и Таласской областях реализуют программы профилактики ВИЧ среди данной уязвимой группы. В этот период 3932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В отчетный период 1409 СР прошли диагностику на ИППП.  
Милицейские рейды по-прежнему являются основным препятствием для деятельности профилактических программ, главным образом, в городе Бишкек и Чуйской области, где НПО «Таис Плюс» работает с высокими целевыми показателями. Некоторые из результатов исследования «Результаты документирования насилия в отношении секс-работников в Кыргызстане»: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По сравнению с 1-м кварталом во 2-м квартале выросло число сообщений о вымогательствах со стороны сотрудников милиции с 70% до 94%.
В результате большинство СВ в Бишкеке скрыты и труднодоступны.
</t>
  </si>
  <si>
    <t>Ч: 5754
З: 11692
%: 49.2</t>
  </si>
  <si>
    <t xml:space="preserve">Пять НПО осуществляли программы профилактики ВИЧ среди МСМ в отчетный период (охват: Ош, Джалал-Абад, Талас,Чуй, Иссык-Куль и город Бишкек). 5754 МСМ были охвачены минимальным пакетом услуг. Диагностику на ИППП прошли- 1624 МСМ. </t>
  </si>
  <si>
    <t xml:space="preserve">За отчетный период 7628 ЛУИН, включая ЛУИН заключенных и ОЗТ клиентов прошли тестирование на ВИЧ и знают свои результаты. Из них 93% (7123/7628) прошли экспресс тестирование. Доступность ЭТ для клиентов НПО отражается в увеличении числа протестированных. 
Всего за год прошли тестирование 12935 ЛУИН, при целевом показателе 12000. Процент выполнения от целевого показателя- 108%. </t>
  </si>
  <si>
    <t xml:space="preserve">За отчетный период 1679 СР прошли тестирование на ВИЧ и знают свои результаты. Из них 95% (1596/1679) прошли экспресс тестирование. Всего за год прошли тестирование 2733 СР, при целевом показателе 3692. Процент выполнения от целевого показателя- 74%.  
Из-за милицейских рейдов сотрудники НПО в основном могут предоставлять минимальный пакет услуг, но иногда нет времени для проведения тестирования, поскольку СР всегда стараются скрываться и не хотят проходить тестирование. 
</t>
  </si>
  <si>
    <t xml:space="preserve">За отчетный период 2659 МСМ прошли тестирование на ВИЧ и знают свои результаты. Из них 84 % (2234/2659) прошли экспресс тестирование. Доступность ЭТ для клиентов НПО отражается в увеличении числа протестированных. 
Всего за год прошли тестирование 4587 МСМ, при целевом показателе 3924. Процент выполнения от целевого показателя- 117%. 
</t>
  </si>
  <si>
    <t>Из 3370 ЛЖВ (2935 взрослых и 435 детей) вовлеченных в уход по ВИЧ , ТБ статус был оценен у 3251 ЛЖВ (2820 взрослых и 431 детей)  во время отчетного периода, согласно национальному протоколу по ВИЧ. Данные предоставлены РЦ СПИД.</t>
  </si>
  <si>
    <t xml:space="preserve">Из 93 ВИЧ-инфицированных больных ТБ, 87 пациента получали комбинированную антиретровирусную терапию в соответствии с национально утвержденными протоколами лечения (или стандартами ВОЗ/ЮНЭЙДС), и которые начали получать лечение ТБ (в соответствии с руководящими принципами национальной программы по ТБ) в течение отчетного периода. </t>
  </si>
  <si>
    <t xml:space="preserve">
Из 277 ЛЖВ, вновь взятых  на диспансерный учет в организациях здравоохранения получили профилактику изониазидом (хотя бы одну дозу) за отчетный период 231 ЛЖВ, что составило 83%. </t>
  </si>
  <si>
    <t xml:space="preserve">За отчетный период были задокументированы 510 нарушений прав человека  со стороны уличных юристов (из них: ЛУИН-297 (включая ОЗТ-60), СР-113, МСМ-12, ЛГБТ- 6 и ЛЖВ-82). </t>
  </si>
  <si>
    <t>За отчетный период всего 24  суб-получателей были задействованы в программе "Уличные Юристы".</t>
  </si>
  <si>
    <t>Процент ЛУИН заключенных, охваченных программами по профилактике ВИЧ</t>
  </si>
  <si>
    <t>Ч: 1453
З: 8522
%: 17</t>
  </si>
  <si>
    <t xml:space="preserve">За отчетный период 1453 ЛУИН заключенных, включая 19 женщин были охвачены программами по профилактике ВИЧ в ГСИН. Фактическое количество заключенных на 31.12.2017 г. составялет 8522 заключенных. </t>
  </si>
  <si>
    <t xml:space="preserve">Знаменатель -  фактическое число ВИЧ-инфицированных беременных женщин, родивших за последние 12 месяцев - 126.
Числитель - число ВИЧ-инфицированных беременных женщин, родивших за последние 12 месяцев и получивших АРТ в целях профилактики вертикальной передачи ВИЧ – 120.
Примечание: «Оценочное число ВИЧ-инфицированных женщин, родивших за последние 12 месяцев» за 2017 год согласно программе СПЕКТРУМ будут готовы в апреле 2018 года. В данное время оценочные данные за 2017 год недоступны. </t>
  </si>
  <si>
    <t xml:space="preserve">Знаменатель -  Фактическое число детей, рожденных ВИЧ–инфицированными женщинами за отчетный период – 126.Числитель - Число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-113.
Примечание: «Оценочное число ВИЧ-инфицированных женщин, родивших за последние 12 месяцев» за 2017 год согласно программе СПЕКТРУМ будут готовы в апреле 2018 года. В данное время оценочные данные за 2017 год недоступны.
</t>
  </si>
  <si>
    <t xml:space="preserve">Согласно отчетам суб-получателй за последние 12 месяцев были розданы 5497636 шприцев. Оценочное число ЛУИН в стране, составляет 25 000. Таким образом, количество шприцев, розданных на 1 ЛУИН за год составляет 220 штук. Шприцы были приобретены и доступны в достаточном количестве для распространения среди ЛУИН. Фактически, в соответствии с результатами МиО визитов и программных отчетов СП, меньшее использование шприцев и игл является следствием сокращения наркотиков на рынке. </t>
  </si>
  <si>
    <t>Процент взрослых и детей, получавших антиретровирусную терапию в отчетный период, у которых отмечено подавление вирусной нагрузки (т.е. ≤1000 копий)</t>
  </si>
  <si>
    <t>Ч:1644
З:2668
%: 62</t>
  </si>
  <si>
    <t>89.68%</t>
  </si>
  <si>
    <t>Количество игл и шприцев, розданных на 1-го ЛУИН за год</t>
  </si>
  <si>
    <t>Определение (на основании Плана мониторинга и оценки)</t>
  </si>
  <si>
    <t>«Эффективный контроль за туберкулезом и ВИЧ-инфекцией в Кыргызской Республике»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</si>
</sst>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 numFmtId="175" formatCode="_-* #,##0.00_р_._-;\-* #,##0.00_р_._-;_-* &quot;-&quot;??_р_._-;_-@_-"/>
    <numFmt numFmtId="176" formatCode="_-* #,##0.00_-;\-* #,##0.00_-;_-* &quot;-&quot;??_-;_-@_-"/>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95">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i/>
      <sz val="11"/>
      <color indexed="8"/>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b/>
      <i/>
      <sz val="14"/>
      <color indexed="12"/>
      <name val="Calibri"/>
      <family val="2"/>
    </font>
    <font>
      <sz val="11"/>
      <color indexed="8"/>
      <name val="Calibri"/>
      <family val="2"/>
    </font>
    <font>
      <b/>
      <sz val="11"/>
      <color indexed="8"/>
      <name val="Calibri"/>
      <family val="2"/>
    </font>
    <font>
      <sz val="9"/>
      <color indexed="8"/>
      <name val="Calibri"/>
      <family val="2"/>
    </font>
    <font>
      <sz val="11"/>
      <color indexed="8"/>
      <name val="Symbol"/>
      <family val="1"/>
      <charset val="2"/>
    </font>
    <font>
      <b/>
      <sz val="11"/>
      <color indexed="8"/>
      <name val="Arial"/>
      <family val="2"/>
      <charset val="204"/>
    </font>
    <font>
      <sz val="11"/>
      <name val="Calibri"/>
      <family val="2"/>
    </font>
    <font>
      <b/>
      <sz val="11"/>
      <name val="Calibri"/>
      <family val="2"/>
    </font>
    <font>
      <b/>
      <sz val="22"/>
      <color indexed="9"/>
      <name val="Calibri"/>
      <family val="2"/>
    </font>
    <font>
      <sz val="11"/>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s>
  <fills count="5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rgb="FFFFFF00"/>
        <bgColor indexed="64"/>
      </patternFill>
    </fill>
    <fill>
      <patternFill patternType="solid">
        <fgColor indexed="43"/>
        <bgColor indexed="51"/>
      </patternFill>
    </fill>
    <fill>
      <patternFill patternType="solid">
        <fgColor theme="9" tint="-0.249977111117893"/>
        <bgColor indexed="64"/>
      </patternFill>
    </fill>
    <fill>
      <patternFill patternType="solid">
        <fgColor rgb="FF99CCFF"/>
        <bgColor indexed="64"/>
      </patternFill>
    </fill>
    <fill>
      <patternFill patternType="solid">
        <fgColor theme="0" tint="-4.9989318521683403E-2"/>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theme="6" tint="0.79998168889431442"/>
        <bgColor indexed="64"/>
      </patternFill>
    </fill>
  </fills>
  <borders count="26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3" fillId="0" borderId="4" applyNumberFormat="0" applyFill="0" applyAlignment="0" applyProtection="0"/>
    <xf numFmtId="0" fontId="74"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7" fillId="0" borderId="0"/>
    <xf numFmtId="164" fontId="137" fillId="0" borderId="0"/>
    <xf numFmtId="164" fontId="137" fillId="0" borderId="0"/>
    <xf numFmtId="164" fontId="137"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37"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7" fillId="0" borderId="9" applyNumberFormat="0" applyFill="0" applyAlignment="0" applyProtection="0"/>
    <xf numFmtId="0" fontId="75"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37" fillId="0" borderId="0"/>
    <xf numFmtId="0" fontId="160" fillId="0" borderId="0"/>
    <xf numFmtId="0" fontId="161" fillId="0" borderId="0"/>
    <xf numFmtId="9" fontId="2" fillId="0" borderId="0" applyFont="0" applyFill="0" applyBorder="0" applyAlignment="0" applyProtection="0"/>
    <xf numFmtId="9" fontId="161" fillId="0" borderId="0" applyFont="0" applyFill="0" applyBorder="0" applyAlignment="0" applyProtection="0"/>
    <xf numFmtId="176" fontId="161" fillId="0" borderId="0" applyFont="0" applyFill="0" applyBorder="0" applyAlignment="0" applyProtection="0"/>
    <xf numFmtId="3" fontId="162" fillId="47" borderId="0">
      <alignment horizontal="center"/>
    </xf>
    <xf numFmtId="9" fontId="162" fillId="47" borderId="0">
      <alignment horizontal="center"/>
    </xf>
    <xf numFmtId="3" fontId="163" fillId="0" borderId="0">
      <alignment horizontal="center" vertical="center"/>
      <protection locked="0"/>
    </xf>
    <xf numFmtId="174" fontId="163" fillId="0" borderId="0">
      <alignment horizontal="center" vertical="center"/>
      <protection locked="0"/>
    </xf>
    <xf numFmtId="49" fontId="164" fillId="0" borderId="0">
      <alignment horizontal="left"/>
    </xf>
    <xf numFmtId="0" fontId="165" fillId="0" borderId="0" applyNumberFormat="0" applyFill="0" applyBorder="0" applyAlignment="0" applyProtection="0"/>
    <xf numFmtId="0" fontId="2" fillId="0" borderId="0"/>
    <xf numFmtId="0" fontId="166" fillId="0" borderId="0"/>
    <xf numFmtId="0" fontId="161" fillId="0" borderId="0"/>
    <xf numFmtId="0" fontId="161" fillId="0" borderId="0"/>
    <xf numFmtId="0" fontId="161" fillId="0" borderId="0"/>
    <xf numFmtId="0" fontId="155" fillId="0" borderId="0"/>
    <xf numFmtId="0" fontId="155" fillId="0" borderId="0"/>
    <xf numFmtId="175" fontId="167" fillId="0" borderId="0" applyFont="0" applyFill="0" applyBorder="0" applyAlignment="0" applyProtection="0"/>
    <xf numFmtId="9" fontId="167" fillId="0" borderId="0" applyFont="0" applyFill="0" applyBorder="0" applyAlignment="0" applyProtection="0"/>
    <xf numFmtId="0" fontId="170" fillId="0" borderId="0"/>
    <xf numFmtId="43" fontId="170" fillId="0" borderId="0" applyFont="0" applyFill="0" applyBorder="0" applyAlignment="0" applyProtection="0"/>
    <xf numFmtId="176" fontId="167" fillId="0" borderId="0" applyFont="0" applyFill="0" applyBorder="0" applyAlignment="0" applyProtection="0"/>
    <xf numFmtId="43" fontId="161" fillId="0" borderId="0" applyFont="0" applyFill="0" applyBorder="0" applyAlignment="0" applyProtection="0"/>
    <xf numFmtId="9" fontId="167" fillId="0" borderId="0" applyFont="0" applyFill="0" applyBorder="0" applyAlignment="0" applyProtection="0"/>
    <xf numFmtId="178" fontId="162" fillId="0" borderId="260">
      <alignment horizontal="center" vertical="center"/>
    </xf>
    <xf numFmtId="179" fontId="172" fillId="0" borderId="0">
      <protection locked="0"/>
    </xf>
    <xf numFmtId="179" fontId="121" fillId="0" borderId="0">
      <alignment horizontal="center" vertical="center"/>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alignment vertical="top"/>
      <protection locked="0"/>
    </xf>
    <xf numFmtId="179" fontId="149" fillId="48" borderId="0" applyNumberFormat="0" applyBorder="0" applyAlignment="0" applyProtection="0"/>
    <xf numFmtId="179" fontId="149" fillId="6" borderId="0" applyNumberFormat="0" applyBorder="0" applyAlignment="0" applyProtection="0"/>
    <xf numFmtId="179" fontId="149" fillId="7" borderId="0" applyNumberFormat="0" applyBorder="0" applyAlignment="0" applyProtection="0"/>
    <xf numFmtId="179" fontId="149" fillId="49" borderId="0" applyNumberFormat="0" applyBorder="0" applyAlignment="0" applyProtection="0"/>
    <xf numFmtId="179" fontId="149" fillId="5" borderId="0" applyNumberFormat="0" applyBorder="0" applyAlignment="0" applyProtection="0"/>
    <xf numFmtId="179" fontId="149" fillId="3" borderId="0" applyNumberFormat="0" applyBorder="0" applyAlignment="0" applyProtection="0"/>
    <xf numFmtId="179" fontId="149" fillId="11" borderId="0" applyNumberFormat="0" applyBorder="0" applyAlignment="0" applyProtection="0"/>
    <xf numFmtId="179" fontId="149" fillId="9" borderId="0" applyNumberFormat="0" applyBorder="0" applyAlignment="0" applyProtection="0"/>
    <xf numFmtId="179" fontId="149" fillId="50" borderId="0" applyNumberFormat="0" applyBorder="0" applyAlignment="0" applyProtection="0"/>
    <xf numFmtId="179" fontId="149" fillId="49" borderId="0" applyNumberFormat="0" applyBorder="0" applyAlignment="0" applyProtection="0"/>
    <xf numFmtId="179" fontId="149" fillId="11" borderId="0" applyNumberFormat="0" applyBorder="0" applyAlignment="0" applyProtection="0"/>
    <xf numFmtId="179" fontId="149" fillId="51" borderId="0" applyNumberFormat="0" applyBorder="0" applyAlignment="0" applyProtection="0"/>
    <xf numFmtId="179" fontId="175" fillId="52" borderId="0" applyNumberFormat="0" applyBorder="0" applyAlignment="0" applyProtection="0"/>
    <xf numFmtId="179" fontId="175" fillId="9" borderId="0" applyNumberFormat="0" applyBorder="0" applyAlignment="0" applyProtection="0"/>
    <xf numFmtId="179" fontId="175" fillId="50" borderId="0" applyNumberFormat="0" applyBorder="0" applyAlignment="0" applyProtection="0"/>
    <xf numFmtId="179" fontId="175" fillId="53" borderId="0" applyNumberFormat="0" applyBorder="0" applyAlignment="0" applyProtection="0"/>
    <xf numFmtId="179" fontId="175" fillId="12" borderId="0" applyNumberFormat="0" applyBorder="0" applyAlignment="0" applyProtection="0"/>
    <xf numFmtId="179" fontId="175" fillId="54" borderId="0" applyNumberFormat="0" applyBorder="0" applyAlignment="0" applyProtection="0"/>
    <xf numFmtId="0" fontId="169" fillId="0" borderId="0" applyNumberFormat="0" applyFill="0" applyBorder="0" applyAlignment="0" applyProtection="0">
      <alignment vertical="top"/>
      <protection locked="0"/>
    </xf>
    <xf numFmtId="176" fontId="161" fillId="0" borderId="0" applyFont="0" applyFill="0" applyBorder="0" applyAlignment="0" applyProtection="0"/>
    <xf numFmtId="43" fontId="149" fillId="0" borderId="0" applyFont="0" applyFill="0" applyBorder="0" applyAlignment="0" applyProtection="0"/>
    <xf numFmtId="180" fontId="161" fillId="0" borderId="0" applyFont="0" applyFill="0" applyBorder="0" applyAlignment="0" applyProtection="0"/>
    <xf numFmtId="179" fontId="165" fillId="0" borderId="0" applyNumberFormat="0" applyFill="0" applyBorder="0" applyAlignment="0" applyProtection="0">
      <alignment vertical="top"/>
      <protection locked="0"/>
    </xf>
    <xf numFmtId="0" fontId="176" fillId="0" borderId="0"/>
    <xf numFmtId="0" fontId="177" fillId="0" borderId="0" applyNumberFormat="0" applyFill="0" applyBorder="0" applyAlignment="0" applyProtection="0">
      <alignment vertical="top"/>
      <protection locked="0"/>
    </xf>
    <xf numFmtId="0" fontId="161" fillId="7" borderId="10" applyBorder="0">
      <alignment vertical="top"/>
    </xf>
    <xf numFmtId="179" fontId="162" fillId="0" borderId="0"/>
    <xf numFmtId="0" fontId="167" fillId="0" borderId="0"/>
    <xf numFmtId="0" fontId="161" fillId="0" borderId="0"/>
    <xf numFmtId="0" fontId="167" fillId="0" borderId="0"/>
    <xf numFmtId="179" fontId="161" fillId="0" borderId="0"/>
    <xf numFmtId="0" fontId="167" fillId="0" borderId="0"/>
    <xf numFmtId="9" fontId="167" fillId="0" borderId="0" applyFont="0" applyFill="0" applyBorder="0" applyAlignment="0" applyProtection="0"/>
    <xf numFmtId="9" fontId="167" fillId="0" borderId="0" applyFont="0" applyFill="0" applyBorder="0" applyAlignment="0" applyProtection="0"/>
    <xf numFmtId="9" fontId="167" fillId="0" borderId="0" applyFont="0" applyFill="0" applyBorder="0" applyAlignment="0" applyProtection="0"/>
    <xf numFmtId="9" fontId="178" fillId="0" borderId="0" applyFont="0" applyFill="0" applyBorder="0" applyAlignment="0" applyProtection="0"/>
    <xf numFmtId="0" fontId="171" fillId="8" borderId="41">
      <alignment horizontal="centerContinuous"/>
    </xf>
    <xf numFmtId="49" fontId="168" fillId="55" borderId="10">
      <alignment horizontal="center" vertical="center" wrapText="1"/>
    </xf>
    <xf numFmtId="179" fontId="175" fillId="56" borderId="0" applyNumberFormat="0" applyBorder="0" applyAlignment="0" applyProtection="0"/>
    <xf numFmtId="179" fontId="175" fillId="13" borderId="0" applyNumberFormat="0" applyBorder="0" applyAlignment="0" applyProtection="0"/>
    <xf numFmtId="179" fontId="175" fillId="15" borderId="0" applyNumberFormat="0" applyBorder="0" applyAlignment="0" applyProtection="0"/>
    <xf numFmtId="179" fontId="175" fillId="53" borderId="0" applyNumberFormat="0" applyBorder="0" applyAlignment="0" applyProtection="0"/>
    <xf numFmtId="179" fontId="175" fillId="12" borderId="0" applyNumberFormat="0" applyBorder="0" applyAlignment="0" applyProtection="0"/>
    <xf numFmtId="179" fontId="175" fillId="14" borderId="0" applyNumberFormat="0" applyBorder="0" applyAlignment="0" applyProtection="0"/>
    <xf numFmtId="179" fontId="179" fillId="3" borderId="1" applyNumberFormat="0" applyAlignment="0" applyProtection="0"/>
    <xf numFmtId="179" fontId="180" fillId="8" borderId="8" applyNumberFormat="0" applyAlignment="0" applyProtection="0"/>
    <xf numFmtId="179" fontId="181" fillId="8" borderId="1" applyNumberFormat="0" applyAlignment="0" applyProtection="0"/>
    <xf numFmtId="0" fontId="165"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179" fontId="183" fillId="0" borderId="261" applyNumberFormat="0" applyFill="0" applyAlignment="0" applyProtection="0"/>
    <xf numFmtId="179" fontId="184" fillId="0" borderId="5" applyNumberFormat="0" applyFill="0" applyAlignment="0" applyProtection="0"/>
    <xf numFmtId="179" fontId="185" fillId="0" borderId="9" applyNumberFormat="0" applyFill="0" applyAlignment="0" applyProtection="0"/>
    <xf numFmtId="179" fontId="185" fillId="0" borderId="0" applyNumberFormat="0" applyFill="0" applyBorder="0" applyAlignment="0" applyProtection="0"/>
    <xf numFmtId="179" fontId="159" fillId="0" borderId="262" applyNumberFormat="0" applyFill="0" applyAlignment="0" applyProtection="0"/>
    <xf numFmtId="179" fontId="186" fillId="18" borderId="2" applyNumberFormat="0" applyAlignment="0" applyProtection="0"/>
    <xf numFmtId="179" fontId="187" fillId="0" borderId="0" applyNumberFormat="0" applyFill="0" applyBorder="0" applyAlignment="0" applyProtection="0"/>
    <xf numFmtId="179" fontId="188" fillId="10" borderId="0" applyNumberFormat="0" applyBorder="0" applyAlignment="0" applyProtection="0"/>
    <xf numFmtId="0" fontId="160" fillId="0" borderId="0"/>
    <xf numFmtId="0" fontId="167" fillId="0" borderId="0"/>
    <xf numFmtId="0" fontId="161" fillId="0" borderId="0"/>
    <xf numFmtId="0" fontId="149" fillId="0" borderId="0"/>
    <xf numFmtId="0" fontId="149" fillId="0" borderId="0"/>
    <xf numFmtId="0" fontId="161" fillId="0" borderId="0"/>
    <xf numFmtId="0" fontId="160" fillId="0" borderId="0"/>
    <xf numFmtId="179" fontId="189" fillId="6" borderId="0" applyNumberFormat="0" applyBorder="0" applyAlignment="0" applyProtection="0"/>
    <xf numFmtId="179" fontId="190" fillId="0" borderId="0" applyNumberFormat="0" applyFill="0" applyBorder="0" applyAlignment="0" applyProtection="0"/>
    <xf numFmtId="179" fontId="161" fillId="4" borderId="7" applyNumberFormat="0" applyFont="0" applyAlignment="0" applyProtection="0"/>
    <xf numFmtId="9" fontId="160" fillId="0" borderId="0" applyFont="0" applyFill="0" applyBorder="0" applyAlignment="0" applyProtection="0"/>
    <xf numFmtId="179" fontId="191" fillId="0" borderId="3" applyNumberFormat="0" applyFill="0" applyAlignment="0" applyProtection="0"/>
    <xf numFmtId="179" fontId="192" fillId="0" borderId="0" applyNumberFormat="0" applyFill="0" applyBorder="0" applyAlignment="0" applyProtection="0"/>
    <xf numFmtId="43" fontId="161" fillId="0" borderId="0" applyFont="0" applyFill="0" applyBorder="0" applyAlignment="0" applyProtection="0"/>
    <xf numFmtId="43" fontId="167" fillId="0" borderId="0" applyFont="0" applyFill="0" applyBorder="0" applyAlignment="0" applyProtection="0"/>
    <xf numFmtId="177" fontId="161" fillId="0" borderId="0" applyFont="0" applyFill="0" applyBorder="0" applyAlignment="0" applyProtection="0"/>
    <xf numFmtId="168" fontId="161" fillId="0" borderId="0" applyFont="0" applyFill="0" applyBorder="0" applyAlignment="0" applyProtection="0"/>
    <xf numFmtId="175" fontId="160" fillId="0" borderId="0" applyFont="0" applyFill="0" applyBorder="0" applyAlignment="0" applyProtection="0"/>
    <xf numFmtId="175" fontId="161" fillId="0" borderId="0" applyFont="0" applyFill="0" applyBorder="0" applyAlignment="0" applyProtection="0"/>
    <xf numFmtId="179" fontId="193" fillId="7" borderId="0" applyNumberFormat="0" applyBorder="0" applyAlignment="0" applyProtection="0"/>
    <xf numFmtId="181" fontId="193" fillId="7" borderId="0" applyNumberFormat="0" applyBorder="0" applyAlignment="0" applyProtection="0"/>
    <xf numFmtId="0" fontId="20" fillId="0" borderId="0"/>
    <xf numFmtId="0" fontId="194" fillId="0" borderId="0" applyFill="0" applyBorder="0" applyProtection="0">
      <alignment horizontal="left"/>
    </xf>
  </cellStyleXfs>
  <cellXfs count="1218">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7" fillId="0" borderId="0" xfId="48" applyProtection="1"/>
    <xf numFmtId="164" fontId="15" fillId="0" borderId="0" xfId="48" applyFont="1" applyProtection="1"/>
    <xf numFmtId="0" fontId="18" fillId="0" borderId="0" xfId="48" applyNumberFormat="1" applyFont="1" applyBorder="1" applyProtection="1"/>
    <xf numFmtId="164" fontId="137" fillId="0" borderId="0" xfId="50" applyProtection="1"/>
    <xf numFmtId="164" fontId="137" fillId="0" borderId="0" xfId="50" applyFill="1" applyBorder="1" applyAlignment="1" applyProtection="1">
      <alignment horizontal="left"/>
    </xf>
    <xf numFmtId="0" fontId="0" fillId="0" borderId="0" xfId="0" applyFill="1" applyBorder="1" applyProtection="1"/>
    <xf numFmtId="164" fontId="137"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7"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7"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0" borderId="10" xfId="0" applyFont="1" applyBorder="1"/>
    <xf numFmtId="0" fontId="71" fillId="19" borderId="10" xfId="0" applyFont="1" applyFill="1" applyBorder="1" applyAlignment="1" applyProtection="1">
      <alignment horizontal="center"/>
    </xf>
    <xf numFmtId="0" fontId="71"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0" fontId="14" fillId="0" borderId="0" xfId="0" applyFont="1"/>
    <xf numFmtId="0" fontId="45" fillId="0" borderId="0" xfId="0" applyFont="1" applyFill="1"/>
    <xf numFmtId="0" fontId="78" fillId="19" borderId="12" xfId="0" applyFont="1" applyFill="1" applyBorder="1" applyAlignment="1">
      <alignment vertical="center"/>
    </xf>
    <xf numFmtId="0" fontId="76" fillId="0" borderId="0" xfId="52" applyNumberFormat="1" applyFont="1" applyFill="1" applyBorder="1" applyAlignment="1">
      <alignment horizontal="center" vertical="center" wrapText="1"/>
    </xf>
    <xf numFmtId="0" fontId="76"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1" fillId="20" borderId="0" xfId="0" applyNumberFormat="1" applyFont="1" applyFill="1" applyBorder="1" applyAlignment="1">
      <alignment horizontal="center"/>
    </xf>
    <xf numFmtId="0" fontId="81" fillId="0" borderId="0" xfId="0" applyFont="1" applyFill="1" applyBorder="1" applyAlignment="1" applyProtection="1">
      <alignment horizontal="left"/>
    </xf>
    <xf numFmtId="0" fontId="82"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37" fillId="0" borderId="14" xfId="59" applyFill="1" applyBorder="1" applyAlignment="1" applyProtection="1">
      <alignment vertical="center"/>
    </xf>
    <xf numFmtId="164" fontId="3" fillId="0" borderId="14" xfId="59" applyFont="1" applyFill="1" applyBorder="1" applyAlignment="1" applyProtection="1">
      <alignment vertical="center"/>
    </xf>
    <xf numFmtId="164" fontId="31" fillId="0" borderId="0" xfId="59" applyFont="1" applyBorder="1" applyAlignment="1" applyProtection="1"/>
    <xf numFmtId="164" fontId="137" fillId="0" borderId="0" xfId="59" applyFill="1" applyBorder="1" applyAlignment="1" applyProtection="1">
      <alignment vertical="center"/>
    </xf>
    <xf numFmtId="164" fontId="3" fillId="0" borderId="0" xfId="59"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100" fillId="0" borderId="0" xfId="62" applyFont="1" applyFill="1" applyBorder="1" applyProtection="1"/>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3" fontId="66" fillId="22" borderId="10"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2"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6" fontId="6" fillId="0" borderId="0" xfId="62" applyNumberFormat="1" applyFont="1" applyFill="1" applyBorder="1" applyAlignment="1" applyProtection="1">
      <protection locked="0"/>
    </xf>
    <xf numFmtId="166" fontId="6" fillId="0" borderId="0" xfId="62" applyNumberFormat="1" applyFont="1" applyFill="1" applyBorder="1" applyProtection="1">
      <protection locked="0"/>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3" fillId="0" borderId="0" xfId="0" applyFont="1"/>
    <xf numFmtId="164" fontId="14" fillId="0" borderId="0" xfId="0" applyNumberFormat="1" applyFont="1" applyAlignment="1" applyProtection="1">
      <alignment horizontal="center"/>
    </xf>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9" fillId="0" borderId="0" xfId="0" applyNumberFormat="1" applyFont="1"/>
    <xf numFmtId="0" fontId="89"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37"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8" fillId="0" borderId="42" xfId="0" applyFont="1" applyBorder="1" applyAlignment="1">
      <alignment horizontal="justify" vertical="center" wrapText="1"/>
    </xf>
    <xf numFmtId="164" fontId="91" fillId="0" borderId="25" xfId="59" applyFont="1" applyFill="1" applyBorder="1" applyAlignment="1" applyProtection="1"/>
    <xf numFmtId="164" fontId="9" fillId="0" borderId="25" xfId="59" applyFont="1" applyFill="1" applyBorder="1" applyAlignment="1" applyProtection="1">
      <alignment vertical="center"/>
    </xf>
    <xf numFmtId="3" fontId="66" fillId="23" borderId="10" xfId="0" applyNumberFormat="1" applyFont="1" applyFill="1" applyBorder="1" applyAlignment="1" applyProtection="1">
      <alignment vertical="center"/>
      <protection locked="0"/>
    </xf>
    <xf numFmtId="0" fontId="87" fillId="0" borderId="41" xfId="0" applyFont="1" applyBorder="1" applyAlignment="1">
      <alignment vertical="center" wrapText="1"/>
    </xf>
    <xf numFmtId="0" fontId="87" fillId="0" borderId="42" xfId="0" applyFont="1" applyBorder="1" applyAlignment="1">
      <alignment vertical="center" wrapText="1"/>
    </xf>
    <xf numFmtId="0" fontId="2" fillId="0" borderId="44" xfId="0" applyFont="1" applyFill="1" applyBorder="1" applyAlignment="1" applyProtection="1">
      <alignment horizontal="center"/>
    </xf>
    <xf numFmtId="0" fontId="66" fillId="0" borderId="10" xfId="0" applyFont="1" applyFill="1" applyBorder="1" applyAlignment="1" applyProtection="1">
      <alignment horizontal="center"/>
    </xf>
    <xf numFmtId="0" fontId="66" fillId="24" borderId="10" xfId="0" applyFont="1" applyFill="1" applyBorder="1" applyAlignment="1" applyProtection="1">
      <alignment horizontal="center"/>
    </xf>
    <xf numFmtId="0" fontId="1" fillId="0" borderId="0" xfId="0" applyFont="1"/>
    <xf numFmtId="0" fontId="94" fillId="0" borderId="0" xfId="0" applyFont="1"/>
    <xf numFmtId="164" fontId="96" fillId="0" borderId="25" xfId="59"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6" fontId="0" fillId="0" borderId="0" xfId="0" applyNumberFormat="1" applyProtection="1"/>
    <xf numFmtId="164" fontId="20" fillId="0" borderId="0" xfId="49" applyFont="1" applyFill="1" applyAlignment="1" applyProtection="1">
      <alignment horizontal="right" vertical="center"/>
    </xf>
    <xf numFmtId="0" fontId="102" fillId="0" borderId="0" xfId="0" applyFont="1" applyFill="1" applyBorder="1" applyAlignment="1" applyProtection="1">
      <alignment horizontal="right"/>
    </xf>
    <xf numFmtId="164" fontId="103" fillId="0" borderId="14" xfId="59"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47" xfId="0" applyFont="1" applyBorder="1" applyAlignment="1" applyProtection="1">
      <alignment horizontal="right"/>
    </xf>
    <xf numFmtId="164" fontId="112" fillId="0" borderId="0" xfId="38" applyFont="1" applyFill="1" applyAlignment="1" applyProtection="1">
      <alignment vertical="center"/>
    </xf>
    <xf numFmtId="0" fontId="113" fillId="0" borderId="0" xfId="0" applyFont="1" applyProtection="1"/>
    <xf numFmtId="0" fontId="113"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110" fillId="0" borderId="37" xfId="0" applyNumberFormat="1" applyFont="1" applyFill="1" applyBorder="1" applyAlignment="1" applyProtection="1">
      <alignment horizontal="center" wrapText="1"/>
    </xf>
    <xf numFmtId="15" fontId="110"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66" fillId="0" borderId="54" xfId="0" applyFont="1" applyFill="1" applyBorder="1" applyAlignment="1" applyProtection="1">
      <alignment horizontal="center"/>
    </xf>
    <xf numFmtId="3" fontId="66"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6" fillId="0" borderId="55" xfId="0" applyFont="1" applyFill="1" applyBorder="1" applyAlignment="1" applyProtection="1">
      <alignment horizontal="center"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24" fillId="25" borderId="38" xfId="56" applyFont="1" applyFill="1" applyBorder="1" applyAlignment="1" applyProtection="1">
      <alignment horizontal="center"/>
    </xf>
    <xf numFmtId="15" fontId="24" fillId="25" borderId="38" xfId="56" applyNumberFormat="1" applyFont="1" applyFill="1" applyBorder="1" applyAlignment="1" applyProtection="1">
      <alignment horizontal="center"/>
    </xf>
    <xf numFmtId="164" fontId="89"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0" fontId="0" fillId="25" borderId="45" xfId="0" applyNumberFormat="1" applyFill="1" applyBorder="1" applyAlignment="1" applyProtection="1">
      <alignment horizontal="center"/>
      <protection locked="0"/>
    </xf>
    <xf numFmtId="0" fontId="0" fillId="0" borderId="22" xfId="0" applyNumberFormat="1" applyFill="1" applyBorder="1" applyAlignment="1" applyProtection="1">
      <alignment horizontal="center"/>
    </xf>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5" fontId="32" fillId="19" borderId="59" xfId="0" applyNumberFormat="1" applyFont="1" applyFill="1" applyBorder="1" applyAlignment="1" applyProtection="1">
      <alignment horizontal="center"/>
      <protection locked="0"/>
    </xf>
    <xf numFmtId="165" fontId="32" fillId="19" borderId="60" xfId="0" applyNumberFormat="1" applyFon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38" xfId="56" applyFont="1" applyBorder="1" applyAlignment="1" applyProtection="1">
      <alignment horizontal="right"/>
    </xf>
    <xf numFmtId="164" fontId="120" fillId="0" borderId="0" xfId="50" applyFont="1" applyFill="1" applyBorder="1" applyProtection="1"/>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5"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49" fontId="0" fillId="0" borderId="10" xfId="0" applyNumberFormat="1" applyBorder="1" applyAlignment="1" applyProtection="1">
      <alignment horizontal="center"/>
      <protection locked="0"/>
    </xf>
    <xf numFmtId="0" fontId="0" fillId="0" borderId="72" xfId="0" applyNumberFormat="1" applyFill="1" applyBorder="1"/>
    <xf numFmtId="3" fontId="66" fillId="0" borderId="10" xfId="0" applyNumberFormat="1" applyFont="1" applyFill="1" applyBorder="1" applyAlignment="1" applyProtection="1">
      <alignment vertical="center"/>
    </xf>
    <xf numFmtId="3" fontId="66" fillId="0" borderId="54" xfId="0" applyNumberFormat="1" applyFont="1" applyFill="1" applyBorder="1" applyAlignment="1" applyProtection="1">
      <alignment vertical="center"/>
    </xf>
    <xf numFmtId="49" fontId="83"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6" fillId="0" borderId="74" xfId="0" applyFont="1" applyFill="1" applyBorder="1" applyAlignment="1" applyProtection="1">
      <alignment horizontal="center" vertical="center" wrapText="1"/>
    </xf>
    <xf numFmtId="0" fontId="76" fillId="0" borderId="75" xfId="0" applyFont="1" applyFill="1" applyBorder="1" applyAlignment="1" applyProtection="1">
      <alignment horizontal="center"/>
    </xf>
    <xf numFmtId="0" fontId="76" fillId="0" borderId="76" xfId="0" applyFont="1" applyFill="1" applyBorder="1" applyAlignment="1" applyProtection="1">
      <alignment horizontal="center"/>
    </xf>
    <xf numFmtId="0" fontId="76" fillId="0" borderId="77"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vertical="center"/>
    </xf>
    <xf numFmtId="0" fontId="76" fillId="0" borderId="79" xfId="0" applyNumberFormat="1" applyFont="1" applyFill="1" applyBorder="1" applyAlignment="1" applyProtection="1">
      <alignment horizontal="center" vertical="center"/>
    </xf>
    <xf numFmtId="0" fontId="80" fillId="0" borderId="80" xfId="0" applyNumberFormat="1" applyFont="1" applyFill="1" applyBorder="1" applyAlignment="1" applyProtection="1">
      <alignment horizontal="center" vertical="center"/>
    </xf>
    <xf numFmtId="0" fontId="80" fillId="0" borderId="81" xfId="0" applyNumberFormat="1" applyFont="1" applyFill="1" applyBorder="1" applyAlignment="1" applyProtection="1">
      <alignment horizontal="center" vertical="center"/>
    </xf>
    <xf numFmtId="0" fontId="80"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0" fillId="0" borderId="0" xfId="0"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6"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2"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90" fillId="0" borderId="85" xfId="0" applyNumberFormat="1" applyFont="1" applyFill="1" applyBorder="1" applyAlignment="1" applyProtection="1">
      <alignment horizontal="center" vertical="center" wrapText="1"/>
    </xf>
    <xf numFmtId="0" fontId="90" fillId="0" borderId="86" xfId="0" applyNumberFormat="1" applyFont="1" applyFill="1" applyBorder="1" applyAlignment="1" applyProtection="1">
      <alignment horizontal="center" vertical="center" wrapText="1"/>
    </xf>
    <xf numFmtId="0" fontId="0" fillId="0" borderId="0" xfId="0" applyAlignment="1"/>
    <xf numFmtId="0" fontId="0" fillId="0" borderId="0" xfId="0" applyAlignment="1">
      <alignment vertical="center" wrapText="1"/>
    </xf>
    <xf numFmtId="164" fontId="28" fillId="0" borderId="0" xfId="0" applyNumberFormat="1" applyFont="1" applyAlignment="1">
      <alignment horizontal="right" vertical="center" wrapText="1"/>
    </xf>
    <xf numFmtId="9" fontId="128" fillId="0" borderId="0" xfId="61" applyFont="1" applyBorder="1" applyProtection="1"/>
    <xf numFmtId="164" fontId="35" fillId="0" borderId="0" xfId="0" applyNumberFormat="1" applyFont="1" applyAlignment="1">
      <alignment horizontal="left" vertical="center" wrapText="1"/>
    </xf>
    <xf numFmtId="0" fontId="127" fillId="0" borderId="0" xfId="0" applyFont="1" applyAlignment="1"/>
    <xf numFmtId="0" fontId="33" fillId="0" borderId="0" xfId="0" applyFont="1" applyAlignment="1"/>
    <xf numFmtId="0" fontId="30" fillId="0" borderId="0" xfId="0" applyFont="1" applyFill="1" applyBorder="1" applyAlignment="1" applyProtection="1">
      <alignment horizontal="left" wrapText="1"/>
      <protection locked="0"/>
    </xf>
    <xf numFmtId="0" fontId="129" fillId="0" borderId="0" xfId="0" applyFont="1"/>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30" fillId="0" borderId="0" xfId="0" applyNumberFormat="1" applyFont="1" applyAlignment="1" applyProtection="1">
      <alignment horizontal="right"/>
    </xf>
    <xf numFmtId="164" fontId="130" fillId="0" borderId="0" xfId="0" applyNumberFormat="1" applyFont="1" applyAlignment="1">
      <alignment horizontal="right"/>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164" fontId="133" fillId="0" borderId="18" xfId="59" applyFont="1" applyFill="1" applyBorder="1" applyAlignment="1" applyProtection="1">
      <alignment vertical="center"/>
    </xf>
    <xf numFmtId="164" fontId="133" fillId="0" borderId="18" xfId="59" applyFont="1" applyFill="1" applyBorder="1" applyAlignment="1" applyProtection="1">
      <alignment horizontal="center" vertical="center"/>
    </xf>
    <xf numFmtId="164" fontId="133" fillId="0" borderId="25" xfId="59" applyFont="1" applyFill="1" applyBorder="1" applyAlignment="1" applyProtection="1">
      <alignment vertical="center"/>
    </xf>
    <xf numFmtId="0" fontId="133" fillId="0" borderId="25" xfId="0" applyFont="1" applyBorder="1" applyProtection="1"/>
    <xf numFmtId="0" fontId="133" fillId="0" borderId="25" xfId="0" applyFont="1" applyBorder="1"/>
    <xf numFmtId="164" fontId="134" fillId="0" borderId="14" xfId="59" applyFont="1" applyFill="1" applyBorder="1" applyAlignment="1" applyProtection="1">
      <alignment horizontal="left" vertical="center"/>
    </xf>
    <xf numFmtId="164" fontId="133" fillId="0" borderId="14" xfId="59" applyFont="1" applyFill="1" applyBorder="1" applyAlignment="1" applyProtection="1">
      <alignment vertical="center"/>
    </xf>
    <xf numFmtId="164" fontId="133" fillId="26" borderId="89" xfId="59" applyFont="1" applyFill="1" applyBorder="1" applyAlignment="1" applyProtection="1">
      <alignment vertical="center"/>
    </xf>
    <xf numFmtId="164" fontId="134" fillId="0" borderId="18" xfId="59" applyFont="1" applyFill="1" applyBorder="1" applyAlignment="1" applyProtection="1">
      <alignment vertical="center"/>
    </xf>
    <xf numFmtId="164" fontId="134" fillId="0" borderId="25" xfId="59" applyFont="1" applyFill="1" applyBorder="1" applyAlignment="1" applyProtection="1">
      <alignment vertical="center"/>
    </xf>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0" fontId="136" fillId="20" borderId="0" xfId="0" applyFont="1" applyFill="1"/>
    <xf numFmtId="3" fontId="66" fillId="28" borderId="10" xfId="0" applyNumberFormat="1" applyFont="1" applyFill="1" applyBorder="1" applyAlignment="1" applyProtection="1">
      <alignment vertical="center"/>
      <protection locked="0"/>
    </xf>
    <xf numFmtId="3" fontId="66"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vertical="center"/>
      <protection locked="0"/>
    </xf>
    <xf numFmtId="3" fontId="66"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3" fontId="66" fillId="24" borderId="10" xfId="0" applyNumberFormat="1" applyFont="1" applyFill="1" applyBorder="1" applyAlignment="1" applyProtection="1">
      <alignment vertical="center"/>
    </xf>
    <xf numFmtId="0" fontId="66" fillId="0" borderId="90" xfId="0" applyFont="1" applyFill="1" applyBorder="1" applyAlignment="1" applyProtection="1">
      <alignment horizontal="center"/>
    </xf>
    <xf numFmtId="0" fontId="66" fillId="0" borderId="87" xfId="0" applyFont="1" applyFill="1" applyBorder="1" applyAlignment="1" applyProtection="1">
      <alignment horizontal="center"/>
    </xf>
    <xf numFmtId="164" fontId="133" fillId="25" borderId="91" xfId="59" applyFont="1" applyFill="1" applyBorder="1" applyAlignment="1" applyProtection="1">
      <alignment horizontal="center" vertical="center"/>
    </xf>
    <xf numFmtId="0" fontId="133" fillId="22" borderId="92" xfId="0" applyFont="1" applyFill="1" applyBorder="1"/>
    <xf numFmtId="0" fontId="80" fillId="0" borderId="93" xfId="0" applyNumberFormat="1" applyFont="1" applyFill="1" applyBorder="1" applyAlignment="1" applyProtection="1">
      <alignment horizontal="center" vertical="center"/>
    </xf>
    <xf numFmtId="15" fontId="0" fillId="0" borderId="10" xfId="56" applyNumberFormat="1" applyFont="1" applyFill="1" applyBorder="1" applyAlignment="1" applyProtection="1">
      <alignment horizontal="center"/>
      <protection locked="0"/>
    </xf>
    <xf numFmtId="0" fontId="35" fillId="0" borderId="10" xfId="0" applyFont="1" applyBorder="1" applyAlignment="1" applyProtection="1">
      <alignment horizontal="center" vertical="center" wrapText="1"/>
    </xf>
    <xf numFmtId="3" fontId="138" fillId="0" borderId="41" xfId="0" applyNumberFormat="1" applyFont="1" applyFill="1" applyBorder="1" applyAlignment="1" applyProtection="1">
      <alignment horizontal="center" vertical="center" wrapText="1"/>
      <protection locked="0"/>
    </xf>
    <xf numFmtId="49" fontId="138" fillId="0" borderId="10" xfId="0" applyNumberFormat="1" applyFont="1" applyFill="1" applyBorder="1" applyAlignment="1" applyProtection="1">
      <alignment horizontal="center" vertical="center"/>
      <protection locked="0"/>
    </xf>
    <xf numFmtId="3" fontId="138" fillId="35" borderId="41" xfId="0" applyNumberFormat="1" applyFont="1" applyFill="1" applyBorder="1" applyAlignment="1" applyProtection="1">
      <alignment horizontal="center" vertical="center" wrapText="1"/>
      <protection locked="0"/>
    </xf>
    <xf numFmtId="49" fontId="138" fillId="35" borderId="41" xfId="0" applyNumberFormat="1" applyFont="1" applyFill="1" applyBorder="1" applyAlignment="1" applyProtection="1">
      <alignment horizontal="center" vertical="center" wrapText="1"/>
      <protection locked="0"/>
    </xf>
    <xf numFmtId="49" fontId="138" fillId="35" borderId="10" xfId="0" applyNumberFormat="1" applyFont="1" applyFill="1" applyBorder="1" applyAlignment="1" applyProtection="1">
      <alignment horizontal="center" vertical="center" wrapText="1"/>
      <protection locked="0"/>
    </xf>
    <xf numFmtId="49" fontId="138" fillId="35" borderId="10" xfId="0" applyNumberFormat="1" applyFont="1" applyFill="1" applyBorder="1" applyAlignment="1" applyProtection="1">
      <alignment horizontal="center" vertical="center"/>
      <protection locked="0"/>
    </xf>
    <xf numFmtId="9" fontId="141"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15" fillId="0" borderId="67" xfId="0" applyNumberFormat="1" applyFont="1" applyFill="1" applyBorder="1" applyAlignment="1" applyProtection="1">
      <alignment wrapText="1"/>
      <protection locked="0"/>
    </xf>
    <xf numFmtId="49" fontId="115"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48" fillId="0" borderId="51" xfId="0" applyFont="1" applyBorder="1"/>
    <xf numFmtId="0" fontId="148" fillId="0" borderId="57" xfId="0" applyFont="1" applyBorder="1"/>
    <xf numFmtId="0" fontId="148"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47" fillId="0" borderId="10" xfId="0" applyNumberFormat="1" applyFont="1" applyFill="1" applyBorder="1" applyAlignment="1" applyProtection="1">
      <alignment wrapText="1"/>
      <protection locked="0"/>
    </xf>
    <xf numFmtId="49" fontId="147" fillId="0" borderId="10" xfId="0" applyNumberFormat="1" applyFont="1" applyFill="1" applyBorder="1" applyAlignment="1" applyProtection="1">
      <protection locked="0"/>
    </xf>
    <xf numFmtId="0" fontId="142" fillId="0" borderId="10" xfId="0" applyFont="1" applyBorder="1" applyAlignment="1" applyProtection="1"/>
    <xf numFmtId="3" fontId="142" fillId="0" borderId="10" xfId="0" applyNumberFormat="1" applyFont="1" applyBorder="1" applyProtection="1"/>
    <xf numFmtId="0" fontId="142"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3" fontId="2" fillId="28" borderId="10" xfId="0" applyNumberFormat="1" applyFont="1" applyFill="1" applyBorder="1" applyAlignment="1" applyProtection="1">
      <alignment horizontal="right" vertical="center" wrapText="1"/>
      <protection locked="0"/>
    </xf>
    <xf numFmtId="3" fontId="2" fillId="23" borderId="10" xfId="0" applyNumberFormat="1" applyFont="1" applyFill="1" applyBorder="1" applyAlignment="1" applyProtection="1">
      <alignment vertical="center" wrapText="1"/>
      <protection locked="0"/>
    </xf>
    <xf numFmtId="3" fontId="2" fillId="22" borderId="10" xfId="0" applyNumberFormat="1" applyFont="1" applyFill="1" applyBorder="1" applyAlignment="1" applyProtection="1">
      <alignment vertical="center" wrapText="1"/>
      <protection locked="0"/>
    </xf>
    <xf numFmtId="49" fontId="0" fillId="35" borderId="10" xfId="0" applyNumberFormat="1" applyFill="1" applyBorder="1" applyAlignment="1" applyProtection="1">
      <alignment horizontal="left"/>
      <protection locked="0"/>
    </xf>
    <xf numFmtId="49" fontId="0" fillId="0" borderId="10" xfId="0" applyNumberFormat="1" applyFill="1" applyBorder="1" applyProtection="1">
      <protection locked="0"/>
    </xf>
    <xf numFmtId="49" fontId="146"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51" fillId="38" borderId="41" xfId="0" applyNumberFormat="1" applyFont="1" applyFill="1" applyBorder="1" applyAlignment="1" applyProtection="1">
      <alignment horizontal="center" vertical="center" wrapText="1"/>
    </xf>
    <xf numFmtId="3" fontId="152" fillId="0" borderId="10" xfId="0" applyNumberFormat="1" applyFont="1" applyFill="1" applyBorder="1" applyAlignment="1" applyProtection="1"/>
    <xf numFmtId="3" fontId="152" fillId="0" borderId="58" xfId="0" applyNumberFormat="1" applyFont="1" applyFill="1" applyBorder="1" applyAlignment="1" applyProtection="1"/>
    <xf numFmtId="3" fontId="152" fillId="26" borderId="59" xfId="0" applyNumberFormat="1" applyFont="1" applyFill="1" applyBorder="1" applyAlignment="1" applyProtection="1">
      <protection locked="0"/>
    </xf>
    <xf numFmtId="4" fontId="152"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9" fontId="138" fillId="0" borderId="41" xfId="0" applyNumberFormat="1" applyFont="1" applyFill="1" applyBorder="1" applyAlignment="1" applyProtection="1">
      <alignment horizontal="center" vertical="center" wrapText="1"/>
      <protection locked="0"/>
    </xf>
    <xf numFmtId="9" fontId="2" fillId="22" borderId="10" xfId="0" applyNumberFormat="1" applyFont="1" applyFill="1" applyBorder="1" applyAlignment="1" applyProtection="1">
      <alignment vertical="center"/>
      <protection locked="0"/>
    </xf>
    <xf numFmtId="0" fontId="138" fillId="0" borderId="41" xfId="0" applyNumberFormat="1" applyFont="1" applyFill="1" applyBorder="1" applyAlignment="1" applyProtection="1">
      <alignment horizontal="center" vertical="center" wrapText="1"/>
      <protection locked="0"/>
    </xf>
    <xf numFmtId="9" fontId="66" fillId="22" borderId="10" xfId="0" applyNumberFormat="1" applyFont="1" applyFill="1" applyBorder="1" applyAlignment="1" applyProtection="1">
      <alignment vertical="center"/>
      <protection locked="0"/>
    </xf>
    <xf numFmtId="9" fontId="66" fillId="29" borderId="10" xfId="0" applyNumberFormat="1" applyFont="1" applyFill="1" applyBorder="1" applyAlignment="1" applyProtection="1">
      <alignment vertical="center"/>
      <protection locked="0"/>
    </xf>
    <xf numFmtId="9" fontId="66" fillId="28" borderId="10" xfId="0" applyNumberFormat="1" applyFont="1" applyFill="1" applyBorder="1" applyAlignment="1" applyProtection="1">
      <alignment horizontal="right" vertical="center"/>
      <protection locked="0"/>
    </xf>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3" fontId="21" fillId="26" borderId="241"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66" fontId="1" fillId="26" borderId="242" xfId="62" applyNumberFormat="1" applyFon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0" fontId="0" fillId="42" borderId="45" xfId="0" applyNumberFormat="1" applyFill="1" applyBorder="1" applyAlignment="1" applyProtection="1">
      <alignment horizontal="center"/>
      <protection locked="0"/>
    </xf>
    <xf numFmtId="0" fontId="0" fillId="42" borderId="22" xfId="0" applyNumberFormat="1" applyFill="1" applyBorder="1" applyAlignment="1" applyProtection="1">
      <alignment horizontal="center"/>
    </xf>
    <xf numFmtId="164" fontId="153" fillId="0" borderId="25" xfId="59" applyFont="1" applyFill="1" applyBorder="1" applyAlignment="1" applyProtection="1">
      <alignment vertical="center"/>
    </xf>
    <xf numFmtId="164" fontId="154" fillId="0" borderId="25" xfId="59" applyFont="1" applyFill="1" applyBorder="1" applyAlignment="1" applyProtection="1">
      <alignment vertical="center"/>
    </xf>
    <xf numFmtId="0" fontId="154" fillId="0" borderId="25" xfId="0" applyFont="1" applyBorder="1" applyProtection="1"/>
    <xf numFmtId="0" fontId="154" fillId="0" borderId="25" xfId="0" applyFont="1" applyBorder="1"/>
    <xf numFmtId="0" fontId="154" fillId="22" borderId="92" xfId="0" applyFont="1" applyFill="1" applyBorder="1"/>
    <xf numFmtId="0" fontId="155" fillId="0" borderId="10" xfId="0" applyFont="1" applyFill="1" applyBorder="1" applyAlignment="1" applyProtection="1">
      <alignment horizontal="center"/>
    </xf>
    <xf numFmtId="3" fontId="155" fillId="22" borderId="10" xfId="0" applyNumberFormat="1" applyFont="1" applyFill="1" applyBorder="1" applyAlignment="1" applyProtection="1">
      <alignment vertical="center"/>
      <protection locked="0"/>
    </xf>
    <xf numFmtId="3" fontId="155" fillId="22" borderId="10" xfId="0" applyNumberFormat="1" applyFont="1" applyFill="1" applyBorder="1" applyAlignment="1" applyProtection="1">
      <alignment horizontal="right" vertical="center"/>
      <protection locked="0"/>
    </xf>
    <xf numFmtId="3" fontId="155" fillId="22" borderId="10" xfId="0" applyNumberFormat="1" applyFont="1" applyFill="1" applyBorder="1" applyAlignment="1" applyProtection="1">
      <alignment horizontal="right" vertical="center" wrapText="1"/>
      <protection locked="0"/>
    </xf>
    <xf numFmtId="3" fontId="155" fillId="22" borderId="26" xfId="0" applyNumberFormat="1" applyFont="1" applyFill="1" applyBorder="1" applyAlignment="1" applyProtection="1">
      <alignment vertical="center"/>
      <protection locked="0"/>
    </xf>
    <xf numFmtId="0" fontId="155" fillId="24" borderId="10" xfId="0" applyFont="1" applyFill="1" applyBorder="1" applyAlignment="1" applyProtection="1">
      <alignment horizontal="center"/>
    </xf>
    <xf numFmtId="3" fontId="155" fillId="28" borderId="10" xfId="0" applyNumberFormat="1" applyFont="1" applyFill="1" applyBorder="1" applyAlignment="1" applyProtection="1">
      <alignment vertical="center"/>
      <protection locked="0"/>
    </xf>
    <xf numFmtId="3" fontId="155" fillId="23" borderId="10" xfId="0" applyNumberFormat="1" applyFont="1" applyFill="1" applyBorder="1" applyAlignment="1" applyProtection="1">
      <alignment vertical="center"/>
      <protection locked="0"/>
    </xf>
    <xf numFmtId="3" fontId="155" fillId="23" borderId="10" xfId="0" applyNumberFormat="1" applyFont="1" applyFill="1" applyBorder="1" applyAlignment="1" applyProtection="1">
      <alignment horizontal="right" vertical="center"/>
      <protection locked="0"/>
    </xf>
    <xf numFmtId="3" fontId="155" fillId="23" borderId="10" xfId="0" applyNumberFormat="1" applyFont="1" applyFill="1" applyBorder="1" applyAlignment="1" applyProtection="1">
      <alignment horizontal="right" vertical="center" wrapText="1"/>
      <protection locked="0"/>
    </xf>
    <xf numFmtId="3" fontId="155" fillId="23" borderId="26" xfId="0" applyNumberFormat="1" applyFont="1" applyFill="1" applyBorder="1" applyAlignment="1" applyProtection="1">
      <alignment vertical="center"/>
      <protection locked="0"/>
    </xf>
    <xf numFmtId="1" fontId="155" fillId="22" borderId="10" xfId="0" applyNumberFormat="1" applyFont="1" applyFill="1" applyBorder="1" applyAlignment="1" applyProtection="1">
      <alignment vertical="center"/>
      <protection locked="0"/>
    </xf>
    <xf numFmtId="3" fontId="155" fillId="28" borderId="10" xfId="0" applyNumberFormat="1" applyFont="1" applyFill="1" applyBorder="1" applyAlignment="1" applyProtection="1">
      <alignment horizontal="right" vertical="center"/>
      <protection locked="0"/>
    </xf>
    <xf numFmtId="9" fontId="155" fillId="28" borderId="10" xfId="0" applyNumberFormat="1" applyFont="1" applyFill="1" applyBorder="1" applyAlignment="1" applyProtection="1">
      <alignment horizontal="right" vertical="center"/>
      <protection locked="0"/>
    </xf>
    <xf numFmtId="3" fontId="155" fillId="28" borderId="10" xfId="0" applyNumberFormat="1" applyFont="1" applyFill="1" applyBorder="1" applyAlignment="1" applyProtection="1">
      <alignment horizontal="right" vertical="center" wrapText="1"/>
      <protection locked="0"/>
    </xf>
    <xf numFmtId="3" fontId="155" fillId="28" borderId="26" xfId="0" applyNumberFormat="1" applyFont="1" applyFill="1" applyBorder="1" applyAlignment="1" applyProtection="1">
      <alignment vertical="center"/>
      <protection locked="0"/>
    </xf>
    <xf numFmtId="3" fontId="155" fillId="29" borderId="10" xfId="0" applyNumberFormat="1" applyFont="1" applyFill="1" applyBorder="1" applyAlignment="1" applyProtection="1">
      <alignment vertical="center"/>
      <protection locked="0"/>
    </xf>
    <xf numFmtId="3" fontId="155" fillId="29" borderId="10" xfId="0" applyNumberFormat="1" applyFont="1" applyFill="1" applyBorder="1" applyAlignment="1" applyProtection="1">
      <alignment horizontal="right" vertical="center"/>
      <protection locked="0"/>
    </xf>
    <xf numFmtId="3" fontId="155" fillId="29" borderId="10" xfId="0" applyNumberFormat="1" applyFont="1" applyFill="1" applyBorder="1" applyAlignment="1" applyProtection="1">
      <alignment horizontal="right" vertical="center" wrapText="1"/>
      <protection locked="0"/>
    </xf>
    <xf numFmtId="3" fontId="155" fillId="29" borderId="26" xfId="0" applyNumberFormat="1" applyFont="1" applyFill="1" applyBorder="1" applyAlignment="1" applyProtection="1">
      <alignment vertical="center"/>
      <protection locked="0"/>
    </xf>
    <xf numFmtId="3" fontId="155" fillId="28" borderId="26" xfId="0" applyNumberFormat="1" applyFont="1" applyFill="1" applyBorder="1" applyAlignment="1" applyProtection="1">
      <alignment horizontal="right" vertical="center"/>
      <protection locked="0"/>
    </xf>
    <xf numFmtId="9" fontId="155" fillId="29" borderId="10" xfId="0" applyNumberFormat="1" applyFont="1" applyFill="1" applyBorder="1" applyAlignment="1" applyProtection="1">
      <alignment horizontal="right" vertical="center"/>
      <protection locked="0"/>
    </xf>
    <xf numFmtId="3" fontId="155" fillId="0" borderId="10" xfId="0" applyNumberFormat="1" applyFont="1" applyFill="1" applyBorder="1" applyAlignment="1" applyProtection="1">
      <alignment vertical="center"/>
    </xf>
    <xf numFmtId="3" fontId="155" fillId="0" borderId="10" xfId="0" applyNumberFormat="1" applyFont="1" applyFill="1" applyBorder="1" applyAlignment="1" applyProtection="1">
      <alignment horizontal="right" vertical="center"/>
    </xf>
    <xf numFmtId="3" fontId="155" fillId="24" borderId="10" xfId="0" applyNumberFormat="1" applyFont="1" applyFill="1" applyBorder="1" applyAlignment="1" applyProtection="1">
      <alignment vertical="center"/>
    </xf>
    <xf numFmtId="3" fontId="155" fillId="24" borderId="10" xfId="0" applyNumberFormat="1" applyFont="1" applyFill="1" applyBorder="1" applyAlignment="1" applyProtection="1">
      <alignment horizontal="right" vertical="center"/>
    </xf>
    <xf numFmtId="0" fontId="155"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42" fillId="0" borderId="0" xfId="0" applyNumberFormat="1" applyFont="1" applyAlignment="1" applyProtection="1">
      <alignment horizontal="center"/>
    </xf>
    <xf numFmtId="0" fontId="34" fillId="0" borderId="10" xfId="0" applyFont="1" applyBorder="1" applyAlignment="1" applyProtection="1">
      <alignment horizontal="center" vertical="center" wrapText="1"/>
    </xf>
    <xf numFmtId="9" fontId="157" fillId="27" borderId="10" xfId="61" applyFont="1" applyFill="1" applyBorder="1" applyAlignment="1" applyProtection="1">
      <alignment horizontal="center" vertical="center" wrapText="1"/>
    </xf>
    <xf numFmtId="3" fontId="1" fillId="0" borderId="10" xfId="0" applyNumberFormat="1" applyFont="1" applyBorder="1" applyAlignment="1" applyProtection="1">
      <alignment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0" fontId="15" fillId="20" borderId="0" xfId="0" applyFont="1" applyFill="1" applyBorder="1"/>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 fontId="0" fillId="0" borderId="70" xfId="0" applyNumberFormat="1" applyFill="1" applyBorder="1" applyProtection="1"/>
    <xf numFmtId="4" fontId="0" fillId="0" borderId="71" xfId="0" applyNumberFormat="1" applyBorder="1" applyProtection="1"/>
    <xf numFmtId="0" fontId="0" fillId="0" borderId="10" xfId="0" applyNumberFormat="1" applyFill="1" applyBorder="1" applyAlignment="1" applyProtection="1">
      <alignment horizontal="center" vertical="center"/>
      <protection locked="0"/>
    </xf>
    <xf numFmtId="3" fontId="0" fillId="0" borderId="10" xfId="0" applyNumberFormat="1" applyFill="1" applyBorder="1" applyAlignment="1" applyProtection="1">
      <alignment horizontal="center" vertical="center"/>
    </xf>
    <xf numFmtId="3" fontId="0" fillId="36" borderId="10" xfId="0" applyNumberFormat="1" applyFill="1" applyBorder="1" applyAlignment="1" applyProtection="1">
      <alignment horizontal="center" vertical="center"/>
      <protection locked="0"/>
    </xf>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9" fontId="2" fillId="28" borderId="10" xfId="0" applyNumberFormat="1" applyFont="1" applyFill="1" applyBorder="1" applyAlignment="1" applyProtection="1">
      <alignment vertical="center"/>
      <protection locked="0"/>
    </xf>
    <xf numFmtId="164" fontId="158"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1" fontId="0" fillId="42"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5" fontId="32" fillId="19" borderId="255"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42" borderId="10" xfId="0" applyNumberFormat="1" applyFill="1" applyBorder="1" applyAlignment="1" applyProtection="1">
      <alignment horizontal="center"/>
      <protection locked="0"/>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42" borderId="49" xfId="0" applyNumberFormat="1" applyFill="1" applyBorder="1" applyAlignment="1" applyProtection="1">
      <alignment horizontal="center"/>
      <protection locked="0"/>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168" fontId="0" fillId="0" borderId="49" xfId="0" applyNumberFormat="1" applyFill="1" applyBorder="1" applyAlignment="1" applyProtection="1">
      <alignment horizontal="center" vertical="center"/>
    </xf>
    <xf numFmtId="0" fontId="159" fillId="44" borderId="37" xfId="0" applyFont="1" applyFill="1" applyBorder="1" applyAlignment="1" applyProtection="1">
      <alignment horizontal="center"/>
    </xf>
    <xf numFmtId="0" fontId="159" fillId="0" borderId="36" xfId="0" applyFont="1" applyFill="1" applyBorder="1" applyAlignment="1" applyProtection="1">
      <alignment horizontal="center" wrapText="1"/>
    </xf>
    <xf numFmtId="0" fontId="142" fillId="0" borderId="36" xfId="0" applyFont="1" applyBorder="1" applyAlignment="1">
      <alignment horizontal="center" wrapText="1"/>
    </xf>
    <xf numFmtId="0" fontId="159" fillId="35" borderId="36" xfId="0" applyFont="1" applyFill="1" applyBorder="1" applyAlignment="1">
      <alignment horizontal="center" wrapText="1"/>
    </xf>
    <xf numFmtId="0" fontId="159" fillId="0" borderId="36" xfId="0" applyFont="1" applyBorder="1" applyAlignment="1">
      <alignment horizontal="center" wrapText="1"/>
    </xf>
    <xf numFmtId="0" fontId="142" fillId="0" borderId="36" xfId="0" applyFont="1" applyBorder="1" applyAlignment="1">
      <alignment horizontal="center" vertical="center" wrapText="1"/>
    </xf>
    <xf numFmtId="0" fontId="159" fillId="0" borderId="50" xfId="0" applyFont="1" applyFill="1" applyBorder="1" applyAlignment="1" applyProtection="1">
      <alignment horizontal="center" wrapText="1"/>
    </xf>
    <xf numFmtId="0" fontId="14" fillId="0" borderId="0" xfId="0" applyFont="1" applyBorder="1" applyAlignment="1">
      <alignment horizontal="center"/>
    </xf>
    <xf numFmtId="0" fontId="30" fillId="22" borderId="0" xfId="0" applyFont="1" applyFill="1" applyBorder="1" applyAlignment="1" applyProtection="1">
      <alignment horizontal="left" vertical="top" wrapText="1"/>
      <protection locked="0"/>
    </xf>
    <xf numFmtId="0" fontId="142" fillId="0" borderId="37" xfId="0" applyFont="1" applyFill="1" applyBorder="1" applyAlignment="1" applyProtection="1">
      <alignment horizontal="center" wrapText="1"/>
    </xf>
    <xf numFmtId="0" fontId="142" fillId="0" borderId="36" xfId="0" applyFont="1" applyFill="1" applyBorder="1" applyAlignment="1" applyProtection="1">
      <alignment wrapText="1"/>
    </xf>
    <xf numFmtId="0" fontId="142" fillId="0" borderId="36" xfId="0" applyFont="1" applyFill="1" applyBorder="1" applyAlignment="1" applyProtection="1">
      <alignment horizontal="center" wrapText="1"/>
    </xf>
    <xf numFmtId="0" fontId="142"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109" fillId="22" borderId="258" xfId="0" applyFont="1" applyFill="1" applyBorder="1" applyAlignment="1" applyProtection="1">
      <alignment horizontal="right" vertical="top"/>
      <protection locked="0"/>
    </xf>
    <xf numFmtId="0" fontId="109" fillId="22" borderId="259" xfId="0" applyFont="1" applyFill="1" applyBorder="1" applyAlignment="1" applyProtection="1">
      <alignment horizontal="right" vertical="top"/>
      <protection locked="0"/>
    </xf>
    <xf numFmtId="0" fontId="30" fillId="22" borderId="104" xfId="0" applyFont="1" applyFill="1" applyBorder="1" applyAlignment="1" applyProtection="1">
      <alignment horizontal="left" vertical="top"/>
      <protection locked="0"/>
    </xf>
    <xf numFmtId="49" fontId="21" fillId="25" borderId="10" xfId="0" applyNumberFormat="1" applyFont="1" applyFill="1" applyBorder="1" applyProtection="1">
      <protection locked="0"/>
    </xf>
    <xf numFmtId="0" fontId="21" fillId="25" borderId="10"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xf>
    <xf numFmtId="0" fontId="21" fillId="45" borderId="10" xfId="0" applyFont="1" applyFill="1" applyBorder="1" applyAlignment="1">
      <alignment horizontal="center" vertical="center"/>
    </xf>
    <xf numFmtId="3" fontId="21" fillId="0" borderId="10" xfId="0" applyNumberFormat="1" applyFont="1" applyFill="1" applyBorder="1" applyAlignment="1" applyProtection="1">
      <alignment horizontal="center" vertical="center"/>
    </xf>
    <xf numFmtId="3" fontId="21" fillId="45" borderId="10" xfId="0" applyNumberFormat="1" applyFont="1" applyFill="1" applyBorder="1" applyAlignment="1">
      <alignment horizontal="center" vertical="center"/>
    </xf>
    <xf numFmtId="168" fontId="21" fillId="0" borderId="10" xfId="0" applyNumberFormat="1" applyFont="1" applyFill="1" applyBorder="1" applyAlignment="1" applyProtection="1">
      <alignment horizontal="center" vertical="center"/>
    </xf>
    <xf numFmtId="168" fontId="21" fillId="0" borderId="49" xfId="0" applyNumberFormat="1" applyFont="1" applyFill="1" applyBorder="1" applyAlignment="1" applyProtection="1">
      <alignment horizontal="center" vertical="center"/>
    </xf>
    <xf numFmtId="49" fontId="21" fillId="25" borderId="10" xfId="0" applyNumberFormat="1" applyFont="1" applyFill="1" applyBorder="1" applyAlignment="1" applyProtection="1">
      <alignment horizontal="left"/>
      <protection locked="0"/>
    </xf>
    <xf numFmtId="49" fontId="0" fillId="0" borderId="87" xfId="0" applyNumberFormat="1" applyFill="1" applyBorder="1" applyProtection="1">
      <protection locked="0"/>
    </xf>
    <xf numFmtId="49" fontId="0" fillId="35" borderId="90" xfId="0" applyNumberFormat="1" applyFill="1" applyBorder="1" applyAlignment="1" applyProtection="1">
      <alignment horizontal="left"/>
      <protection locked="0"/>
    </xf>
    <xf numFmtId="49" fontId="0" fillId="35" borderId="57" xfId="0" applyNumberFormat="1" applyFill="1" applyBorder="1" applyAlignment="1" applyProtection="1">
      <alignment horizontal="left"/>
      <protection locked="0"/>
    </xf>
    <xf numFmtId="0" fontId="21" fillId="25" borderId="87" xfId="0" applyNumberFormat="1" applyFont="1" applyFill="1" applyBorder="1" applyAlignment="1" applyProtection="1">
      <alignment horizontal="center" vertical="center"/>
      <protection locked="0"/>
    </xf>
    <xf numFmtId="0" fontId="21" fillId="0" borderId="87" xfId="0" applyNumberFormat="1" applyFont="1" applyFill="1" applyBorder="1" applyAlignment="1" applyProtection="1">
      <alignment horizontal="center" vertical="center"/>
    </xf>
    <xf numFmtId="0" fontId="21" fillId="25" borderId="90" xfId="0" applyNumberFormat="1" applyFont="1" applyFill="1" applyBorder="1" applyAlignment="1" applyProtection="1">
      <alignment horizontal="center" vertical="center"/>
      <protection locked="0"/>
    </xf>
    <xf numFmtId="0" fontId="21" fillId="25" borderId="57" xfId="0" applyNumberFormat="1" applyFont="1" applyFill="1" applyBorder="1" applyAlignment="1" applyProtection="1">
      <alignment horizontal="center" vertical="center"/>
      <protection locked="0"/>
    </xf>
    <xf numFmtId="0" fontId="21" fillId="0" borderId="57" xfId="0" applyNumberFormat="1" applyFont="1" applyFill="1" applyBorder="1" applyAlignment="1" applyProtection="1">
      <alignment horizontal="center" vertical="center"/>
    </xf>
    <xf numFmtId="1" fontId="0" fillId="0" borderId="57" xfId="0" applyNumberFormat="1" applyFill="1" applyBorder="1" applyAlignment="1" applyProtection="1">
      <alignment horizontal="center"/>
    </xf>
    <xf numFmtId="168" fontId="21" fillId="0" borderId="57" xfId="0" applyNumberFormat="1" applyFont="1" applyFill="1" applyBorder="1" applyAlignment="1" applyProtection="1">
      <alignment horizontal="center" vertical="center"/>
    </xf>
    <xf numFmtId="0" fontId="0" fillId="0" borderId="57" xfId="0" applyNumberFormat="1" applyFill="1" applyBorder="1" applyAlignment="1" applyProtection="1">
      <alignment horizontal="center" vertical="center"/>
      <protection locked="0"/>
    </xf>
    <xf numFmtId="168" fontId="0" fillId="0" borderId="52" xfId="0" applyNumberFormat="1" applyFill="1" applyBorder="1" applyAlignment="1" applyProtection="1">
      <alignment horizontal="center" vertical="center"/>
    </xf>
    <xf numFmtId="3" fontId="0" fillId="36" borderId="10" xfId="0" applyNumberFormat="1" applyFill="1" applyBorder="1" applyAlignment="1" applyProtection="1">
      <alignment horizontal="center" vertical="top"/>
      <protection locked="0"/>
    </xf>
    <xf numFmtId="3" fontId="0" fillId="36" borderId="57" xfId="0" applyNumberFormat="1" applyFill="1" applyBorder="1" applyAlignment="1" applyProtection="1">
      <alignment horizontal="center" vertical="top"/>
      <protection locked="0"/>
    </xf>
    <xf numFmtId="3" fontId="0" fillId="36" borderId="10" xfId="0" applyNumberFormat="1" applyFill="1" applyBorder="1" applyAlignment="1" applyProtection="1">
      <alignment horizontal="center"/>
      <protection locked="0"/>
    </xf>
    <xf numFmtId="3" fontId="0" fillId="36" borderId="57" xfId="0" applyNumberFormat="1" applyFill="1" applyBorder="1" applyAlignment="1" applyProtection="1">
      <alignment horizontal="center"/>
      <protection locked="0"/>
    </xf>
    <xf numFmtId="0" fontId="0" fillId="58" borderId="10" xfId="0" applyFill="1" applyBorder="1"/>
    <xf numFmtId="1" fontId="0" fillId="58" borderId="10" xfId="0" applyNumberFormat="1" applyFill="1" applyBorder="1"/>
    <xf numFmtId="1" fontId="0" fillId="58" borderId="49" xfId="0" applyNumberFormat="1" applyFill="1" applyBorder="1"/>
    <xf numFmtId="0" fontId="0" fillId="57" borderId="10" xfId="0" applyFill="1" applyBorder="1"/>
    <xf numFmtId="1" fontId="0" fillId="57" borderId="10" xfId="0" applyNumberFormat="1" applyFill="1" applyBorder="1"/>
    <xf numFmtId="1" fontId="0" fillId="57" borderId="49" xfId="0" applyNumberFormat="1" applyFill="1" applyBorder="1"/>
    <xf numFmtId="0" fontId="0" fillId="58" borderId="57" xfId="0" applyFill="1" applyBorder="1"/>
    <xf numFmtId="1" fontId="0" fillId="58" borderId="57" xfId="0" applyNumberFormat="1" applyFill="1" applyBorder="1"/>
    <xf numFmtId="1" fontId="0" fillId="58" borderId="52" xfId="0" applyNumberFormat="1" applyFill="1" applyBorder="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164" fontId="33" fillId="0" borderId="0" xfId="0" applyNumberFormat="1" applyFont="1" applyAlignment="1">
      <alignment horizontal="center"/>
    </xf>
    <xf numFmtId="0" fontId="0" fillId="0" borderId="0" xfId="0" applyAlignment="1"/>
    <xf numFmtId="0" fontId="124" fillId="0" borderId="0" xfId="0" applyFont="1" applyAlignment="1">
      <alignment horizontal="center"/>
    </xf>
    <xf numFmtId="0" fontId="125" fillId="0" borderId="0" xfId="0" applyFont="1" applyAlignment="1">
      <alignment horizontal="center"/>
    </xf>
    <xf numFmtId="164" fontId="135" fillId="30" borderId="0" xfId="47" applyFont="1" applyFill="1" applyAlignment="1">
      <alignment horizontal="center" vertic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14" fillId="22" borderId="41" xfId="0" applyFont="1" applyFill="1" applyBorder="1" applyAlignment="1">
      <alignment horizontal="center" vertical="center" wrapText="1"/>
    </xf>
    <xf numFmtId="0" fontId="93" fillId="22" borderId="42" xfId="0" applyFont="1" applyFill="1" applyBorder="1" applyAlignment="1">
      <alignment horizontal="center" vertical="center"/>
    </xf>
    <xf numFmtId="0" fontId="93"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92" fillId="22" borderId="42" xfId="0" applyFont="1" applyFill="1" applyBorder="1" applyAlignment="1">
      <alignment horizontal="center" vertical="center"/>
    </xf>
    <xf numFmtId="0" fontId="92" fillId="22" borderId="43" xfId="0" applyFont="1" applyFill="1" applyBorder="1" applyAlignment="1">
      <alignment horizontal="center" vertical="center"/>
    </xf>
    <xf numFmtId="0" fontId="92" fillId="22" borderId="41" xfId="0" applyFont="1" applyFill="1" applyBorder="1" applyAlignment="1">
      <alignment horizontal="center" vertical="center"/>
    </xf>
    <xf numFmtId="0" fontId="88" fillId="35" borderId="41" xfId="0" applyFont="1" applyFill="1" applyBorder="1" applyAlignment="1" applyProtection="1">
      <alignment vertical="center" wrapText="1"/>
      <protection locked="0"/>
    </xf>
    <xf numFmtId="0" fontId="88" fillId="35" borderId="42" xfId="0" applyFont="1" applyFill="1" applyBorder="1" applyAlignment="1" applyProtection="1">
      <alignment vertical="center" wrapText="1"/>
      <protection locked="0"/>
    </xf>
    <xf numFmtId="0" fontId="88" fillId="35" borderId="43" xfId="0" applyFont="1" applyFill="1" applyBorder="1" applyAlignment="1" applyProtection="1">
      <alignment vertical="center" wrapText="1"/>
      <protection locked="0"/>
    </xf>
    <xf numFmtId="0" fontId="62" fillId="0" borderId="41" xfId="0" applyFont="1" applyBorder="1" applyAlignment="1" applyProtection="1">
      <alignment horizontal="justify" vertical="center" wrapText="1"/>
      <protection locked="0"/>
    </xf>
    <xf numFmtId="0" fontId="88" fillId="0" borderId="42" xfId="0" applyFont="1" applyBorder="1" applyAlignment="1" applyProtection="1">
      <alignment horizontal="justify" vertical="center" wrapText="1"/>
      <protection locked="0"/>
    </xf>
    <xf numFmtId="0" fontId="88" fillId="0" borderId="43" xfId="0" applyFont="1" applyBorder="1" applyAlignment="1" applyProtection="1">
      <alignment horizontal="justify"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0" fontId="86" fillId="25" borderId="41" xfId="0" applyFont="1" applyFill="1" applyBorder="1" applyAlignment="1">
      <alignment horizontal="center"/>
    </xf>
    <xf numFmtId="0" fontId="86" fillId="25" borderId="42" xfId="0" applyFont="1" applyFill="1" applyBorder="1" applyAlignment="1">
      <alignment horizontal="center"/>
    </xf>
    <xf numFmtId="0" fontId="86" fillId="25" borderId="43" xfId="0" applyFont="1" applyFill="1" applyBorder="1" applyAlignment="1">
      <alignment horizontal="center"/>
    </xf>
    <xf numFmtId="0" fontId="0" fillId="0" borderId="0" xfId="0" applyBorder="1" applyAlignment="1">
      <alignment horizontal="center" wrapText="1"/>
    </xf>
    <xf numFmtId="0" fontId="85" fillId="0" borderId="0" xfId="0" applyFont="1" applyAlignment="1">
      <alignment horizontal="center"/>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0" fontId="62" fillId="0" borderId="95" xfId="0" applyFont="1" applyBorder="1" applyAlignment="1">
      <alignment horizontal="left" vertical="center" wrapText="1"/>
    </xf>
    <xf numFmtId="0" fontId="62" fillId="0" borderId="94"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18" fillId="0" borderId="41" xfId="0" applyFont="1" applyBorder="1" applyAlignment="1">
      <alignment horizontal="justify" vertical="center" wrapText="1"/>
    </xf>
    <xf numFmtId="0" fontId="118" fillId="0" borderId="42" xfId="0" applyFont="1" applyBorder="1" applyAlignment="1">
      <alignment horizontal="justify" vertical="center" wrapText="1"/>
    </xf>
    <xf numFmtId="0" fontId="118" fillId="0" borderId="43" xfId="0" applyFont="1" applyBorder="1" applyAlignment="1">
      <alignment horizontal="justify" vertical="center" wrapText="1"/>
    </xf>
    <xf numFmtId="0" fontId="118" fillId="0" borderId="41" xfId="0" applyFont="1" applyBorder="1" applyAlignment="1">
      <alignment horizontal="left" vertical="center" wrapText="1"/>
    </xf>
    <xf numFmtId="0" fontId="116" fillId="0" borderId="42" xfId="0" applyFont="1" applyBorder="1" applyAlignment="1">
      <alignment horizontal="left" vertical="center" wrapText="1"/>
    </xf>
    <xf numFmtId="0" fontId="116"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0" fillId="0" borderId="0" xfId="0" applyBorder="1" applyAlignment="1">
      <alignment horizontal="center"/>
    </xf>
    <xf numFmtId="164" fontId="87" fillId="0" borderId="41" xfId="0" applyNumberFormat="1"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88" fillId="0" borderId="42" xfId="0" applyFont="1" applyBorder="1" applyAlignment="1">
      <alignment horizontal="left" vertical="center" wrapText="1"/>
    </xf>
    <xf numFmtId="0" fontId="88" fillId="0" borderId="43" xfId="0" applyFont="1" applyBorder="1" applyAlignment="1">
      <alignment horizontal="left" vertical="center" wrapText="1"/>
    </xf>
    <xf numFmtId="164" fontId="17" fillId="30" borderId="0" xfId="46" applyFont="1" applyFill="1" applyAlignment="1" applyProtection="1">
      <alignment horizontal="center" vertic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86" fillId="26" borderId="41" xfId="0" applyFont="1" applyFill="1" applyBorder="1" applyAlignment="1">
      <alignment horizontal="center"/>
    </xf>
    <xf numFmtId="0" fontId="86" fillId="26" borderId="42" xfId="0" applyFont="1" applyFill="1" applyBorder="1" applyAlignment="1">
      <alignment horizontal="center"/>
    </xf>
    <xf numFmtId="0" fontId="86" fillId="26" borderId="43" xfId="0" applyFont="1" applyFill="1" applyBorder="1" applyAlignment="1">
      <alignment horizontal="center"/>
    </xf>
    <xf numFmtId="9" fontId="88" fillId="0" borderId="41" xfId="61" applyFont="1" applyBorder="1" applyAlignment="1">
      <alignment horizontal="left" vertical="center" wrapText="1"/>
    </xf>
    <xf numFmtId="9" fontId="88" fillId="0" borderId="42" xfId="61" applyFont="1" applyBorder="1" applyAlignment="1">
      <alignment horizontal="left" vertical="center" wrapText="1"/>
    </xf>
    <xf numFmtId="9" fontId="88" fillId="0" borderId="43" xfId="61" applyFont="1" applyBorder="1" applyAlignment="1">
      <alignment horizontal="left" vertical="center" wrapText="1"/>
    </xf>
    <xf numFmtId="0" fontId="87" fillId="0" borderId="42" xfId="0" applyFont="1" applyBorder="1" applyAlignment="1">
      <alignment horizontal="left" vertical="center"/>
    </xf>
    <xf numFmtId="0" fontId="87" fillId="0" borderId="43" xfId="0" applyFont="1" applyBorder="1" applyAlignment="1">
      <alignment horizontal="left" vertical="center"/>
    </xf>
    <xf numFmtId="0" fontId="62" fillId="0" borderId="95" xfId="0" applyFont="1" applyBorder="1" applyAlignment="1">
      <alignment horizontal="justify" wrapText="1"/>
    </xf>
    <xf numFmtId="0" fontId="62" fillId="0" borderId="94" xfId="0" applyFont="1" applyBorder="1" applyAlignment="1">
      <alignment horizontal="justify" wrapText="1"/>
    </xf>
    <xf numFmtId="0" fontId="62" fillId="0" borderId="96" xfId="0" applyFont="1" applyBorder="1" applyAlignment="1">
      <alignment horizontal="justify" wrapText="1"/>
    </xf>
    <xf numFmtId="164" fontId="87" fillId="0" borderId="41" xfId="0" applyNumberFormat="1" applyFont="1" applyBorder="1" applyAlignment="1">
      <alignment vertical="center" wrapText="1"/>
    </xf>
    <xf numFmtId="0" fontId="87" fillId="0" borderId="42" xfId="0" applyFont="1" applyBorder="1" applyAlignment="1">
      <alignment vertical="center" wrapText="1"/>
    </xf>
    <xf numFmtId="0" fontId="87" fillId="0" borderId="43" xfId="0" applyFont="1" applyBorder="1" applyAlignment="1">
      <alignment vertical="center" wrapText="1"/>
    </xf>
    <xf numFmtId="0" fontId="88" fillId="0" borderId="41" xfId="0" applyFont="1" applyBorder="1" applyAlignment="1">
      <alignment horizontal="left" vertical="center" wrapText="1"/>
    </xf>
    <xf numFmtId="0" fontId="88" fillId="0" borderId="41" xfId="0" applyFont="1" applyFill="1" applyBorder="1" applyAlignment="1" applyProtection="1">
      <alignment vertical="center" wrapText="1"/>
      <protection locked="0"/>
    </xf>
    <xf numFmtId="0" fontId="88" fillId="0" borderId="42" xfId="0" applyFont="1" applyFill="1" applyBorder="1" applyAlignment="1" applyProtection="1">
      <alignment vertical="center" wrapText="1"/>
      <protection locked="0"/>
    </xf>
    <xf numFmtId="0" fontId="88" fillId="0" borderId="43" xfId="0" applyFont="1" applyFill="1" applyBorder="1" applyAlignment="1" applyProtection="1">
      <alignment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87" fillId="0" borderId="42" xfId="0" applyFont="1" applyBorder="1" applyAlignment="1">
      <alignment vertical="center"/>
    </xf>
    <xf numFmtId="0" fontId="87" fillId="0" borderId="43" xfId="0" applyFont="1" applyBorder="1" applyAlignment="1">
      <alignment vertical="center"/>
    </xf>
    <xf numFmtId="0" fontId="0" fillId="0" borderId="94" xfId="0" applyBorder="1" applyAlignment="1">
      <alignment horizontal="center"/>
    </xf>
    <xf numFmtId="0" fontId="0" fillId="0" borderId="94" xfId="0" applyBorder="1" applyAlignment="1">
      <alignment horizont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88" fillId="0" borderId="42" xfId="0" applyFont="1" applyBorder="1" applyAlignment="1" applyProtection="1">
      <alignment horizontal="left" vertical="center" wrapText="1"/>
      <protection locked="0"/>
    </xf>
    <xf numFmtId="0" fontId="88" fillId="0" borderId="43" xfId="0" applyFont="1" applyBorder="1" applyAlignment="1" applyProtection="1">
      <alignment horizontal="left" vertical="center" wrapText="1"/>
      <protection locked="0"/>
    </xf>
    <xf numFmtId="0" fontId="0" fillId="0" borderId="42" xfId="0" applyBorder="1" applyAlignment="1">
      <alignment horizontal="left"/>
    </xf>
    <xf numFmtId="0" fontId="0" fillId="0" borderId="43" xfId="0" applyBorder="1" applyAlignment="1">
      <alignment horizontal="left"/>
    </xf>
    <xf numFmtId="0" fontId="118" fillId="0" borderId="42" xfId="0" applyFont="1" applyBorder="1" applyAlignment="1">
      <alignment horizontal="left" vertical="center" wrapText="1"/>
    </xf>
    <xf numFmtId="0" fontId="118" fillId="0" borderId="43" xfId="0" applyFont="1" applyBorder="1" applyAlignment="1">
      <alignment horizontal="left" vertical="center" wrapText="1"/>
    </xf>
    <xf numFmtId="0" fontId="88" fillId="0" borderId="88" xfId="0" applyFont="1" applyBorder="1" applyAlignment="1">
      <alignment horizontal="justify" vertical="center" wrapText="1"/>
    </xf>
    <xf numFmtId="0" fontId="88" fillId="0" borderId="97" xfId="0" applyFont="1" applyBorder="1" applyAlignment="1">
      <alignment horizontal="justify" vertical="center" wrapText="1"/>
    </xf>
    <xf numFmtId="0" fontId="88" fillId="0" borderId="98" xfId="0" applyFont="1" applyBorder="1" applyAlignment="1">
      <alignment horizontal="justify" vertical="center" wrapText="1"/>
    </xf>
    <xf numFmtId="164" fontId="87" fillId="0" borderId="95" xfId="0" applyNumberFormat="1" applyFont="1" applyBorder="1" applyAlignment="1">
      <alignment vertical="center" wrapText="1"/>
    </xf>
    <xf numFmtId="0" fontId="87" fillId="0" borderId="94" xfId="0" applyFont="1" applyBorder="1" applyAlignment="1">
      <alignment vertical="center" wrapText="1"/>
    </xf>
    <xf numFmtId="0" fontId="87" fillId="0" borderId="96" xfId="0" applyFont="1" applyBorder="1" applyAlignment="1">
      <alignment vertical="center" wrapText="1"/>
    </xf>
    <xf numFmtId="0" fontId="87" fillId="0" borderId="88" xfId="0" applyFont="1" applyBorder="1" applyAlignment="1">
      <alignment vertical="center" wrapText="1"/>
    </xf>
    <xf numFmtId="0" fontId="87" fillId="0" borderId="97" xfId="0" applyFont="1" applyBorder="1" applyAlignment="1">
      <alignment vertical="center" wrapText="1"/>
    </xf>
    <xf numFmtId="0" fontId="87" fillId="0" borderId="98" xfId="0" applyFont="1" applyBorder="1" applyAlignment="1">
      <alignment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92" fillId="22" borderId="41" xfId="0" applyFont="1" applyFill="1" applyBorder="1" applyAlignment="1">
      <alignment horizontal="center"/>
    </xf>
    <xf numFmtId="0" fontId="92" fillId="22" borderId="42" xfId="0" applyFont="1" applyFill="1" applyBorder="1" applyAlignment="1">
      <alignment horizontal="center"/>
    </xf>
    <xf numFmtId="0" fontId="92" fillId="22" borderId="43" xfId="0" applyFont="1" applyFill="1" applyBorder="1" applyAlignment="1">
      <alignment horizontal="center"/>
    </xf>
    <xf numFmtId="0" fontId="24" fillId="22" borderId="41" xfId="0" applyFont="1" applyFill="1" applyBorder="1" applyAlignment="1">
      <alignment horizontal="center" wrapText="1"/>
    </xf>
    <xf numFmtId="0" fontId="92" fillId="22" borderId="42" xfId="0" applyFont="1" applyFill="1" applyBorder="1" applyAlignment="1">
      <alignment horizontal="center" wrapText="1"/>
    </xf>
    <xf numFmtId="0" fontId="92" fillId="22" borderId="43" xfId="0" applyFont="1" applyFill="1" applyBorder="1" applyAlignment="1">
      <alignment horizontal="center" wrapText="1"/>
    </xf>
    <xf numFmtId="0" fontId="88" fillId="0" borderId="41" xfId="0" applyFont="1" applyBorder="1" applyAlignment="1" applyProtection="1">
      <alignment vertical="center" wrapText="1"/>
      <protection locked="0"/>
    </xf>
    <xf numFmtId="0" fontId="88" fillId="0" borderId="42" xfId="0" applyFont="1" applyBorder="1" applyAlignment="1" applyProtection="1">
      <alignment vertical="center" wrapText="1"/>
      <protection locked="0"/>
    </xf>
    <xf numFmtId="0" fontId="88" fillId="0" borderId="43" xfId="0" applyFont="1" applyBorder="1" applyAlignment="1" applyProtection="1">
      <alignment vertical="center" wrapText="1"/>
      <protection locked="0"/>
    </xf>
    <xf numFmtId="0" fontId="97"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7" fillId="0" borderId="42" xfId="0" applyFont="1" applyFill="1" applyBorder="1" applyAlignment="1" applyProtection="1">
      <alignment vertical="center" wrapText="1"/>
      <protection locked="0"/>
    </xf>
    <xf numFmtId="0" fontId="97"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49" fontId="155" fillId="43" borderId="111" xfId="0" applyNumberFormat="1" applyFont="1" applyFill="1" applyBorder="1" applyAlignment="1" applyProtection="1">
      <alignment horizontal="left" vertical="center" wrapText="1"/>
      <protection locked="0"/>
    </xf>
    <xf numFmtId="49" fontId="155" fillId="43" borderId="10" xfId="0" applyNumberFormat="1" applyFont="1" applyFill="1" applyBorder="1" applyAlignment="1" applyProtection="1">
      <alignment horizontal="left" vertical="center" wrapText="1"/>
      <protection locked="0"/>
    </xf>
    <xf numFmtId="49" fontId="155" fillId="43" borderId="41" xfId="0" applyNumberFormat="1" applyFont="1" applyFill="1" applyBorder="1" applyAlignment="1" applyProtection="1">
      <alignment horizontal="left" vertical="center" wrapText="1"/>
      <protection locked="0"/>
    </xf>
    <xf numFmtId="0" fontId="155" fillId="22" borderId="102" xfId="0" applyNumberFormat="1" applyFont="1" applyFill="1" applyBorder="1" applyAlignment="1" applyProtection="1">
      <alignment horizontal="center" vertical="center" wrapText="1"/>
      <protection locked="0"/>
    </xf>
    <xf numFmtId="0" fontId="155" fillId="22" borderId="238" xfId="0" applyNumberFormat="1" applyFont="1" applyFill="1" applyBorder="1" applyAlignment="1" applyProtection="1">
      <alignment horizontal="center" vertical="center" wrapText="1"/>
      <protection locked="0"/>
    </xf>
    <xf numFmtId="0" fontId="155" fillId="22" borderId="239" xfId="0" applyNumberFormat="1" applyFont="1" applyFill="1" applyBorder="1" applyAlignment="1" applyProtection="1">
      <alignment horizontal="center" vertical="center" wrapText="1"/>
      <protection locked="0"/>
    </xf>
    <xf numFmtId="49" fontId="155" fillId="28" borderId="43" xfId="0" applyNumberFormat="1" applyFont="1" applyFill="1" applyBorder="1" applyAlignment="1" applyProtection="1">
      <alignment horizontal="center" vertical="center" wrapText="1"/>
      <protection locked="0"/>
    </xf>
    <xf numFmtId="0" fontId="155" fillId="0" borderId="106" xfId="0" applyFont="1" applyFill="1" applyBorder="1" applyAlignment="1" applyProtection="1">
      <alignment horizontal="left" vertical="center" wrapText="1"/>
    </xf>
    <xf numFmtId="0" fontId="155" fillId="0" borderId="42" xfId="0" applyFont="1" applyFill="1" applyBorder="1" applyAlignment="1" applyProtection="1">
      <alignment horizontal="left" vertical="center" wrapText="1"/>
    </xf>
    <xf numFmtId="0" fontId="155" fillId="0" borderId="107" xfId="0" applyFont="1" applyFill="1" applyBorder="1" applyAlignment="1" applyProtection="1">
      <alignment horizontal="left" vertical="center" wrapText="1"/>
    </xf>
    <xf numFmtId="0" fontId="155" fillId="0" borderId="108" xfId="0" applyFont="1" applyFill="1" applyBorder="1" applyAlignment="1" applyProtection="1">
      <alignment horizontal="left" vertical="center" wrapText="1"/>
    </xf>
    <xf numFmtId="0" fontId="155" fillId="0" borderId="109" xfId="0" applyFont="1" applyFill="1" applyBorder="1" applyAlignment="1" applyProtection="1">
      <alignment horizontal="left" vertical="center" wrapText="1"/>
    </xf>
    <xf numFmtId="0" fontId="155" fillId="0" borderId="110" xfId="0" applyFont="1" applyFill="1" applyBorder="1" applyAlignment="1" applyProtection="1">
      <alignment horizontal="left" vertical="center" wrapText="1"/>
    </xf>
    <xf numFmtId="0" fontId="155" fillId="0" borderId="102" xfId="0" applyFont="1" applyFill="1" applyBorder="1" applyAlignment="1" applyProtection="1">
      <alignment horizontal="center" vertical="center" wrapText="1"/>
    </xf>
    <xf numFmtId="0" fontId="155" fillId="24" borderId="102" xfId="0" applyFont="1" applyFill="1" applyBorder="1" applyAlignment="1" applyProtection="1">
      <alignment horizontal="center" vertical="center" wrapText="1"/>
    </xf>
    <xf numFmtId="0" fontId="155" fillId="24" borderId="43" xfId="0" applyFont="1" applyFill="1" applyBorder="1" applyAlignment="1" applyProtection="1">
      <alignment horizontal="center" vertical="center" wrapText="1"/>
    </xf>
    <xf numFmtId="0" fontId="155" fillId="0" borderId="112" xfId="0" applyFont="1" applyFill="1" applyBorder="1" applyAlignment="1" applyProtection="1">
      <alignment horizontal="center" vertical="center" wrapText="1"/>
    </xf>
    <xf numFmtId="0" fontId="155" fillId="0" borderId="43" xfId="0" applyFont="1" applyFill="1" applyBorder="1" applyAlignment="1" applyProtection="1">
      <alignment horizontal="center" vertical="center" wrapText="1"/>
    </xf>
    <xf numFmtId="0" fontId="155" fillId="0" borderId="113" xfId="0" applyFont="1" applyFill="1" applyBorder="1" applyAlignment="1" applyProtection="1">
      <alignment horizontal="center" vertical="center" wrapText="1"/>
    </xf>
    <xf numFmtId="49" fontId="155" fillId="28" borderId="111" xfId="0" applyNumberFormat="1" applyFont="1" applyFill="1" applyBorder="1" applyAlignment="1" applyProtection="1">
      <alignment horizontal="left" vertical="center" wrapText="1"/>
      <protection locked="0"/>
    </xf>
    <xf numFmtId="49" fontId="155" fillId="28" borderId="10" xfId="0" applyNumberFormat="1" applyFont="1" applyFill="1" applyBorder="1" applyAlignment="1" applyProtection="1">
      <alignment horizontal="left" vertical="center" wrapText="1"/>
      <protection locked="0"/>
    </xf>
    <xf numFmtId="49" fontId="155" fillId="28" borderId="41" xfId="0" applyNumberFormat="1" applyFont="1" applyFill="1" applyBorder="1" applyAlignment="1" applyProtection="1">
      <alignment horizontal="left" vertical="center" wrapText="1"/>
      <protection locked="0"/>
    </xf>
    <xf numFmtId="0" fontId="155" fillId="28" borderId="102" xfId="0" applyNumberFormat="1" applyFont="1" applyFill="1" applyBorder="1" applyAlignment="1" applyProtection="1">
      <alignment horizontal="center" vertical="center" wrapText="1"/>
      <protection locked="0"/>
    </xf>
    <xf numFmtId="49" fontId="155" fillId="22" borderId="111" xfId="0" applyNumberFormat="1" applyFont="1" applyFill="1" applyBorder="1" applyAlignment="1" applyProtection="1">
      <alignment horizontal="left" vertical="center" wrapText="1"/>
      <protection locked="0"/>
    </xf>
    <xf numFmtId="49" fontId="155" fillId="22" borderId="10" xfId="0" applyNumberFormat="1" applyFont="1" applyFill="1" applyBorder="1" applyAlignment="1" applyProtection="1">
      <alignment horizontal="left" vertical="center" wrapText="1"/>
      <protection locked="0"/>
    </xf>
    <xf numFmtId="49" fontId="155" fillId="22" borderId="41" xfId="0" applyNumberFormat="1" applyFont="1" applyFill="1" applyBorder="1" applyAlignment="1" applyProtection="1">
      <alignment horizontal="left" vertical="center" wrapText="1"/>
      <protection locked="0"/>
    </xf>
    <xf numFmtId="49" fontId="155" fillId="22" borderId="43" xfId="0" applyNumberFormat="1" applyFont="1" applyFill="1" applyBorder="1" applyAlignment="1" applyProtection="1">
      <alignment horizontal="center" vertical="center" wrapText="1"/>
      <protection locked="0"/>
    </xf>
    <xf numFmtId="0" fontId="155" fillId="24" borderId="106" xfId="0" applyFont="1" applyFill="1" applyBorder="1" applyAlignment="1" applyProtection="1">
      <alignment horizontal="left" vertical="center" wrapText="1"/>
    </xf>
    <xf numFmtId="0" fontId="155" fillId="24" borderId="42" xfId="0" applyFont="1" applyFill="1" applyBorder="1" applyAlignment="1" applyProtection="1">
      <alignment horizontal="left" vertical="center" wrapText="1"/>
    </xf>
    <xf numFmtId="0" fontId="155" fillId="24" borderId="107" xfId="0" applyFont="1" applyFill="1" applyBorder="1" applyAlignment="1" applyProtection="1">
      <alignment horizontal="left" vertical="center" wrapText="1"/>
    </xf>
    <xf numFmtId="0" fontId="155" fillId="24" borderId="108" xfId="0" applyFont="1" applyFill="1" applyBorder="1" applyAlignment="1" applyProtection="1">
      <alignment horizontal="left" vertical="center" wrapText="1"/>
    </xf>
    <xf numFmtId="0" fontId="155" fillId="24" borderId="109" xfId="0" applyFont="1" applyFill="1" applyBorder="1" applyAlignment="1" applyProtection="1">
      <alignment horizontal="left" vertical="center" wrapText="1"/>
    </xf>
    <xf numFmtId="0" fontId="155" fillId="24" borderId="110" xfId="0" applyFont="1" applyFill="1" applyBorder="1" applyAlignment="1" applyProtection="1">
      <alignment horizontal="left" vertical="center" wrapText="1"/>
    </xf>
    <xf numFmtId="0" fontId="159" fillId="44" borderId="48" xfId="0" applyFont="1" applyFill="1" applyBorder="1" applyAlignment="1" applyProtection="1">
      <alignment horizontal="center" vertical="center"/>
    </xf>
    <xf numFmtId="0" fontId="159" fillId="44" borderId="51" xfId="0" applyFont="1" applyFill="1" applyBorder="1" applyAlignment="1" applyProtection="1">
      <alignment horizontal="center" vertical="center"/>
    </xf>
    <xf numFmtId="0" fontId="159" fillId="44" borderId="48" xfId="0" applyFont="1" applyFill="1" applyBorder="1" applyAlignment="1" applyProtection="1">
      <alignment horizontal="center" vertical="center"/>
      <protection locked="0"/>
    </xf>
    <xf numFmtId="49" fontId="14" fillId="0" borderId="245"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49" fontId="14" fillId="0" borderId="243" xfId="0" applyNumberFormat="1" applyFont="1" applyFill="1" applyBorder="1" applyAlignment="1" applyProtection="1">
      <alignment horizontal="center"/>
    </xf>
    <xf numFmtId="49" fontId="14" fillId="0" borderId="244" xfId="0" applyNumberFormat="1" applyFont="1" applyFill="1" applyBorder="1" applyAlignment="1" applyProtection="1">
      <alignment horizontal="center"/>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49" fontId="66" fillId="22" borderId="240" xfId="0" applyNumberFormat="1" applyFont="1" applyFill="1" applyBorder="1" applyAlignment="1" applyProtection="1">
      <alignment horizontal="center" vertical="center" wrapText="1"/>
      <protection locked="0"/>
    </xf>
    <xf numFmtId="49" fontId="66" fillId="22" borderId="121" xfId="0" applyNumberFormat="1" applyFont="1" applyFill="1" applyBorder="1" applyAlignment="1" applyProtection="1">
      <alignment horizontal="center" vertical="center" wrapText="1"/>
      <protection locked="0"/>
    </xf>
    <xf numFmtId="49" fontId="66" fillId="28" borderId="240" xfId="0" applyNumberFormat="1" applyFont="1" applyFill="1" applyBorder="1" applyAlignment="1" applyProtection="1">
      <alignment horizontal="center" vertical="center" wrapText="1"/>
      <protection locked="0"/>
    </xf>
    <xf numFmtId="49" fontId="66" fillId="28" borderId="121" xfId="0" applyNumberFormat="1" applyFont="1" applyFill="1" applyBorder="1" applyAlignment="1" applyProtection="1">
      <alignment horizontal="center" vertical="center" wrapText="1"/>
      <protection locked="0"/>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0" fontId="76" fillId="0" borderId="118" xfId="0" applyFont="1" applyFill="1" applyBorder="1" applyAlignment="1" applyProtection="1">
      <alignment horizontal="center" vertical="center"/>
    </xf>
    <xf numFmtId="0" fontId="76" fillId="0" borderId="119" xfId="0" applyFont="1" applyFill="1" applyBorder="1" applyAlignment="1" applyProtection="1">
      <alignment horizontal="center" vertical="center"/>
    </xf>
    <xf numFmtId="0" fontId="76" fillId="0" borderId="120" xfId="0" applyFont="1" applyFill="1" applyBorder="1" applyAlignment="1" applyProtection="1">
      <alignment horizontal="center" vertical="center"/>
    </xf>
    <xf numFmtId="49" fontId="155" fillId="22" borderId="121" xfId="0" applyNumberFormat="1" applyFont="1" applyFill="1" applyBorder="1" applyAlignment="1" applyProtection="1">
      <alignment horizontal="left" vertical="center" wrapText="1"/>
      <protection locked="0"/>
    </xf>
    <xf numFmtId="49" fontId="155" fillId="22" borderId="87" xfId="0" applyNumberFormat="1" applyFont="1" applyFill="1" applyBorder="1" applyAlignment="1" applyProtection="1">
      <alignment horizontal="left" vertical="center" wrapText="1"/>
      <protection locked="0"/>
    </xf>
    <xf numFmtId="49" fontId="155" fillId="22" borderId="88" xfId="0" applyNumberFormat="1" applyFont="1" applyFill="1" applyBorder="1" applyAlignment="1" applyProtection="1">
      <alignment horizontal="left" vertical="center" wrapText="1"/>
      <protection locked="0"/>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0" fontId="66" fillId="0" borderId="250" xfId="0" applyFont="1" applyFill="1" applyBorder="1" applyAlignment="1" applyProtection="1">
      <alignment horizontal="left" vertical="center" wrapText="1"/>
    </xf>
    <xf numFmtId="0" fontId="66" fillId="0" borderId="251" xfId="0" applyFont="1" applyFill="1" applyBorder="1" applyAlignment="1" applyProtection="1">
      <alignment horizontal="left" vertical="center" wrapText="1"/>
    </xf>
    <xf numFmtId="0" fontId="66" fillId="0" borderId="252" xfId="0" applyFont="1" applyFill="1" applyBorder="1" applyAlignment="1" applyProtection="1">
      <alignment horizontal="left" vertical="center" wrapText="1"/>
    </xf>
    <xf numFmtId="0" fontId="66" fillId="0" borderId="253" xfId="0" applyFont="1" applyFill="1" applyBorder="1" applyAlignment="1" applyProtection="1">
      <alignment horizontal="left" vertical="center" wrapText="1"/>
    </xf>
    <xf numFmtId="0" fontId="66" fillId="0" borderId="25" xfId="0" applyFont="1" applyFill="1" applyBorder="1" applyAlignment="1" applyProtection="1">
      <alignment horizontal="left" vertical="center" wrapText="1"/>
    </xf>
    <xf numFmtId="0" fontId="66" fillId="0" borderId="254" xfId="0" applyFont="1" applyFill="1" applyBorder="1" applyAlignment="1" applyProtection="1">
      <alignment horizontal="left" vertical="center" wrapText="1"/>
    </xf>
    <xf numFmtId="0" fontId="66" fillId="24" borderId="238" xfId="0" applyFont="1" applyFill="1" applyBorder="1" applyAlignment="1" applyProtection="1">
      <alignment horizontal="center" vertical="center" wrapText="1"/>
    </xf>
    <xf numFmtId="0" fontId="66" fillId="24" borderId="239" xfId="0" applyFont="1" applyFill="1" applyBorder="1" applyAlignment="1" applyProtection="1">
      <alignment horizontal="center" vertical="center" wrapText="1"/>
    </xf>
    <xf numFmtId="0" fontId="66" fillId="0" borderId="238" xfId="0" applyFont="1" applyFill="1" applyBorder="1" applyAlignment="1" applyProtection="1">
      <alignment horizontal="center" vertical="center" wrapText="1"/>
    </xf>
    <xf numFmtId="0" fontId="66" fillId="0" borderId="249" xfId="0" applyFont="1" applyFill="1" applyBorder="1" applyAlignment="1" applyProtection="1">
      <alignment horizontal="center" vertical="center" wrapText="1"/>
    </xf>
    <xf numFmtId="0" fontId="66" fillId="0" borderId="234" xfId="0" applyFont="1" applyFill="1" applyBorder="1" applyAlignment="1" applyProtection="1">
      <alignment horizontal="left" vertical="center" wrapText="1"/>
    </xf>
    <xf numFmtId="0" fontId="66" fillId="0" borderId="94" xfId="0" applyFont="1" applyFill="1" applyBorder="1" applyAlignment="1" applyProtection="1">
      <alignment horizontal="left" vertical="center" wrapText="1"/>
    </xf>
    <xf numFmtId="0" fontId="66" fillId="0" borderId="235" xfId="0" applyFont="1" applyFill="1" applyBorder="1" applyAlignment="1" applyProtection="1">
      <alignment horizontal="left" vertical="center" wrapText="1"/>
    </xf>
    <xf numFmtId="0" fontId="66" fillId="24" borderId="250" xfId="0" applyFont="1" applyFill="1" applyBorder="1" applyAlignment="1" applyProtection="1">
      <alignment horizontal="left" vertical="center" wrapText="1"/>
    </xf>
    <xf numFmtId="0" fontId="66" fillId="24" borderId="251" xfId="0" applyFont="1" applyFill="1" applyBorder="1" applyAlignment="1" applyProtection="1">
      <alignment horizontal="left" vertical="center" wrapText="1"/>
    </xf>
    <xf numFmtId="0" fontId="66" fillId="24" borderId="252" xfId="0" applyFont="1" applyFill="1" applyBorder="1" applyAlignment="1" applyProtection="1">
      <alignment horizontal="left" vertical="center" wrapText="1"/>
    </xf>
    <xf numFmtId="0" fontId="66" fillId="24" borderId="253" xfId="0" applyFont="1" applyFill="1" applyBorder="1" applyAlignment="1" applyProtection="1">
      <alignment horizontal="left" vertical="center" wrapText="1"/>
    </xf>
    <xf numFmtId="0" fontId="66" fillId="24" borderId="25" xfId="0" applyFont="1" applyFill="1" applyBorder="1" applyAlignment="1" applyProtection="1">
      <alignment horizontal="left" vertical="center" wrapText="1"/>
    </xf>
    <xf numFmtId="0" fontId="66" fillId="24" borderId="254" xfId="0" applyFont="1" applyFill="1" applyBorder="1" applyAlignment="1" applyProtection="1">
      <alignment horizontal="left" vertical="center" wrapText="1"/>
    </xf>
    <xf numFmtId="0" fontId="66" fillId="0" borderId="240" xfId="0" applyFont="1" applyFill="1" applyBorder="1" applyAlignment="1" applyProtection="1">
      <alignment horizontal="center" vertical="center" wrapText="1"/>
    </xf>
    <xf numFmtId="0" fontId="66" fillId="0" borderId="248" xfId="0" applyFont="1" applyFill="1" applyBorder="1" applyAlignment="1" applyProtection="1">
      <alignment horizontal="center" vertical="center" wrapText="1"/>
    </xf>
    <xf numFmtId="0" fontId="66" fillId="24" borderId="240" xfId="0" applyFont="1" applyFill="1" applyBorder="1" applyAlignment="1" applyProtection="1">
      <alignment horizontal="center" vertical="center" wrapText="1"/>
    </xf>
    <xf numFmtId="0" fontId="66" fillId="24" borderId="121" xfId="0" applyFont="1" applyFill="1" applyBorder="1" applyAlignment="1" applyProtection="1">
      <alignment horizontal="center" vertical="center" wrapText="1"/>
    </xf>
    <xf numFmtId="0" fontId="66" fillId="0" borderId="239" xfId="0" applyFont="1" applyFill="1" applyBorder="1" applyAlignment="1" applyProtection="1">
      <alignment horizontal="center" vertical="center" wrapText="1"/>
    </xf>
    <xf numFmtId="0" fontId="66" fillId="0" borderId="121" xfId="0" applyFont="1" applyFill="1" applyBorder="1" applyAlignment="1" applyProtection="1">
      <alignment horizontal="center" vertical="center" wrapText="1"/>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0" fontId="113" fillId="0" borderId="0" xfId="0" applyFont="1" applyBorder="1" applyAlignment="1" applyProtection="1">
      <alignment horizontal="right"/>
    </xf>
    <xf numFmtId="0" fontId="113" fillId="0" borderId="122" xfId="0" applyFont="1" applyBorder="1" applyAlignment="1" applyProtection="1">
      <alignment horizontal="right"/>
    </xf>
    <xf numFmtId="0" fontId="113" fillId="0" borderId="47" xfId="0" applyFont="1" applyBorder="1" applyAlignment="1" applyProtection="1">
      <alignment horizontal="right"/>
    </xf>
    <xf numFmtId="164" fontId="15" fillId="32" borderId="10" xfId="56" applyFont="1" applyFill="1" applyBorder="1" applyAlignment="1" applyProtection="1">
      <alignment horizontal="center"/>
      <protection locked="0"/>
    </xf>
    <xf numFmtId="0" fontId="83" fillId="0" borderId="114" xfId="0" applyFont="1" applyBorder="1" applyAlignment="1" applyProtection="1">
      <alignment horizontal="right"/>
    </xf>
    <xf numFmtId="0" fontId="119" fillId="0" borderId="114" xfId="0" applyFont="1" applyBorder="1" applyAlignment="1"/>
    <xf numFmtId="0" fontId="0" fillId="0" borderId="246" xfId="0" applyBorder="1" applyAlignment="1" applyProtection="1">
      <alignment horizontal="center"/>
    </xf>
    <xf numFmtId="0" fontId="0" fillId="0" borderId="247"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0" fontId="113" fillId="0" borderId="0" xfId="0" applyFont="1" applyAlignment="1" applyProtection="1">
      <alignment horizontal="right"/>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164" fontId="60" fillId="30" borderId="0" xfId="38" applyFont="1" applyFill="1" applyAlignment="1" applyProtection="1">
      <alignment horizontal="center" vertical="center"/>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37" fillId="0" borderId="10" xfId="56" applyNumberFormat="1" applyFill="1" applyBorder="1" applyAlignment="1" applyProtection="1">
      <alignment horizontal="center"/>
      <protection locked="0"/>
    </xf>
    <xf numFmtId="49" fontId="149" fillId="0" borderId="10" xfId="0" applyNumberFormat="1"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Fill="1" applyBorder="1" applyAlignment="1" applyProtection="1">
      <alignment horizontal="right" vertical="top" wrapText="1"/>
    </xf>
    <xf numFmtId="0" fontId="0" fillId="0" borderId="38" xfId="0" applyBorder="1"/>
    <xf numFmtId="164" fontId="114" fillId="33" borderId="38" xfId="56" applyFont="1" applyFill="1" applyBorder="1" applyAlignment="1" applyProtection="1">
      <alignment horizontal="center" wrapText="1"/>
    </xf>
    <xf numFmtId="164" fontId="1" fillId="0" borderId="38" xfId="56" applyFont="1" applyFill="1" applyBorder="1" applyAlignment="1" applyProtection="1">
      <alignment horizontal="right" wrapText="1"/>
    </xf>
    <xf numFmtId="15" fontId="24" fillId="25" borderId="38" xfId="56" applyNumberFormat="1" applyFont="1" applyFill="1" applyBorder="1" applyAlignment="1" applyProtection="1">
      <alignment horizontal="center"/>
    </xf>
    <xf numFmtId="0" fontId="0" fillId="0" borderId="38" xfId="0" applyBorder="1" applyAlignment="1"/>
    <xf numFmtId="164" fontId="105" fillId="30" borderId="0" xfId="38" applyFont="1" applyFill="1" applyAlignment="1" applyProtection="1">
      <alignment horizontal="center" vertical="center"/>
    </xf>
    <xf numFmtId="164" fontId="33" fillId="25" borderId="0" xfId="49" applyFont="1" applyFill="1" applyAlignment="1" applyProtection="1">
      <alignment horizontal="center" vertical="center" wrapText="1"/>
    </xf>
    <xf numFmtId="173"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115" fillId="0" borderId="123" xfId="0" applyFont="1" applyFill="1" applyBorder="1" applyAlignment="1" applyProtection="1">
      <alignment horizontal="left" wrapText="1"/>
    </xf>
    <xf numFmtId="0" fontId="115" fillId="0" borderId="73" xfId="0" applyFont="1" applyFill="1" applyBorder="1" applyAlignment="1" applyProtection="1">
      <alignment horizontal="left" wrapText="1"/>
    </xf>
    <xf numFmtId="0" fontId="115" fillId="0" borderId="124" xfId="0" applyFont="1" applyFill="1" applyBorder="1" applyAlignment="1" applyProtection="1">
      <alignment horizontal="left" wrapText="1"/>
    </xf>
    <xf numFmtId="0" fontId="115" fillId="0" borderId="125" xfId="0" applyFont="1" applyFill="1" applyBorder="1" applyAlignment="1" applyProtection="1">
      <alignment horizontal="left" wrapText="1"/>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111" fillId="0" borderId="0" xfId="0" applyFont="1" applyAlignment="1" applyProtection="1">
      <alignment horizontal="center"/>
    </xf>
    <xf numFmtId="164" fontId="110" fillId="0" borderId="103" xfId="0" applyNumberFormat="1" applyFont="1" applyBorder="1" applyAlignment="1" applyProtection="1">
      <alignment horizontal="center" vertical="center" wrapText="1"/>
    </xf>
    <xf numFmtId="164" fontId="110" fillId="0" borderId="104" xfId="0" applyNumberFormat="1" applyFont="1" applyBorder="1" applyAlignment="1" applyProtection="1">
      <alignment horizontal="center" vertical="center" wrapText="1"/>
    </xf>
    <xf numFmtId="164" fontId="110"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30" fillId="22" borderId="41" xfId="0" applyFont="1" applyFill="1" applyBorder="1" applyAlignment="1" applyProtection="1">
      <alignment horizontal="left" wrapText="1"/>
      <protection locked="0"/>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164" fontId="35" fillId="0" borderId="0" xfId="0" applyNumberFormat="1" applyFont="1" applyAlignment="1">
      <alignment horizontal="center" vertical="center" wrapText="1"/>
    </xf>
    <xf numFmtId="164" fontId="35" fillId="0" borderId="0" xfId="0" applyNumberFormat="1" applyFont="1" applyAlignment="1">
      <alignment horizontal="center" vertical="center"/>
    </xf>
    <xf numFmtId="0" fontId="84" fillId="0" borderId="0" xfId="0" applyFont="1" applyAlignment="1">
      <alignment horizontal="left" wrapText="1"/>
    </xf>
    <xf numFmtId="0" fontId="30" fillId="22" borderId="0" xfId="0" applyFont="1" applyFill="1" applyBorder="1" applyAlignment="1" applyProtection="1">
      <alignment horizontal="left" wrapText="1"/>
      <protection locked="0"/>
    </xf>
    <xf numFmtId="0" fontId="34" fillId="22" borderId="0" xfId="0" applyFont="1" applyFill="1" applyBorder="1" applyAlignment="1" applyProtection="1">
      <alignment horizontal="left" vertical="top" wrapText="1"/>
      <protection locked="0"/>
    </xf>
    <xf numFmtId="0" fontId="142" fillId="57" borderId="48" xfId="0" applyFont="1" applyFill="1" applyBorder="1" applyAlignment="1" applyProtection="1">
      <alignment horizontal="center" vertical="center" wrapText="1"/>
    </xf>
    <xf numFmtId="0" fontId="142" fillId="58" borderId="48" xfId="0" applyFont="1" applyFill="1" applyBorder="1" applyAlignment="1" applyProtection="1">
      <alignment horizontal="center" vertical="center" wrapText="1"/>
    </xf>
    <xf numFmtId="0" fontId="142" fillId="58" borderId="51" xfId="0" applyFont="1" applyFill="1" applyBorder="1" applyAlignment="1" applyProtection="1">
      <alignment horizontal="center" vertical="center" wrapText="1"/>
    </xf>
    <xf numFmtId="0" fontId="21" fillId="35" borderId="41" xfId="0" applyFont="1" applyFill="1" applyBorder="1" applyAlignment="1" applyProtection="1">
      <alignment vertical="center" wrapText="1"/>
    </xf>
    <xf numFmtId="0" fontId="21" fillId="35" borderId="42" xfId="0" applyFont="1" applyFill="1" applyBorder="1" applyAlignment="1" applyProtection="1">
      <alignment vertical="center" wrapText="1"/>
    </xf>
    <xf numFmtId="0" fontId="21" fillId="35" borderId="43" xfId="0" applyFont="1" applyFill="1" applyBorder="1" applyAlignment="1" applyProtection="1">
      <alignmen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9" fontId="1" fillId="46" borderId="10" xfId="61" applyFont="1" applyFill="1" applyBorder="1" applyAlignment="1" applyProtection="1">
      <alignment horizontal="left" vertical="center" wrapText="1"/>
      <protection locked="0"/>
    </xf>
    <xf numFmtId="9" fontId="21" fillId="46" borderId="41" xfId="61" applyFont="1" applyFill="1" applyBorder="1" applyAlignment="1" applyProtection="1">
      <alignment horizontal="left" vertical="center" wrapText="1"/>
      <protection locked="0"/>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9" fontId="34" fillId="22" borderId="10" xfId="61" applyFont="1" applyFill="1" applyBorder="1" applyAlignment="1" applyProtection="1">
      <alignment horizontal="left" vertical="center" wrapText="1"/>
      <protection locked="0"/>
    </xf>
    <xf numFmtId="164" fontId="60" fillId="30" borderId="0" xfId="47" applyFont="1" applyFill="1" applyAlignment="1" applyProtection="1">
      <alignment horizontal="center" vertical="center"/>
    </xf>
    <xf numFmtId="0" fontId="34" fillId="0" borderId="94" xfId="0" applyFont="1" applyBorder="1" applyAlignment="1" applyProtection="1">
      <alignment horizontal="left" vertical="center"/>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164" fontId="111" fillId="0" borderId="0" xfId="0" applyNumberFormat="1" applyFont="1" applyAlignment="1" applyProtection="1">
      <alignment horizontal="center"/>
    </xf>
    <xf numFmtId="0" fontId="0" fillId="0" borderId="0" xfId="0" applyAlignment="1">
      <alignment horizontal="center"/>
    </xf>
    <xf numFmtId="0" fontId="20" fillId="22" borderId="41" xfId="0" applyFont="1" applyFill="1" applyBorder="1" applyAlignment="1" applyProtection="1">
      <alignment horizontal="left" vertical="top" wrapText="1"/>
      <protection locked="0"/>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33" fillId="0" borderId="97" xfId="0" applyFont="1" applyBorder="1" applyAlignment="1" applyProtection="1">
      <alignment horizontal="center"/>
    </xf>
    <xf numFmtId="0" fontId="34" fillId="0" borderId="10" xfId="0" applyFont="1" applyBorder="1" applyAlignment="1" applyProtection="1">
      <alignment horizontal="center"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21" fillId="35" borderId="41" xfId="0" applyFont="1" applyFill="1" applyBorder="1" applyAlignment="1" applyProtection="1">
      <alignment horizontal="left" vertical="center" wrapText="1"/>
    </xf>
    <xf numFmtId="0" fontId="21" fillId="35" borderId="42"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xf>
    <xf numFmtId="9" fontId="21" fillId="46" borderId="10" xfId="61" applyFont="1" applyFill="1" applyBorder="1" applyAlignment="1" applyProtection="1">
      <alignment horizontal="left" vertical="center" wrapText="1"/>
      <protection locked="0"/>
    </xf>
    <xf numFmtId="0" fontId="34" fillId="20" borderId="0" xfId="0" applyFont="1" applyFill="1" applyAlignment="1" applyProtection="1">
      <alignment horizontal="center" vertical="center" wrapText="1"/>
    </xf>
    <xf numFmtId="0" fontId="143" fillId="20" borderId="41" xfId="0" applyFont="1" applyFill="1" applyBorder="1" applyAlignment="1" applyProtection="1">
      <alignment vertical="center" wrapText="1"/>
    </xf>
    <xf numFmtId="0" fontId="143" fillId="20" borderId="42" xfId="0" applyFont="1" applyFill="1" applyBorder="1" applyAlignment="1" applyProtection="1">
      <alignment vertical="center" wrapText="1"/>
    </xf>
    <xf numFmtId="0" fontId="143" fillId="20" borderId="43" xfId="0" applyFont="1" applyFill="1" applyBorder="1" applyAlignment="1" applyProtection="1">
      <alignment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0" fontId="34" fillId="20" borderId="0" xfId="0" applyFont="1" applyFill="1" applyBorder="1" applyAlignment="1" applyProtection="1">
      <alignment horizontal="left"/>
    </xf>
    <xf numFmtId="0" fontId="0" fillId="35" borderId="42" xfId="0" applyFill="1" applyBorder="1" applyAlignment="1">
      <alignment vertical="center" wrapText="1"/>
    </xf>
    <xf numFmtId="0" fontId="0" fillId="35" borderId="43" xfId="0" applyFill="1" applyBorder="1" applyAlignment="1">
      <alignment vertical="center" wrapText="1"/>
    </xf>
    <xf numFmtId="0" fontId="34" fillId="22" borderId="256" xfId="0" applyFont="1" applyFill="1" applyBorder="1" applyAlignment="1" applyProtection="1">
      <alignment horizontal="left" vertical="top" wrapText="1"/>
      <protection locked="0"/>
    </xf>
    <xf numFmtId="0" fontId="0" fillId="0" borderId="104" xfId="0" applyBorder="1" applyAlignment="1">
      <alignment horizontal="left" vertical="top" wrapText="1"/>
    </xf>
    <xf numFmtId="0" fontId="0" fillId="0" borderId="257" xfId="0" applyBorder="1" applyAlignment="1">
      <alignment horizontal="left" vertical="top" wrapText="1"/>
    </xf>
    <xf numFmtId="0" fontId="142" fillId="0" borderId="41" xfId="0" applyFont="1" applyBorder="1" applyAlignment="1" applyProtection="1">
      <alignment vertical="center" wrapText="1"/>
    </xf>
    <xf numFmtId="0" fontId="142" fillId="0" borderId="42" xfId="0" applyFont="1" applyBorder="1" applyAlignment="1" applyProtection="1">
      <alignment vertical="center" wrapText="1"/>
    </xf>
    <xf numFmtId="0" fontId="142" fillId="0" borderId="43" xfId="0" applyFont="1" applyBorder="1" applyAlignment="1" applyProtection="1">
      <alignment vertical="center" wrapText="1"/>
    </xf>
    <xf numFmtId="9" fontId="139" fillId="31" borderId="41" xfId="61" applyFont="1" applyFill="1" applyBorder="1" applyAlignment="1" applyProtection="1">
      <alignment horizontal="center" vertical="center" wrapText="1"/>
    </xf>
    <xf numFmtId="9" fontId="139" fillId="31" borderId="43" xfId="61" applyFont="1" applyFill="1" applyBorder="1" applyAlignment="1" applyProtection="1">
      <alignment horizontal="center" vertical="center" wrapText="1"/>
    </xf>
    <xf numFmtId="9" fontId="140" fillId="34" borderId="41" xfId="61" applyFont="1" applyFill="1" applyBorder="1" applyAlignment="1" applyProtection="1">
      <alignment horizontal="center" vertical="center" wrapText="1"/>
    </xf>
    <xf numFmtId="9" fontId="140" fillId="34" borderId="43" xfId="61" applyFont="1" applyFill="1" applyBorder="1" applyAlignment="1" applyProtection="1">
      <alignment horizontal="center" vertical="center" wrapText="1"/>
    </xf>
    <xf numFmtId="0" fontId="142" fillId="0" borderId="10" xfId="0" applyFont="1" applyBorder="1" applyAlignment="1" applyProtection="1">
      <alignment horizontal="center" vertical="center" wrapText="1"/>
    </xf>
    <xf numFmtId="49" fontId="142" fillId="0" borderId="41" xfId="0" applyNumberFormat="1" applyFont="1" applyBorder="1" applyAlignment="1" applyProtection="1">
      <alignment vertical="center" wrapText="1"/>
    </xf>
    <xf numFmtId="49" fontId="142" fillId="0" borderId="42" xfId="0" applyNumberFormat="1" applyFont="1" applyBorder="1" applyAlignment="1" applyProtection="1">
      <alignment vertical="center" wrapText="1"/>
    </xf>
    <xf numFmtId="49" fontId="142" fillId="0" borderId="43" xfId="0" applyNumberFormat="1" applyFont="1" applyBorder="1" applyAlignment="1" applyProtection="1">
      <alignment vertical="center"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9" fontId="156" fillId="31" borderId="41" xfId="61" applyFont="1" applyFill="1" applyBorder="1" applyAlignment="1" applyProtection="1">
      <alignment horizontal="center" vertical="center" wrapText="1"/>
    </xf>
    <xf numFmtId="9" fontId="156" fillId="31" borderId="43" xfId="61" applyFont="1" applyFill="1" applyBorder="1" applyAlignment="1" applyProtection="1">
      <alignment horizontal="center" vertical="center" wrapText="1"/>
    </xf>
    <xf numFmtId="0" fontId="0" fillId="0" borderId="105" xfId="0" applyBorder="1" applyAlignment="1">
      <alignment horizontal="left" vertical="top"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1" fillId="35" borderId="10" xfId="0" applyFont="1" applyFill="1" applyBorder="1" applyAlignment="1" applyProtection="1">
      <alignment vertical="center" wrapText="1"/>
    </xf>
    <xf numFmtId="0" fontId="1" fillId="35" borderId="41" xfId="0" applyFont="1" applyFill="1" applyBorder="1" applyAlignment="1" applyProtection="1">
      <alignment vertical="center" wrapText="1"/>
    </xf>
    <xf numFmtId="0" fontId="1" fillId="35" borderId="42" xfId="0" applyFont="1" applyFill="1" applyBorder="1" applyAlignment="1" applyProtection="1">
      <alignment vertical="center" wrapText="1"/>
    </xf>
    <xf numFmtId="0" fontId="1" fillId="35" borderId="43" xfId="0" applyFont="1" applyFill="1" applyBorder="1" applyAlignment="1" applyProtection="1">
      <alignment vertical="center" wrapText="1"/>
    </xf>
    <xf numFmtId="9" fontId="21" fillId="46" borderId="42" xfId="61" applyFont="1" applyFill="1" applyBorder="1" applyAlignment="1" applyProtection="1">
      <alignment horizontal="left" vertical="center" wrapText="1"/>
      <protection locked="0"/>
    </xf>
    <xf numFmtId="9" fontId="21" fillId="46" borderId="43" xfId="61" applyFont="1" applyFill="1" applyBorder="1" applyAlignment="1" applyProtection="1">
      <alignment horizontal="left" vertical="center" wrapText="1"/>
      <protection locked="0"/>
    </xf>
    <xf numFmtId="0" fontId="0" fillId="35" borderId="41" xfId="0" applyFill="1" applyBorder="1" applyAlignment="1">
      <alignment horizontal="left" vertical="center" wrapText="1"/>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9" fontId="0" fillId="46" borderId="10" xfId="61" applyFont="1" applyFill="1" applyBorder="1" applyAlignment="1" applyProtection="1">
      <alignment horizontal="left" vertical="center" wrapText="1"/>
      <protection locked="0"/>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79" fillId="0" borderId="131" xfId="0" applyNumberFormat="1" applyFont="1" applyFill="1" applyBorder="1" applyAlignment="1" applyProtection="1">
      <alignment horizontal="left" vertical="top" wrapText="1"/>
    </xf>
    <xf numFmtId="0" fontId="79" fillId="0" borderId="132" xfId="0" applyNumberFormat="1" applyFont="1" applyFill="1" applyBorder="1" applyAlignment="1" applyProtection="1">
      <alignment horizontal="left" vertical="top" wrapText="1"/>
    </xf>
    <xf numFmtId="0" fontId="79"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9" fillId="0" borderId="0" xfId="0" applyNumberFormat="1" applyFont="1" applyFill="1" applyBorder="1" applyAlignment="1" applyProtection="1">
      <alignment horizontal="left" vertical="top" wrapText="1"/>
    </xf>
    <xf numFmtId="0" fontId="79" fillId="0" borderId="137" xfId="0" applyNumberFormat="1" applyFont="1" applyFill="1" applyBorder="1" applyAlignment="1" applyProtection="1">
      <alignment horizontal="left" vertical="top" wrapText="1"/>
    </xf>
    <xf numFmtId="0" fontId="121" fillId="25" borderId="153" xfId="0" applyFont="1" applyFill="1" applyBorder="1" applyAlignment="1" applyProtection="1">
      <alignment horizontal="center" vertical="center"/>
    </xf>
    <xf numFmtId="0" fontId="121"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21" fillId="25" borderId="156" xfId="0" applyFont="1" applyFill="1" applyBorder="1" applyAlignment="1" applyProtection="1">
      <alignment horizontal="center" vertical="center"/>
    </xf>
    <xf numFmtId="0" fontId="121" fillId="25" borderId="157" xfId="0" applyFont="1" applyFill="1" applyBorder="1" applyAlignment="1" applyProtection="1">
      <alignment horizontal="center" vertical="center"/>
    </xf>
    <xf numFmtId="0" fontId="121" fillId="25" borderId="158" xfId="0" applyFont="1" applyFill="1" applyBorder="1" applyAlignment="1" applyProtection="1">
      <alignment horizontal="center" vertical="center"/>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79" fillId="0" borderId="164" xfId="0" applyNumberFormat="1" applyFont="1" applyFill="1" applyBorder="1" applyAlignment="1" applyProtection="1">
      <alignment horizontal="left" vertical="top" wrapText="1"/>
    </xf>
    <xf numFmtId="0" fontId="79" fillId="0" borderId="165" xfId="0" applyNumberFormat="1" applyFont="1" applyFill="1" applyBorder="1" applyAlignment="1" applyProtection="1">
      <alignment horizontal="left" vertical="top" wrapText="1"/>
    </xf>
    <xf numFmtId="0" fontId="79" fillId="0" borderId="166" xfId="0" applyNumberFormat="1" applyFont="1" applyFill="1" applyBorder="1" applyAlignment="1" applyProtection="1">
      <alignment horizontal="left" vertical="top" wrapText="1"/>
    </xf>
    <xf numFmtId="0" fontId="79" fillId="0" borderId="167"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127" fillId="0" borderId="0" xfId="0" applyFont="1" applyBorder="1" applyAlignment="1" applyProtection="1">
      <alignment horizontal="center"/>
    </xf>
    <xf numFmtId="0" fontId="111" fillId="0" borderId="0" xfId="0" applyFont="1" applyBorder="1" applyAlignment="1" applyProtection="1">
      <alignment horizontal="center"/>
    </xf>
    <xf numFmtId="0" fontId="78" fillId="19" borderId="12" xfId="0" applyFont="1" applyFill="1" applyBorder="1" applyAlignment="1" applyProtection="1">
      <alignment horizontal="center" vertic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9" fillId="0" borderId="14" xfId="0" applyNumberFormat="1" applyFont="1" applyFill="1" applyBorder="1" applyAlignment="1" applyProtection="1">
      <alignment horizontal="left" vertical="top" wrapText="1"/>
    </xf>
    <xf numFmtId="0" fontId="79" fillId="0" borderId="144" xfId="0" applyNumberFormat="1" applyFont="1" applyFill="1" applyBorder="1" applyAlignment="1" applyProtection="1">
      <alignment horizontal="left" vertical="top" wrapText="1"/>
    </xf>
    <xf numFmtId="0" fontId="79" fillId="0" borderId="145" xfId="0" applyNumberFormat="1" applyFont="1" applyFill="1" applyBorder="1" applyAlignment="1" applyProtection="1">
      <alignment horizontal="left" vertical="top" wrapText="1"/>
    </xf>
    <xf numFmtId="0" fontId="79" fillId="0" borderId="146" xfId="0" applyNumberFormat="1" applyFont="1" applyFill="1" applyBorder="1" applyAlignment="1" applyProtection="1">
      <alignment horizontal="left" vertical="top" wrapText="1"/>
    </xf>
    <xf numFmtId="0" fontId="79"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7" fillId="0" borderId="0" xfId="0" applyFont="1" applyFill="1" applyBorder="1" applyAlignment="1" applyProtection="1">
      <alignment horizontal="center"/>
    </xf>
    <xf numFmtId="0" fontId="77"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7"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2" fillId="0" borderId="159" xfId="61" applyNumberFormat="1" applyFont="1" applyFill="1" applyBorder="1" applyAlignment="1" applyProtection="1">
      <alignment horizontal="left" vertical="center" wrapText="1"/>
    </xf>
    <xf numFmtId="0" fontId="79" fillId="0" borderId="178" xfId="0" applyNumberFormat="1" applyFont="1" applyFill="1" applyBorder="1" applyAlignment="1" applyProtection="1">
      <alignment horizontal="left" vertical="top" wrapText="1"/>
    </xf>
    <xf numFmtId="0" fontId="79" fillId="0" borderId="179" xfId="0" applyNumberFormat="1" applyFont="1" applyFill="1" applyBorder="1" applyAlignment="1" applyProtection="1">
      <alignment horizontal="left" vertical="top" wrapText="1"/>
    </xf>
    <xf numFmtId="0" fontId="79" fillId="0" borderId="180" xfId="0" applyNumberFormat="1" applyFont="1" applyFill="1" applyBorder="1" applyAlignment="1" applyProtection="1">
      <alignment horizontal="left" vertical="top"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0" fontId="79" fillId="0" borderId="187" xfId="0" applyNumberFormat="1" applyFont="1" applyFill="1" applyBorder="1" applyAlignment="1" applyProtection="1">
      <alignment horizontal="left" vertical="center" wrapText="1"/>
    </xf>
    <xf numFmtId="0" fontId="79" fillId="0" borderId="188" xfId="0" applyNumberFormat="1" applyFont="1" applyFill="1" applyBorder="1" applyAlignment="1" applyProtection="1">
      <alignment horizontal="left" vertical="center" wrapText="1"/>
    </xf>
    <xf numFmtId="0" fontId="79" fillId="0" borderId="189" xfId="0" applyNumberFormat="1" applyFont="1" applyFill="1" applyBorder="1" applyAlignment="1" applyProtection="1">
      <alignment horizontal="left" vertical="center" wrapText="1"/>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6" fillId="21" borderId="206" xfId="52" applyNumberFormat="1" applyFont="1" applyFill="1" applyBorder="1" applyAlignment="1">
      <alignment horizontal="center" vertical="center" wrapText="1"/>
    </xf>
    <xf numFmtId="0" fontId="76" fillId="21" borderId="13" xfId="52" applyNumberFormat="1" applyFont="1" applyFill="1" applyBorder="1" applyAlignment="1">
      <alignment horizontal="center" vertical="center" wrapText="1"/>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14" fontId="21" fillId="0" borderId="207" xfId="0" applyNumberFormat="1" applyFont="1" applyFill="1" applyBorder="1" applyAlignment="1" applyProtection="1">
      <alignment horizontal="left"/>
      <protection locked="0"/>
    </xf>
    <xf numFmtId="14" fontId="21" fillId="0" borderId="34" xfId="0" applyNumberFormat="1" applyFont="1" applyFill="1" applyBorder="1" applyAlignment="1" applyProtection="1">
      <alignment horizontal="left"/>
      <protection locked="0"/>
    </xf>
    <xf numFmtId="0" fontId="98" fillId="21" borderId="210" xfId="0" applyFont="1" applyFill="1" applyBorder="1" applyAlignment="1">
      <alignment horizontal="center" vertical="center" textRotation="90" wrapText="1"/>
    </xf>
    <xf numFmtId="0" fontId="98" fillId="21" borderId="211" xfId="0" applyFont="1" applyFill="1" applyBorder="1" applyAlignment="1">
      <alignment horizontal="center" vertical="center" textRotation="90" wrapText="1"/>
    </xf>
    <xf numFmtId="0" fontId="98" fillId="21" borderId="212" xfId="0" applyFont="1" applyFill="1" applyBorder="1" applyAlignment="1">
      <alignment horizontal="center" vertical="center" textRotation="90" wrapText="1"/>
    </xf>
    <xf numFmtId="0" fontId="76" fillId="21" borderId="213" xfId="52" applyNumberFormat="1" applyFont="1" applyFill="1" applyBorder="1" applyAlignment="1">
      <alignment horizontal="center" vertical="center" wrapText="1"/>
    </xf>
    <xf numFmtId="0" fontId="76" fillId="21" borderId="214" xfId="52" applyNumberFormat="1" applyFont="1" applyFill="1" applyBorder="1" applyAlignment="1">
      <alignment horizontal="center" vertical="center" wrapText="1"/>
    </xf>
    <xf numFmtId="0" fontId="76" fillId="21" borderId="215" xfId="52" applyNumberFormat="1" applyFont="1" applyFill="1" applyBorder="1" applyAlignment="1">
      <alignment horizontal="center" vertical="center" wrapText="1"/>
    </xf>
    <xf numFmtId="0" fontId="76" fillId="21" borderId="217" xfId="52" applyNumberFormat="1" applyFont="1" applyFill="1" applyBorder="1" applyAlignment="1">
      <alignment horizontal="center" vertical="center" wrapText="1"/>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8"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25" xfId="0" applyFont="1" applyBorder="1" applyAlignment="1" applyProtection="1">
      <alignment horizontal="left"/>
      <protection locked="0"/>
    </xf>
    <xf numFmtId="0" fontId="21" fillId="0" borderId="34" xfId="0" applyFont="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164" fontId="15" fillId="33" borderId="0" xfId="58" applyFont="1" applyFill="1" applyBorder="1" applyAlignment="1" applyProtection="1">
      <alignment horizontal="center"/>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15" fontId="28" fillId="0" borderId="0" xfId="0" applyNumberFormat="1" applyFont="1" applyAlignment="1">
      <alignment horizontal="right"/>
    </xf>
    <xf numFmtId="0" fontId="127" fillId="0" borderId="0" xfId="0" applyFont="1" applyAlignment="1">
      <alignment horizontal="center"/>
    </xf>
    <xf numFmtId="0" fontId="111" fillId="0" borderId="0" xfId="0" applyFont="1" applyAlignment="1">
      <alignment horizontal="center"/>
    </xf>
    <xf numFmtId="164" fontId="28" fillId="0" borderId="0" xfId="0" applyNumberFormat="1" applyFont="1" applyAlignment="1">
      <alignment horizontal="left"/>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6" fillId="21" borderId="190" xfId="52" applyNumberFormat="1" applyFont="1" applyFill="1" applyBorder="1" applyAlignment="1">
      <alignment horizontal="center" vertical="center" wrapText="1"/>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76" fillId="21" borderId="229"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cellXfs>
  <cellStyles count="174">
    <cellStyle name="???????????" xfId="92"/>
    <cellStyle name="????????????? ???????????" xfId="93"/>
    <cellStyle name="_TB_Calc_number" xfId="69"/>
    <cellStyle name="_TB_Calc_percent" xfId="70"/>
    <cellStyle name="_TB_def_number" xfId="71"/>
    <cellStyle name="_TB_def_percent" xfId="72"/>
    <cellStyle name="_TB_results1" xfId="89"/>
    <cellStyle name="_TB_subtitle2" xfId="73"/>
    <cellStyle name="_TB_textunprotect" xfId="90"/>
    <cellStyle name="_TB_years" xfId="91"/>
    <cellStyle name="20% - Accent1" xfId="1"/>
    <cellStyle name="20% - Accent2" xfId="2"/>
    <cellStyle name="20% - Accent3" xfId="3"/>
    <cellStyle name="20% - Accent4" xfId="4"/>
    <cellStyle name="20% - Accent5" xfId="5"/>
    <cellStyle name="20% - Accent6" xfId="6"/>
    <cellStyle name="20% - Акцент1 2" xfId="94"/>
    <cellStyle name="20% - Акцент2 2" xfId="95"/>
    <cellStyle name="20% - Акцент3 2" xfId="96"/>
    <cellStyle name="20% - Акцент4 2" xfId="97"/>
    <cellStyle name="20% - Акцент5 2" xfId="98"/>
    <cellStyle name="20% - Акцент6 2" xfId="99"/>
    <cellStyle name="40% - Accent1" xfId="7"/>
    <cellStyle name="40% - Accent2" xfId="8"/>
    <cellStyle name="40% - Accent3" xfId="9"/>
    <cellStyle name="40% - Accent4" xfId="10"/>
    <cellStyle name="40% - Accent5" xfId="11"/>
    <cellStyle name="40% - Accent6" xfId="12"/>
    <cellStyle name="40% - Акцент1 2" xfId="100"/>
    <cellStyle name="40% - Акцент2 2" xfId="101"/>
    <cellStyle name="40% - Акцент3 2" xfId="102"/>
    <cellStyle name="40% - Акцент4 2" xfId="103"/>
    <cellStyle name="40% - Акцент5 2" xfId="104"/>
    <cellStyle name="40% - Акцент6 2" xfId="105"/>
    <cellStyle name="60% - Accent1" xfId="13"/>
    <cellStyle name="60% - Accent2" xfId="14"/>
    <cellStyle name="60% - Accent3" xfId="15"/>
    <cellStyle name="60% - Accent4" xfId="16"/>
    <cellStyle name="60% - Accent5" xfId="17"/>
    <cellStyle name="60% - Accent6" xfId="18"/>
    <cellStyle name="60% - Акцент1 2" xfId="106"/>
    <cellStyle name="60% - Акцент2 2" xfId="107"/>
    <cellStyle name="60% - Акцент3 2" xfId="108"/>
    <cellStyle name="60% - Акцент4 2" xfId="109"/>
    <cellStyle name="60% - Акцент5 2" xfId="110"/>
    <cellStyle name="60% - Акцент6 2" xfId="111"/>
    <cellStyle name="Accent1" xfId="19"/>
    <cellStyle name="Accent2" xfId="20"/>
    <cellStyle name="Accent3" xfId="21"/>
    <cellStyle name="Accent4" xfId="22"/>
    <cellStyle name="Accent5" xfId="23"/>
    <cellStyle name="Accent6" xfId="24"/>
    <cellStyle name="Activity" xfId="173"/>
    <cellStyle name="Ãèïåðññûëêà" xfId="112"/>
    <cellStyle name="Bad" xfId="25"/>
    <cellStyle name="Calculation" xfId="26"/>
    <cellStyle name="Check Cell" xfId="27"/>
    <cellStyle name="Comma 2" xfId="82"/>
    <cellStyle name="Comma 2 2" xfId="68"/>
    <cellStyle name="Comma 2 3" xfId="85"/>
    <cellStyle name="Comma 3" xfId="87"/>
    <cellStyle name="Comma 4" xfId="113"/>
    <cellStyle name="Comma 5" xfId="114"/>
    <cellStyle name="Euro" xfId="28"/>
    <cellStyle name="Euro 2" xfId="115"/>
    <cellStyle name="Explanatory Text" xfId="29"/>
    <cellStyle name="Good" xfId="30"/>
    <cellStyle name="Heading 1" xfId="31"/>
    <cellStyle name="Heading 2" xfId="32"/>
    <cellStyle name="Heading 3" xfId="33"/>
    <cellStyle name="Heading 4" xfId="34"/>
    <cellStyle name="Hyperlink 2" xfId="74"/>
    <cellStyle name="Hyperlink 3" xfId="116"/>
    <cellStyle name="info" xfId="117"/>
    <cellStyle name="Input" xfId="35"/>
    <cellStyle name="Îòêðûâàâøàÿñÿ ãèïåðññûëêà" xfId="118"/>
    <cellStyle name="Linked Cell" xfId="36"/>
    <cellStyle name="ListData" xfId="119"/>
    <cellStyle name="Millares 2" xfId="37"/>
    <cellStyle name="Normal 10" xfId="120"/>
    <cellStyle name="Normal 11" xfId="121"/>
    <cellStyle name="Normal 12" xfId="172"/>
    <cellStyle name="Normal 2" xfId="38"/>
    <cellStyle name="Normal 2 2" xfId="39"/>
    <cellStyle name="Normal 2 2 2" xfId="84"/>
    <cellStyle name="Normal 2 3" xfId="40"/>
    <cellStyle name="Normal 2 4" xfId="41"/>
    <cellStyle name="Normal 2 5" xfId="42"/>
    <cellStyle name="Normal 2 6" xfId="43"/>
    <cellStyle name="Normal 2 7" xfId="44"/>
    <cellStyle name="Normal 2 8" xfId="45"/>
    <cellStyle name="Normal 2 9" xfId="65"/>
    <cellStyle name="Normal 2_Dashboard ver 2.2 ES" xfId="46"/>
    <cellStyle name="Normal 2_Prototipo" xfId="47"/>
    <cellStyle name="Normal 3" xfId="48"/>
    <cellStyle name="Normal 3 2" xfId="75"/>
    <cellStyle name="Normal 4" xfId="49"/>
    <cellStyle name="Normal 4 2" xfId="76"/>
    <cellStyle name="Normal 5" xfId="50"/>
    <cellStyle name="Normal 5 2" xfId="78"/>
    <cellStyle name="Normal 5 3" xfId="77"/>
    <cellStyle name="Normal 6" xfId="51"/>
    <cellStyle name="Normal 6 2" xfId="79"/>
    <cellStyle name="Normal 7" xfId="64"/>
    <cellStyle name="Normal 7 2" xfId="122"/>
    <cellStyle name="Normal 8" xfId="123"/>
    <cellStyle name="Normal 8 2" xfId="124"/>
    <cellStyle name="Normal 9" xfId="125"/>
    <cellStyle name="Normal_TZ_R3HIV_Phase_2_21_August_08" xfId="52"/>
    <cellStyle name="Note" xfId="53"/>
    <cellStyle name="Output" xfId="54"/>
    <cellStyle name="Percent 2" xfId="66"/>
    <cellStyle name="Percent 3" xfId="67"/>
    <cellStyle name="Percent 4" xfId="88"/>
    <cellStyle name="Percent 5" xfId="126"/>
    <cellStyle name="Percent 6" xfId="127"/>
    <cellStyle name="Percent 7" xfId="128"/>
    <cellStyle name="Percent 8" xfId="129"/>
    <cellStyle name="SheetHeader" xfId="130"/>
    <cellStyle name="TableHeader" xfId="131"/>
    <cellStyle name="Title" xfId="55"/>
    <cellStyle name="Título 3 3" xfId="56"/>
    <cellStyle name="Título 3 3_Prototipo" xfId="57"/>
    <cellStyle name="Título 3 3_PrototipoRep1" xfId="58"/>
    <cellStyle name="Título 3 7" xfId="59"/>
    <cellStyle name="Warning Text" xfId="60"/>
    <cellStyle name="Акцент1 2" xfId="132"/>
    <cellStyle name="Акцент2 2" xfId="133"/>
    <cellStyle name="Акцент3 2" xfId="134"/>
    <cellStyle name="Акцент4 2" xfId="135"/>
    <cellStyle name="Акцент5 2" xfId="136"/>
    <cellStyle name="Акцент6 2" xfId="137"/>
    <cellStyle name="Ввод  2" xfId="138"/>
    <cellStyle name="Вывод 2" xfId="139"/>
    <cellStyle name="Вычисление 2" xfId="140"/>
    <cellStyle name="Гиперссылка 2" xfId="141"/>
    <cellStyle name="Гиперссылка 3" xfId="142"/>
    <cellStyle name="Заголовок 1 2" xfId="143"/>
    <cellStyle name="Заголовок 2 2" xfId="144"/>
    <cellStyle name="Заголовок 3 2" xfId="145"/>
    <cellStyle name="Заголовок 4 2" xfId="146"/>
    <cellStyle name="Итог 2" xfId="147"/>
    <cellStyle name="Контрольная ячейка 2" xfId="148"/>
    <cellStyle name="Название 2" xfId="149"/>
    <cellStyle name="Нейтральный 2" xfId="150"/>
    <cellStyle name="Обычный" xfId="0" builtinId="0"/>
    <cellStyle name="Обычный 2" xfId="80"/>
    <cellStyle name="Обычный 2 2" xfId="151"/>
    <cellStyle name="Обычный 2 3" xfId="152"/>
    <cellStyle name="Обычный 3" xfId="81"/>
    <cellStyle name="Обычный 4" xfId="153"/>
    <cellStyle name="Обычный 4 2" xfId="154"/>
    <cellStyle name="Обычный 4_KGZ Rnd 7 budget HIV" xfId="155"/>
    <cellStyle name="Обычный 5" xfId="156"/>
    <cellStyle name="Обычный 6" xfId="157"/>
    <cellStyle name="Обычный 7" xfId="63"/>
    <cellStyle name="Плохой 2" xfId="158"/>
    <cellStyle name="Пояснение 2" xfId="159"/>
    <cellStyle name="Примечание 2" xfId="160"/>
    <cellStyle name="Процентный" xfId="61" builtinId="5"/>
    <cellStyle name="Процентный 2" xfId="161"/>
    <cellStyle name="Процентный 3" xfId="83"/>
    <cellStyle name="Связанная ячейка 2" xfId="162"/>
    <cellStyle name="Текст предупреждения 2" xfId="163"/>
    <cellStyle name="Финансовый" xfId="62" builtinId="3"/>
    <cellStyle name="Финансовый 2" xfId="164"/>
    <cellStyle name="Финансовый 2 2" xfId="165"/>
    <cellStyle name="Финансовый 3" xfId="166"/>
    <cellStyle name="Финансовый 4" xfId="167"/>
    <cellStyle name="Финансовый 5" xfId="168"/>
    <cellStyle name="Финансовый 6" xfId="169"/>
    <cellStyle name="Финансовый 7" xfId="86"/>
    <cellStyle name="Хороший 2" xfId="171"/>
    <cellStyle name="Хороший 3" xfId="170"/>
  </cellStyles>
  <dxfs count="10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xmlMaps" Target="xmlMap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2675489.2999999998</c:v>
                </c:pt>
                <c:pt idx="1">
                  <c:v>14534177.495320581</c:v>
                </c:pt>
                <c:pt idx="2">
                  <c:v>20832314.79699133</c:v>
                </c:pt>
              </c:numCache>
            </c:numRef>
          </c:val>
          <c:extLst xmlns:c16r2="http://schemas.microsoft.com/office/drawing/2015/06/char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9988796</c:v>
                </c:pt>
                <c:pt idx="1">
                  <c:v>16926007</c:v>
                </c:pt>
                <c:pt idx="2">
                  <c:v>20590367</c:v>
                </c:pt>
              </c:numCache>
            </c:numRef>
          </c:val>
          <c:extLst xmlns:c16r2="http://schemas.microsoft.com/office/drawing/2015/06/char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580792880"/>
        <c:axId val="-580790704"/>
      </c:barChart>
      <c:catAx>
        <c:axId val="-5807928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580790704"/>
        <c:crosses val="autoZero"/>
        <c:auto val="1"/>
        <c:lblAlgn val="ctr"/>
        <c:lblOffset val="100"/>
        <c:tickLblSkip val="1"/>
        <c:tickMarkSkip val="1"/>
        <c:noMultiLvlLbl val="0"/>
      </c:catAx>
      <c:valAx>
        <c:axId val="-5807907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5807928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с известным ВИЧ статусом, получающих антиретровирусную терапию на данный момент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данных'!$G$153:$I$153</c:f>
              <c:numCache>
                <c:formatCode>#,##0</c:formatCode>
                <c:ptCount val="3"/>
                <c:pt idx="0">
                  <c:v>2700</c:v>
                </c:pt>
                <c:pt idx="1">
                  <c:v>3100</c:v>
                </c:pt>
                <c:pt idx="2">
                  <c:v>3478</c:v>
                </c:pt>
              </c:numCache>
            </c:numRef>
          </c:val>
          <c:extLst xmlns:c16r2="http://schemas.microsoft.com/office/drawing/2015/06/chart">
            <c:ext xmlns:c16="http://schemas.microsoft.com/office/drawing/2014/chart" uri="{C3380CC4-5D6E-409C-BE32-E72D297353CC}">
              <c16:uniqueId val="{00000000-9E25-406D-8890-99728E61850A}"/>
            </c:ext>
          </c:extLst>
        </c:ser>
        <c:ser>
          <c:idx val="1"/>
          <c:order val="1"/>
          <c:tx>
            <c:strRef>
              <c:f>'Ввод данных'!$F$154</c:f>
              <c:strCache>
                <c:ptCount val="1"/>
                <c:pt idx="0">
                  <c:v>Достигнуто на 102%</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данных'!$G$154:$I$154</c:f>
              <c:numCache>
                <c:formatCode>#,##0</c:formatCode>
                <c:ptCount val="3"/>
                <c:pt idx="0">
                  <c:v>2668</c:v>
                </c:pt>
                <c:pt idx="1">
                  <c:v>2995</c:v>
                </c:pt>
                <c:pt idx="2">
                  <c:v>3237</c:v>
                </c:pt>
              </c:numCache>
            </c:numRef>
          </c:val>
          <c:extLst xmlns:c16r2="http://schemas.microsoft.com/office/drawing/2015/06/chart">
            <c:ext xmlns:c16="http://schemas.microsoft.com/office/drawing/2014/chart" uri="{C3380CC4-5D6E-409C-BE32-E72D297353CC}">
              <c16:uniqueId val="{00000001-9E25-406D-8890-99728E61850A}"/>
            </c:ext>
          </c:extLst>
        </c:ser>
        <c:dLbls>
          <c:showLegendKey val="0"/>
          <c:showVal val="1"/>
          <c:showCatName val="0"/>
          <c:showSerName val="0"/>
          <c:showPercent val="0"/>
          <c:showBubbleSize val="0"/>
        </c:dLbls>
        <c:gapWidth val="150"/>
        <c:overlap val="-25"/>
        <c:axId val="-352528624"/>
        <c:axId val="-352532976"/>
      </c:barChart>
      <c:catAx>
        <c:axId val="-352528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32976"/>
        <c:crosses val="autoZero"/>
        <c:auto val="1"/>
        <c:lblAlgn val="ctr"/>
        <c:lblOffset val="100"/>
        <c:noMultiLvlLbl val="0"/>
      </c:catAx>
      <c:valAx>
        <c:axId val="-352532976"/>
        <c:scaling>
          <c:orientation val="minMax"/>
        </c:scaling>
        <c:delete val="1"/>
        <c:axPos val="l"/>
        <c:numFmt formatCode="#,##0" sourceLinked="1"/>
        <c:majorTickMark val="none"/>
        <c:minorTickMark val="none"/>
        <c:tickLblPos val="nextTo"/>
        <c:crossAx val="-35252862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Количество ЛЖВ, находящихся на попечении общинных организаций и участвующих в программах поддержки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данных'!$F$155</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данных'!$G$155:$I$155</c:f>
              <c:numCache>
                <c:formatCode>#,##0</c:formatCode>
                <c:ptCount val="3"/>
                <c:pt idx="0">
                  <c:v>1410</c:v>
                </c:pt>
                <c:pt idx="1">
                  <c:v>1480</c:v>
                </c:pt>
                <c:pt idx="2">
                  <c:v>1616</c:v>
                </c:pt>
              </c:numCache>
            </c:numRef>
          </c:val>
          <c:extLst xmlns:c16r2="http://schemas.microsoft.com/office/drawing/2015/06/chart">
            <c:ext xmlns:c16="http://schemas.microsoft.com/office/drawing/2014/chart" uri="{C3380CC4-5D6E-409C-BE32-E72D297353CC}">
              <c16:uniqueId val="{00000000-8E36-4759-95E6-C1FD3F67DC3B}"/>
            </c:ext>
          </c:extLst>
        </c:ser>
        <c:ser>
          <c:idx val="1"/>
          <c:order val="1"/>
          <c:tx>
            <c:strRef>
              <c:f>'Ввод данных'!$F$156</c:f>
              <c:strCache>
                <c:ptCount val="1"/>
                <c:pt idx="0">
                  <c:v>Достигнуто на 120%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данных'!$G$156:$I$156</c:f>
              <c:numCache>
                <c:formatCode>#,##0</c:formatCode>
                <c:ptCount val="3"/>
                <c:pt idx="0">
                  <c:v>2514</c:v>
                </c:pt>
                <c:pt idx="1">
                  <c:v>2851</c:v>
                </c:pt>
                <c:pt idx="2">
                  <c:v>3117</c:v>
                </c:pt>
              </c:numCache>
            </c:numRef>
          </c:val>
          <c:extLst xmlns:c16r2="http://schemas.microsoft.com/office/drawing/2015/06/chart">
            <c:ext xmlns:c16="http://schemas.microsoft.com/office/drawing/2014/chart" uri="{C3380CC4-5D6E-409C-BE32-E72D297353CC}">
              <c16:uniqueId val="{00000001-8E36-4759-95E6-C1FD3F67DC3B}"/>
            </c:ext>
          </c:extLst>
        </c:ser>
        <c:dLbls>
          <c:showLegendKey val="0"/>
          <c:showVal val="1"/>
          <c:showCatName val="0"/>
          <c:showSerName val="0"/>
          <c:showPercent val="0"/>
          <c:showBubbleSize val="0"/>
        </c:dLbls>
        <c:gapWidth val="150"/>
        <c:overlap val="-25"/>
        <c:axId val="-352531344"/>
        <c:axId val="-352530800"/>
      </c:barChart>
      <c:catAx>
        <c:axId val="-352531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30800"/>
        <c:crosses val="autoZero"/>
        <c:auto val="1"/>
        <c:lblAlgn val="ctr"/>
        <c:lblOffset val="100"/>
        <c:noMultiLvlLbl val="0"/>
      </c:catAx>
      <c:valAx>
        <c:axId val="-352530800"/>
        <c:scaling>
          <c:orientation val="minMax"/>
        </c:scaling>
        <c:delete val="1"/>
        <c:axPos val="l"/>
        <c:numFmt formatCode="#,##0" sourceLinked="1"/>
        <c:majorTickMark val="none"/>
        <c:minorTickMark val="none"/>
        <c:tickLblPos val="nextTo"/>
        <c:crossAx val="-3525313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устойчивыми формами туберкулеза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данных'!$F$205</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данных'!$G$205:$I$205</c:f>
              <c:numCache>
                <c:formatCode>#,##0</c:formatCode>
                <c:ptCount val="3"/>
                <c:pt idx="0">
                  <c:v>1939</c:v>
                </c:pt>
                <c:pt idx="1">
                  <c:v>2254</c:v>
                </c:pt>
                <c:pt idx="2">
                  <c:v>2413</c:v>
                </c:pt>
              </c:numCache>
            </c:numRef>
          </c:val>
          <c:extLst xmlns:c16r2="http://schemas.microsoft.com/office/drawing/2015/06/chart">
            <c:ext xmlns:c16="http://schemas.microsoft.com/office/drawing/2014/chart" uri="{C3380CC4-5D6E-409C-BE32-E72D297353CC}">
              <c16:uniqueId val="{00000000-3B9B-49FD-BF6F-70EC39C3254D}"/>
            </c:ext>
          </c:extLst>
        </c:ser>
        <c:ser>
          <c:idx val="1"/>
          <c:order val="1"/>
          <c:tx>
            <c:strRef>
              <c:f>'Ввод данных'!$F$206</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данных'!$G$206:$I$206</c:f>
              <c:numCache>
                <c:formatCode>#,##0</c:formatCode>
                <c:ptCount val="3"/>
                <c:pt idx="0">
                  <c:v>1476</c:v>
                </c:pt>
                <c:pt idx="1">
                  <c:v>1689</c:v>
                </c:pt>
                <c:pt idx="2">
                  <c:v>1684</c:v>
                </c:pt>
              </c:numCache>
            </c:numRef>
          </c:val>
          <c:extLst xmlns:c16r2="http://schemas.microsoft.com/office/drawing/2015/06/char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352526992"/>
        <c:axId val="-352525360"/>
      </c:barChart>
      <c:catAx>
        <c:axId val="-35252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25360"/>
        <c:crosses val="autoZero"/>
        <c:auto val="1"/>
        <c:lblAlgn val="ctr"/>
        <c:lblOffset val="100"/>
        <c:noMultiLvlLbl val="0"/>
      </c:catAx>
      <c:valAx>
        <c:axId val="-352525360"/>
        <c:scaling>
          <c:orientation val="minMax"/>
        </c:scaling>
        <c:delete val="1"/>
        <c:axPos val="l"/>
        <c:numFmt formatCode="#,##0" sourceLinked="1"/>
        <c:majorTickMark val="none"/>
        <c:minorTickMark val="none"/>
        <c:tickLblPos val="nextTo"/>
        <c:crossAx val="-35252699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чувствительной формой ТБ и ПЛУ(ПТП 1 ряда)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данных'!$G$207:$I$207</c:f>
              <c:numCache>
                <c:formatCode>#,##0</c:formatCode>
                <c:ptCount val="3"/>
                <c:pt idx="0">
                  <c:v>1677</c:v>
                </c:pt>
                <c:pt idx="1">
                  <c:v>1677</c:v>
                </c:pt>
                <c:pt idx="2">
                  <c:v>1677</c:v>
                </c:pt>
              </c:numCache>
            </c:numRef>
          </c:val>
          <c:extLst xmlns:c16r2="http://schemas.microsoft.com/office/drawing/2015/06/chart">
            <c:ext xmlns:c16="http://schemas.microsoft.com/office/drawing/2014/chart" uri="{C3380CC4-5D6E-409C-BE32-E72D297353CC}">
              <c16:uniqueId val="{00000000-0FA3-483E-9E00-1641FC511067}"/>
            </c:ext>
          </c:extLst>
        </c:ser>
        <c:ser>
          <c:idx val="1"/>
          <c:order val="1"/>
          <c:tx>
            <c:strRef>
              <c:f>'Ввод данных'!$F$208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данных'!$G$208:$I$208</c:f>
              <c:numCache>
                <c:formatCode>#,##0</c:formatCode>
                <c:ptCount val="3"/>
                <c:pt idx="0">
                  <c:v>1628</c:v>
                </c:pt>
                <c:pt idx="1">
                  <c:v>2087</c:v>
                </c:pt>
                <c:pt idx="2">
                  <c:v>2034</c:v>
                </c:pt>
              </c:numCache>
            </c:numRef>
          </c:val>
          <c:extLst xmlns:c16r2="http://schemas.microsoft.com/office/drawing/2015/06/chart">
            <c:ext xmlns:c16="http://schemas.microsoft.com/office/drawing/2014/chart" uri="{C3380CC4-5D6E-409C-BE32-E72D297353CC}">
              <c16:uniqueId val="{00000001-0FA3-483E-9E00-1641FC511067}"/>
            </c:ext>
          </c:extLst>
        </c:ser>
        <c:dLbls>
          <c:showLegendKey val="0"/>
          <c:showVal val="1"/>
          <c:showCatName val="0"/>
          <c:showSerName val="0"/>
          <c:showPercent val="0"/>
          <c:showBubbleSize val="0"/>
        </c:dLbls>
        <c:gapWidth val="150"/>
        <c:overlap val="-25"/>
        <c:axId val="-351490192"/>
        <c:axId val="-351487472"/>
      </c:barChart>
      <c:catAx>
        <c:axId val="-35149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1487472"/>
        <c:crosses val="autoZero"/>
        <c:auto val="1"/>
        <c:lblAlgn val="ctr"/>
        <c:lblOffset val="100"/>
        <c:noMultiLvlLbl val="0"/>
      </c:catAx>
      <c:valAx>
        <c:axId val="-351487472"/>
        <c:scaling>
          <c:orientation val="minMax"/>
        </c:scaling>
        <c:delete val="1"/>
        <c:axPos val="l"/>
        <c:numFmt formatCode="#,##0" sourceLinked="1"/>
        <c:majorTickMark val="none"/>
        <c:minorTickMark val="none"/>
        <c:tickLblPos val="nextTo"/>
        <c:crossAx val="-35149019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MDR TB-1: </a:t>
            </a:r>
            <a:r>
              <a:rPr lang="ru-RU" sz="1000"/>
              <a:t>Процент ранее излеченных ТБ пациентов, прошедших ТЛЧ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данных'!$F$209</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данных'!$G$209:$I$209</c:f>
              <c:numCache>
                <c:formatCode>0%</c:formatCode>
                <c:ptCount val="3"/>
                <c:pt idx="0">
                  <c:v>0.85</c:v>
                </c:pt>
                <c:pt idx="1">
                  <c:v>0.9</c:v>
                </c:pt>
                <c:pt idx="2">
                  <c:v>0.95</c:v>
                </c:pt>
              </c:numCache>
            </c:numRef>
          </c:val>
          <c:extLst xmlns:c16r2="http://schemas.microsoft.com/office/drawing/2015/06/chart">
            <c:ext xmlns:c16="http://schemas.microsoft.com/office/drawing/2014/chart" uri="{C3380CC4-5D6E-409C-BE32-E72D297353CC}">
              <c16:uniqueId val="{00000000-C5F8-4F29-8519-CACFFDA40A9D}"/>
            </c:ext>
          </c:extLst>
        </c:ser>
        <c:ser>
          <c:idx val="1"/>
          <c:order val="1"/>
          <c:tx>
            <c:strRef>
              <c:f>'Ввод данных'!$F$210</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данных'!$G$210:$I$210</c:f>
              <c:numCache>
                <c:formatCode>0%</c:formatCode>
                <c:ptCount val="3"/>
                <c:pt idx="0">
                  <c:v>0.96</c:v>
                </c:pt>
                <c:pt idx="1">
                  <c:v>0.95</c:v>
                </c:pt>
                <c:pt idx="2">
                  <c:v>0.96</c:v>
                </c:pt>
              </c:numCache>
            </c:numRef>
          </c:val>
          <c:extLst xmlns:c16r2="http://schemas.microsoft.com/office/drawing/2015/06/chart">
            <c:ext xmlns:c16="http://schemas.microsoft.com/office/drawing/2014/chart" uri="{C3380CC4-5D6E-409C-BE32-E72D297353CC}">
              <c16:uniqueId val="{00000001-C5F8-4F29-8519-CACFFDA40A9D}"/>
            </c:ext>
          </c:extLst>
        </c:ser>
        <c:dLbls>
          <c:showLegendKey val="0"/>
          <c:showVal val="1"/>
          <c:showCatName val="0"/>
          <c:showSerName val="0"/>
          <c:showPercent val="0"/>
          <c:showBubbleSize val="0"/>
        </c:dLbls>
        <c:gapWidth val="150"/>
        <c:overlap val="-25"/>
        <c:axId val="-351479312"/>
        <c:axId val="-351486928"/>
      </c:barChart>
      <c:catAx>
        <c:axId val="-351479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1486928"/>
        <c:crosses val="autoZero"/>
        <c:auto val="1"/>
        <c:lblAlgn val="ctr"/>
        <c:lblOffset val="100"/>
        <c:noMultiLvlLbl val="0"/>
      </c:catAx>
      <c:valAx>
        <c:axId val="-351486928"/>
        <c:scaling>
          <c:orientation val="minMax"/>
        </c:scaling>
        <c:delete val="1"/>
        <c:axPos val="l"/>
        <c:numFmt formatCode="0%" sourceLinked="1"/>
        <c:majorTickMark val="none"/>
        <c:minorTickMark val="none"/>
        <c:tickLblPos val="nextTo"/>
        <c:crossAx val="-3514793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2675489.2999999998</c:v>
                </c:pt>
                <c:pt idx="1">
                  <c:v>14534177.495320581</c:v>
                </c:pt>
                <c:pt idx="2">
                  <c:v>20832314.79699133</c:v>
                </c:pt>
              </c:numCache>
            </c:numRef>
          </c:val>
          <c:extLst xmlns:c16r2="http://schemas.microsoft.com/office/drawing/2015/06/char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9988796</c:v>
                </c:pt>
                <c:pt idx="1">
                  <c:v>16926007</c:v>
                </c:pt>
                <c:pt idx="2">
                  <c:v>20590367</c:v>
                </c:pt>
              </c:numCache>
            </c:numRef>
          </c:val>
          <c:extLst xmlns:c16r2="http://schemas.microsoft.com/office/drawing/2015/06/char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351485840"/>
        <c:axId val="-351488016"/>
      </c:areaChart>
      <c:catAx>
        <c:axId val="-351485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351488016"/>
        <c:crosses val="autoZero"/>
        <c:auto val="1"/>
        <c:lblAlgn val="ctr"/>
        <c:lblOffset val="100"/>
        <c:tickLblSkip val="8"/>
        <c:tickMarkSkip val="1"/>
        <c:noMultiLvlLbl val="0"/>
      </c:catAx>
      <c:valAx>
        <c:axId val="-35148801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3514858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данных'!$B$39:$B$55</c:f>
              <c:numCache>
                <c:formatCode>#,##0</c:formatCode>
                <c:ptCount val="17"/>
                <c:pt idx="0">
                  <c:v>5210216.2500138367</c:v>
                </c:pt>
                <c:pt idx="1">
                  <c:v>2549732.0889032576</c:v>
                </c:pt>
                <c:pt idx="2">
                  <c:v>661535.83883799997</c:v>
                </c:pt>
                <c:pt idx="3">
                  <c:v>390139.11644520424</c:v>
                </c:pt>
                <c:pt idx="4">
                  <c:v>103358.09423850001</c:v>
                </c:pt>
                <c:pt idx="5">
                  <c:v>2247492.5947846496</c:v>
                </c:pt>
                <c:pt idx="6">
                  <c:v>121456</c:v>
                </c:pt>
                <c:pt idx="7">
                  <c:v>248533.07495350001</c:v>
                </c:pt>
                <c:pt idx="8">
                  <c:v>606348.27250373084</c:v>
                </c:pt>
                <c:pt idx="9">
                  <c:v>36228.885999999999</c:v>
                </c:pt>
                <c:pt idx="10">
                  <c:v>8355654.37171805</c:v>
                </c:pt>
                <c:pt idx="11">
                  <c:v>159890.20859260001</c:v>
                </c:pt>
                <c:pt idx="12">
                  <c:v>141730</c:v>
                </c:pt>
              </c:numCache>
            </c:numRef>
          </c:val>
          <c:extLst xmlns:c16r2="http://schemas.microsoft.com/office/drawing/2015/06/char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данных'!$C$39:$C$55</c:f>
              <c:numCache>
                <c:formatCode>#,##0</c:formatCode>
                <c:ptCount val="17"/>
                <c:pt idx="0">
                  <c:v>4796904.0699999994</c:v>
                </c:pt>
                <c:pt idx="1">
                  <c:v>2254673.1388368011</c:v>
                </c:pt>
                <c:pt idx="2">
                  <c:v>651670.65</c:v>
                </c:pt>
                <c:pt idx="3">
                  <c:v>384539.68000000005</c:v>
                </c:pt>
                <c:pt idx="4">
                  <c:v>92217.329999999987</c:v>
                </c:pt>
                <c:pt idx="5">
                  <c:v>1920948.3699999999</c:v>
                </c:pt>
                <c:pt idx="6">
                  <c:v>103310.65</c:v>
                </c:pt>
                <c:pt idx="7">
                  <c:v>235905.63000000003</c:v>
                </c:pt>
                <c:pt idx="8">
                  <c:v>515023.57000000007</c:v>
                </c:pt>
                <c:pt idx="9">
                  <c:v>12499.159802554585</c:v>
                </c:pt>
                <c:pt idx="10">
                  <c:v>7227957.0099999998</c:v>
                </c:pt>
                <c:pt idx="11">
                  <c:v>161061.77000000002</c:v>
                </c:pt>
                <c:pt idx="12">
                  <c:v>115886.93999999999</c:v>
                </c:pt>
                <c:pt idx="13">
                  <c:v>0</c:v>
                </c:pt>
              </c:numCache>
            </c:numRef>
          </c:val>
          <c:extLst xmlns:c16r2="http://schemas.microsoft.com/office/drawing/2015/06/char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580780368"/>
        <c:axId val="-580784720"/>
      </c:barChart>
      <c:catAx>
        <c:axId val="-580780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580784720"/>
        <c:crosses val="autoZero"/>
        <c:auto val="1"/>
        <c:lblAlgn val="ctr"/>
        <c:lblOffset val="100"/>
        <c:tickMarkSkip val="1"/>
        <c:noMultiLvlLbl val="0"/>
      </c:catAx>
      <c:valAx>
        <c:axId val="-58078472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58078036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16926007</c:v>
                </c:pt>
                <c:pt idx="1">
                  <c:v>4149417.6699999995</c:v>
                </c:pt>
                <c:pt idx="2">
                  <c:v>3963444.1300000008</c:v>
                </c:pt>
                <c:pt idx="3">
                  <c:v>3199256.21</c:v>
                </c:pt>
              </c:numCache>
            </c:numRef>
          </c:val>
          <c:extLst xmlns:c16r2="http://schemas.microsoft.com/office/drawing/2015/06/char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3664360</c:v>
                </c:pt>
                <c:pt idx="1">
                  <c:v>8751447.1258886755</c:v>
                </c:pt>
                <c:pt idx="2">
                  <c:v>2592269.8100000005</c:v>
                </c:pt>
                <c:pt idx="3">
                  <c:v>3209176.3647909234</c:v>
                </c:pt>
              </c:numCache>
            </c:numRef>
          </c:val>
          <c:extLst xmlns:c16r2="http://schemas.microsoft.com/office/drawing/2015/06/char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352411584"/>
        <c:axId val="-352414848"/>
      </c:barChart>
      <c:catAx>
        <c:axId val="-352411584"/>
        <c:scaling>
          <c:orientation val="minMax"/>
        </c:scaling>
        <c:delete val="0"/>
        <c:axPos val="b"/>
        <c:numFmt formatCode="General" sourceLinked="1"/>
        <c:majorTickMark val="none"/>
        <c:minorTickMark val="none"/>
        <c:tickLblPos val="nextTo"/>
        <c:crossAx val="-352414848"/>
        <c:crosses val="autoZero"/>
        <c:auto val="1"/>
        <c:lblAlgn val="ctr"/>
        <c:lblOffset val="100"/>
        <c:noMultiLvlLbl val="0"/>
      </c:catAx>
      <c:valAx>
        <c:axId val="-352414848"/>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352411584"/>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данных'!$C$101:$C$105</c:f>
              <c:numCache>
                <c:formatCode>0</c:formatCode>
                <c:ptCount val="5"/>
                <c:pt idx="0" formatCode="General">
                  <c:v>0</c:v>
                </c:pt>
                <c:pt idx="1">
                  <c:v>0</c:v>
                </c:pt>
                <c:pt idx="2">
                  <c:v>40</c:v>
                </c:pt>
                <c:pt idx="4">
                  <c:v>10</c:v>
                </c:pt>
              </c:numCache>
            </c:numRef>
          </c:val>
          <c:extLst xmlns:c16r2="http://schemas.microsoft.com/office/drawing/2015/06/char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2-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данных'!$D$101:$D$105</c:f>
              <c:numCache>
                <c:formatCode>0</c:formatCode>
                <c:ptCount val="5"/>
                <c:pt idx="0" formatCode="General">
                  <c:v>0</c:v>
                </c:pt>
                <c:pt idx="1">
                  <c:v>0</c:v>
                </c:pt>
                <c:pt idx="2">
                  <c:v>2</c:v>
                </c:pt>
                <c:pt idx="3">
                  <c:v>0</c:v>
                </c:pt>
                <c:pt idx="4">
                  <c:v>0</c:v>
                </c:pt>
              </c:numCache>
            </c:numRef>
          </c:val>
          <c:extLst xmlns:c16r2="http://schemas.microsoft.com/office/drawing/2015/06/char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352416480"/>
        <c:axId val="-352417568"/>
      </c:barChart>
      <c:catAx>
        <c:axId val="-3524164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417568"/>
        <c:crosses val="autoZero"/>
        <c:auto val="1"/>
        <c:lblAlgn val="ctr"/>
        <c:lblOffset val="100"/>
        <c:noMultiLvlLbl val="0"/>
      </c:catAx>
      <c:valAx>
        <c:axId val="-3524175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416480"/>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'Ввод данных'!$A$113</c:f>
              <c:strCache>
                <c:ptCount val="1"/>
                <c:pt idx="0">
                  <c:v>Совокупный утвердженный бюджет*</c:v>
                </c:pt>
              </c:strCache>
            </c:strRef>
          </c:tx>
          <c:spPr>
            <a:ln w="28575" cap="rnd">
              <a:solidFill>
                <a:schemeClr val="accent1"/>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данных'!$B$113:$M$113</c:f>
              <c:numCache>
                <c:formatCode>#,##0</c:formatCode>
                <c:ptCount val="12"/>
                <c:pt idx="0">
                  <c:v>68288.95</c:v>
                </c:pt>
                <c:pt idx="1">
                  <c:v>6287291.4238936165</c:v>
                </c:pt>
                <c:pt idx="2">
                  <c:v>7315696.3089702176</c:v>
                </c:pt>
              </c:numCache>
            </c:numRef>
          </c:val>
          <c:smooth val="0"/>
          <c:extLst xmlns:c16r2="http://schemas.microsoft.com/office/drawing/2015/06/chart">
            <c:ext xmlns:c16="http://schemas.microsoft.com/office/drawing/2014/chart" uri="{C3380CC4-5D6E-409C-BE32-E72D297353CC}">
              <c16:uniqueId val="{00000000-1FDB-481B-AC85-C5C3ACCAC2F8}"/>
            </c:ext>
          </c:extLst>
        </c:ser>
        <c:ser>
          <c:idx val="1"/>
          <c:order val="1"/>
          <c:tx>
            <c:strRef>
              <c:f>'Ввод данных'!$A$114</c:f>
              <c:strCache>
                <c:ptCount val="1"/>
                <c:pt idx="0">
                  <c:v>Общий объем финансовых обязательств</c:v>
                </c:pt>
              </c:strCache>
            </c:strRef>
          </c:tx>
          <c:spPr>
            <a:ln w="28575" cap="rnd">
              <a:solidFill>
                <a:schemeClr val="accent2"/>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данных'!$B$114:$M$114</c:f>
              <c:numCache>
                <c:formatCode>#,##0</c:formatCode>
                <c:ptCount val="12"/>
                <c:pt idx="0">
                  <c:v>3286506.8408695655</c:v>
                </c:pt>
                <c:pt idx="1">
                  <c:v>5577444.0008695647</c:v>
                </c:pt>
                <c:pt idx="2">
                  <c:v>378547.96</c:v>
                </c:pt>
              </c:numCache>
            </c:numRef>
          </c:val>
          <c:smooth val="0"/>
          <c:extLst xmlns:c16r2="http://schemas.microsoft.com/office/drawing/2015/06/chart">
            <c:ext xmlns:c16="http://schemas.microsoft.com/office/drawing/2014/chart" uri="{C3380CC4-5D6E-409C-BE32-E72D297353CC}">
              <c16:uniqueId val="{00000001-1FDB-481B-AC85-C5C3ACCAC2F8}"/>
            </c:ext>
          </c:extLst>
        </c:ser>
        <c:ser>
          <c:idx val="2"/>
          <c:order val="2"/>
          <c:tx>
            <c:strRef>
              <c:f>'Ввод данных'!$A$115</c:f>
              <c:strCache>
                <c:ptCount val="1"/>
                <c:pt idx="0">
                  <c:v>Общий объем расходов</c:v>
                </c:pt>
              </c:strCache>
            </c:strRef>
          </c:tx>
          <c:spPr>
            <a:ln w="28575" cap="rnd">
              <a:solidFill>
                <a:schemeClr val="accent3"/>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данных'!$B$115:$M$115</c:f>
              <c:numCache>
                <c:formatCode>#,##0</c:formatCode>
                <c:ptCount val="12"/>
                <c:pt idx="0">
                  <c:v>68288.95</c:v>
                </c:pt>
                <c:pt idx="1">
                  <c:v>1791168.95</c:v>
                </c:pt>
                <c:pt idx="2">
                  <c:v>6560322.7573867589</c:v>
                </c:pt>
              </c:numCache>
            </c:numRef>
          </c:val>
          <c:smooth val="0"/>
          <c:extLst xmlns:c16r2="http://schemas.microsoft.com/office/drawing/2015/06/chart">
            <c:ext xmlns:c16="http://schemas.microsoft.com/office/drawing/2014/chart" uri="{C3380CC4-5D6E-409C-BE32-E72D297353CC}">
              <c16:uniqueId val="{00000002-1FDB-481B-AC85-C5C3ACCAC2F8}"/>
            </c:ext>
          </c:extLst>
        </c:ser>
        <c:dLbls>
          <c:showLegendKey val="0"/>
          <c:showVal val="0"/>
          <c:showCatName val="0"/>
          <c:showSerName val="0"/>
          <c:showPercent val="0"/>
          <c:showBubbleSize val="0"/>
        </c:dLbls>
        <c:smooth val="0"/>
        <c:axId val="-352413216"/>
        <c:axId val="-352418656"/>
      </c:lineChart>
      <c:catAx>
        <c:axId val="-352413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418656"/>
        <c:crosses val="autoZero"/>
        <c:auto val="1"/>
        <c:lblAlgn val="ctr"/>
        <c:lblOffset val="100"/>
        <c:tickLblSkip val="1"/>
        <c:tickMarkSkip val="1"/>
        <c:noMultiLvlLbl val="0"/>
      </c:catAx>
      <c:valAx>
        <c:axId val="-352418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4132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'[1]Ввод данных'!$A$89</c:f>
              <c:strCache>
                <c:ptCount val="1"/>
                <c:pt idx="0">
                  <c:v>Отдел управления проектом</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'[1]Ввод данных'!$B$89:$D$89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74B-4005-864A-0DDDFC5C7C10}"/>
            </c:ext>
          </c:extLst>
        </c:ser>
        <c:ser>
          <c:idx val="2"/>
          <c:order val="1"/>
          <c:tx>
            <c:strRef>
              <c:f>'Ввод данных'!$A$90</c:f>
              <c:strCache>
                <c:ptCount val="1"/>
                <c:pt idx="0">
                  <c:v>ВИЧ/СПИД</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данных'!$B$90:$D$90</c:f>
              <c:numCache>
                <c:formatCode>General</c:formatCode>
                <c:ptCount val="3"/>
                <c:pt idx="0">
                  <c:v>7</c:v>
                </c:pt>
                <c:pt idx="1">
                  <c:v>6</c:v>
                </c:pt>
                <c:pt idx="2">
                  <c:v>1</c:v>
                </c:pt>
              </c:numCache>
            </c:numRef>
          </c:val>
          <c:extLst xmlns:c16r2="http://schemas.microsoft.com/office/drawing/2015/06/chart">
            <c:ext xmlns:c16="http://schemas.microsoft.com/office/drawing/2014/chart" uri="{C3380CC4-5D6E-409C-BE32-E72D297353CC}">
              <c16:uniqueId val="{00000001-274B-4005-864A-0DDDFC5C7C10}"/>
            </c:ext>
          </c:extLst>
        </c:ser>
        <c:ser>
          <c:idx val="0"/>
          <c:order val="2"/>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данных'!$B$91:$D$91</c:f>
              <c:numCache>
                <c:formatCode>General</c:formatCode>
                <c:ptCount val="3"/>
                <c:pt idx="0">
                  <c:v>4</c:v>
                </c:pt>
                <c:pt idx="1">
                  <c:v>4</c:v>
                </c:pt>
                <c:pt idx="2">
                  <c:v>0</c:v>
                </c:pt>
              </c:numCache>
            </c:numRef>
          </c:val>
          <c:extLst xmlns:c16r2="http://schemas.microsoft.com/office/drawing/2015/06/chart">
            <c:ext xmlns:c16="http://schemas.microsoft.com/office/drawing/2014/chart" uri="{C3380CC4-5D6E-409C-BE32-E72D297353CC}">
              <c16:uniqueId val="{00000002-274B-4005-864A-0DDDFC5C7C10}"/>
            </c:ext>
          </c:extLst>
        </c:ser>
        <c:dLbls>
          <c:showLegendKey val="0"/>
          <c:showVal val="1"/>
          <c:showCatName val="0"/>
          <c:showSerName val="0"/>
          <c:showPercent val="0"/>
          <c:showBubbleSize val="0"/>
        </c:dLbls>
        <c:gapWidth val="150"/>
        <c:overlap val="-25"/>
        <c:axId val="-352530256"/>
        <c:axId val="-352523184"/>
      </c:barChart>
      <c:catAx>
        <c:axId val="-35253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23184"/>
        <c:crosses val="autoZero"/>
        <c:auto val="1"/>
        <c:lblAlgn val="ctr"/>
        <c:lblOffset val="100"/>
        <c:noMultiLvlLbl val="0"/>
      </c:catAx>
      <c:valAx>
        <c:axId val="-352523184"/>
        <c:scaling>
          <c:orientation val="minMax"/>
        </c:scaling>
        <c:delete val="1"/>
        <c:axPos val="l"/>
        <c:numFmt formatCode="General" sourceLinked="1"/>
        <c:majorTickMark val="none"/>
        <c:minorTickMark val="none"/>
        <c:tickLblPos val="nextTo"/>
        <c:crossAx val="-352530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данных'!$B$81:$B$84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1">
                  <c:v>0</c:v>
                </c:pt>
                <c:pt idx="2">
                  <c:v>0</c:v>
                </c:pt>
                <c:pt idx="3">
                  <c:v>0</c:v>
                </c:pt>
              </c:numCache>
            </c:numRef>
          </c:val>
          <c:extLst xmlns:c16r2="http://schemas.microsoft.com/office/drawing/2015/06/char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1">
                  <c:v>1</c:v>
                </c:pt>
                <c:pt idx="2">
                  <c:v>0</c:v>
                </c:pt>
                <c:pt idx="3">
                  <c:v>0</c:v>
                </c:pt>
              </c:numCache>
            </c:numRef>
          </c:val>
          <c:extLst xmlns:c16r2="http://schemas.microsoft.com/office/drawing/2015/06/chart">
            <c:ext xmlns:c16="http://schemas.microsoft.com/office/drawing/2014/chart" uri="{C3380CC4-5D6E-409C-BE32-E72D297353CC}">
              <c16:uniqueId val="{00000002-9E67-4D7D-BE0E-C99C3E701244}"/>
            </c:ext>
          </c:extLst>
        </c:ser>
        <c:ser>
          <c:idx val="3"/>
          <c:order val="3"/>
          <c:tx>
            <c:strRef>
              <c:f>'[1]Ввод данных'!$E$80</c:f>
              <c:strCache>
                <c:ptCount val="1"/>
                <c:pt idx="0">
                  <c:v>Невыполненные и просроченные</c:v>
                </c:pt>
              </c:strCache>
            </c:strRef>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данных'!$E$81:$E$84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352522640"/>
        <c:axId val="-352525904"/>
      </c:barChart>
      <c:catAx>
        <c:axId val="-3525226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25904"/>
        <c:crosses val="autoZero"/>
        <c:auto val="1"/>
        <c:lblAlgn val="ctr"/>
        <c:lblOffset val="100"/>
        <c:tickLblSkip val="1"/>
        <c:tickMarkSkip val="1"/>
        <c:noMultiLvlLbl val="0"/>
      </c:catAx>
      <c:valAx>
        <c:axId val="-35252590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52522640"/>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данных'!$B$96:$F$96</c:f>
              <c:numCache>
                <c:formatCode>General</c:formatCode>
                <c:ptCount val="5"/>
                <c:pt idx="0">
                  <c:v>42</c:v>
                </c:pt>
                <c:pt idx="1">
                  <c:v>32</c:v>
                </c:pt>
                <c:pt idx="2">
                  <c:v>32</c:v>
                </c:pt>
                <c:pt idx="3">
                  <c:v>42</c:v>
                </c:pt>
                <c:pt idx="4">
                  <c:v>32</c:v>
                </c:pt>
              </c:numCache>
            </c:numRef>
          </c:val>
          <c:extLst xmlns:c16r2="http://schemas.microsoft.com/office/drawing/2015/06/chart">
            <c:ext xmlns:c16="http://schemas.microsoft.com/office/drawing/2014/chart" uri="{C3380CC4-5D6E-409C-BE32-E72D297353CC}">
              <c16:uniqueId val="{00000000-3C2F-4B91-B11C-0BA014ED291D}"/>
            </c:ext>
          </c:extLst>
        </c:ser>
        <c:ser>
          <c:idx val="1"/>
          <c:order val="1"/>
          <c:tx>
            <c:strRef>
              <c:f>'Ввод данных'!$A$91</c:f>
              <c:strCache>
                <c:ptCount val="1"/>
                <c:pt idx="0">
                  <c:v>ТБ</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352521008"/>
        <c:axId val="-352536240"/>
      </c:barChart>
      <c:catAx>
        <c:axId val="-35252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36240"/>
        <c:crosses val="autoZero"/>
        <c:auto val="1"/>
        <c:lblAlgn val="ctr"/>
        <c:lblOffset val="100"/>
        <c:noMultiLvlLbl val="0"/>
      </c:catAx>
      <c:valAx>
        <c:axId val="-352536240"/>
        <c:scaling>
          <c:orientation val="minMax"/>
        </c:scaling>
        <c:delete val="1"/>
        <c:axPos val="l"/>
        <c:numFmt formatCode="General" sourceLinked="1"/>
        <c:majorTickMark val="none"/>
        <c:minorTickMark val="none"/>
        <c:tickLblPos val="nextTo"/>
        <c:crossAx val="-3525210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данных'!$G$151:$I$151</c:f>
              <c:numCache>
                <c:formatCode>#,##0</c:formatCode>
                <c:ptCount val="3"/>
                <c:pt idx="0">
                  <c:v>13750</c:v>
                </c:pt>
                <c:pt idx="1">
                  <c:v>14375</c:v>
                </c:pt>
                <c:pt idx="2">
                  <c:v>15000</c:v>
                </c:pt>
              </c:numCache>
            </c:numRef>
          </c:val>
          <c:extLst xmlns:c16r2="http://schemas.microsoft.com/office/drawing/2015/06/chart">
            <c:ext xmlns:c16="http://schemas.microsoft.com/office/drawing/2014/chart" uri="{C3380CC4-5D6E-409C-BE32-E72D297353CC}">
              <c16:uniqueId val="{00000000-F4FA-4784-8E5F-61D375F426FC}"/>
            </c:ext>
          </c:extLst>
        </c:ser>
        <c:ser>
          <c:idx val="1"/>
          <c:order val="1"/>
          <c:tx>
            <c:strRef>
              <c:f>'Ввод данных'!$F$152</c:f>
              <c:strCache>
                <c:ptCount val="1"/>
                <c:pt idx="0">
                  <c:v>Достигнуто на 110%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данных'!$G$150:$I$150</c:f>
              <c:strCache>
                <c:ptCount val="3"/>
                <c:pt idx="0">
                  <c:v>P1</c:v>
                </c:pt>
                <c:pt idx="1">
                  <c:v>P2</c:v>
                </c:pt>
                <c:pt idx="2">
                  <c:v>P3</c:v>
                </c:pt>
              </c:strCache>
            </c:strRef>
          </c:cat>
          <c:val>
            <c:numRef>
              <c:f>'Ввод данных'!$G$152:$I$152</c:f>
              <c:numCache>
                <c:formatCode>#,##0</c:formatCode>
                <c:ptCount val="3"/>
                <c:pt idx="0">
                  <c:v>14682</c:v>
                </c:pt>
                <c:pt idx="1">
                  <c:v>15859</c:v>
                </c:pt>
                <c:pt idx="2">
                  <c:v>16430</c:v>
                </c:pt>
              </c:numCache>
            </c:numRef>
          </c:val>
          <c:extLst xmlns:c16r2="http://schemas.microsoft.com/office/drawing/2015/06/chart">
            <c:ext xmlns:c16="http://schemas.microsoft.com/office/drawing/2014/chart" uri="{C3380CC4-5D6E-409C-BE32-E72D297353CC}">
              <c16:uniqueId val="{00000001-F4FA-4784-8E5F-61D375F426FC}"/>
            </c:ext>
          </c:extLst>
        </c:ser>
        <c:dLbls>
          <c:showLegendKey val="0"/>
          <c:showVal val="1"/>
          <c:showCatName val="0"/>
          <c:showSerName val="0"/>
          <c:showPercent val="0"/>
          <c:showBubbleSize val="0"/>
        </c:dLbls>
        <c:gapWidth val="150"/>
        <c:overlap val="-25"/>
        <c:axId val="-352529712"/>
        <c:axId val="-352534608"/>
      </c:barChart>
      <c:catAx>
        <c:axId val="-35252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52534608"/>
        <c:crosses val="autoZero"/>
        <c:auto val="1"/>
        <c:lblAlgn val="ctr"/>
        <c:lblOffset val="100"/>
        <c:noMultiLvlLbl val="0"/>
      </c:catAx>
      <c:valAx>
        <c:axId val="-352534608"/>
        <c:scaling>
          <c:orientation val="minMax"/>
        </c:scaling>
        <c:delete val="1"/>
        <c:axPos val="l"/>
        <c:numFmt formatCode="#,##0" sourceLinked="1"/>
        <c:majorTickMark val="none"/>
        <c:minorTickMark val="none"/>
        <c:tickLblPos val="nextTo"/>
        <c:crossAx val="-35252971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1052;&#1077;&#1085;&#1102;!A1"/><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xdr:cNvPr>
        <xdr:cNvGrpSpPr>
          <a:grpSpLocks/>
        </xdr:cNvGrpSpPr>
      </xdr:nvGrpSpPr>
      <xdr:grpSpPr bwMode="auto">
        <a:xfrm>
          <a:off x="3260725" y="2398713"/>
          <a:ext cx="1285875" cy="409575"/>
          <a:chOff x="1200" y="1912"/>
          <a:chExt cx="3456" cy="774"/>
        </a:xfrm>
      </xdr:grpSpPr>
      <xdr:sp macro="" textlink="">
        <xdr:nvSpPr>
          <xdr:cNvPr id="393056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xdr:cNvGrpSpPr>
          <a:grpSpLocks/>
        </xdr:cNvGrpSpPr>
      </xdr:nvGrpSpPr>
      <xdr:grpSpPr bwMode="auto">
        <a:xfrm>
          <a:off x="3260725" y="3465513"/>
          <a:ext cx="1314450" cy="371475"/>
          <a:chOff x="1200" y="1912"/>
          <a:chExt cx="3456" cy="774"/>
        </a:xfrm>
      </xdr:grpSpPr>
      <xdr:sp macro="" textlink="">
        <xdr:nvSpPr>
          <xdr:cNvPr id="3930562"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xdr:cNvPr>
        <xdr:cNvGrpSpPr>
          <a:grpSpLocks/>
        </xdr:cNvGrpSpPr>
      </xdr:nvGrpSpPr>
      <xdr:grpSpPr bwMode="auto">
        <a:xfrm>
          <a:off x="3251200" y="2932113"/>
          <a:ext cx="1314450" cy="390525"/>
          <a:chOff x="1200" y="1912"/>
          <a:chExt cx="3456" cy="774"/>
        </a:xfrm>
      </xdr:grpSpPr>
      <xdr:sp macro="" textlink="">
        <xdr:nvSpPr>
          <xdr:cNvPr id="3930559"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xdr:cNvSpPr>
          <a:spLocks noChangeArrowheads="1"/>
        </xdr:cNvSpPr>
      </xdr:nvSpPr>
      <xdr:spPr bwMode="auto">
        <a:xfrm>
          <a:off x="2247900" y="1428750"/>
          <a:ext cx="3362325" cy="238125"/>
        </a:xfrm>
        <a:prstGeom prst="rect">
          <a:avLst/>
        </a:prstGeom>
        <a:noFill/>
        <a:ln>
          <a:noFill/>
        </a:ln>
        <a:extLst/>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xdr:cNvPr>
        <xdr:cNvGrpSpPr>
          <a:grpSpLocks/>
        </xdr:cNvGrpSpPr>
      </xdr:nvGrpSpPr>
      <xdr:grpSpPr bwMode="auto">
        <a:xfrm>
          <a:off x="5708650" y="2579688"/>
          <a:ext cx="1501775" cy="409575"/>
          <a:chOff x="599" y="262"/>
          <a:chExt cx="158" cy="43"/>
        </a:xfrm>
      </xdr:grpSpPr>
      <xdr:sp macro="" textlink="">
        <xdr:nvSpPr>
          <xdr:cNvPr id="3930555"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xdr:cNvGrpSpPr>
          <a:grpSpLocks/>
        </xdr:cNvGrpSpPr>
      </xdr:nvGrpSpPr>
      <xdr:grpSpPr bwMode="auto">
        <a:xfrm>
          <a:off x="327025" y="1903413"/>
          <a:ext cx="2143125" cy="2124075"/>
          <a:chOff x="32" y="188"/>
          <a:chExt cx="225" cy="225"/>
        </a:xfrm>
      </xdr:grpSpPr>
      <xdr:sp macro="" textlink="">
        <xdr:nvSpPr>
          <xdr:cNvPr id="393055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xdr:cNvGrpSpPr>
          <a:grpSpLocks/>
        </xdr:cNvGrpSpPr>
      </xdr:nvGrpSpPr>
      <xdr:grpSpPr bwMode="auto">
        <a:xfrm>
          <a:off x="5699125" y="3208338"/>
          <a:ext cx="1501775" cy="409575"/>
          <a:chOff x="578" y="328"/>
          <a:chExt cx="158" cy="43"/>
        </a:xfrm>
      </xdr:grpSpPr>
      <xdr:sp macro="" textlink="">
        <xdr:nvSpPr>
          <xdr:cNvPr id="3930549"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xdr:cNvGrpSpPr>
          <a:grpSpLocks/>
        </xdr:cNvGrpSpPr>
      </xdr:nvGrpSpPr>
      <xdr:grpSpPr bwMode="auto">
        <a:xfrm>
          <a:off x="593725" y="3475038"/>
          <a:ext cx="1504950" cy="342900"/>
          <a:chOff x="56" y="259"/>
          <a:chExt cx="158" cy="40"/>
        </a:xfrm>
      </xdr:grpSpPr>
      <xdr:sp macro="" textlink="">
        <xdr:nvSpPr>
          <xdr:cNvPr id="3930545"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xdr:cNvPr>
        <xdr:cNvGrpSpPr>
          <a:grpSpLocks/>
        </xdr:cNvGrpSpPr>
      </xdr:nvGrpSpPr>
      <xdr:grpSpPr bwMode="auto">
        <a:xfrm>
          <a:off x="593725" y="2417763"/>
          <a:ext cx="1504950" cy="371475"/>
          <a:chOff x="1343025" y="2428876"/>
          <a:chExt cx="3240982" cy="617274"/>
        </a:xfrm>
      </xdr:grpSpPr>
      <xdr:sp macro="" textlink="">
        <xdr:nvSpPr>
          <xdr:cNvPr id="3930541"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xdr:cNvPr>
        <xdr:cNvGrpSpPr>
          <a:grpSpLocks/>
        </xdr:cNvGrpSpPr>
      </xdr:nvGrpSpPr>
      <xdr:grpSpPr bwMode="auto">
        <a:xfrm>
          <a:off x="593725" y="2951163"/>
          <a:ext cx="1504950" cy="371475"/>
          <a:chOff x="1343025" y="2428876"/>
          <a:chExt cx="3240982" cy="617274"/>
        </a:xfrm>
      </xdr:grpSpPr>
      <xdr:sp macro="" textlink="">
        <xdr:nvSpPr>
          <xdr:cNvPr id="39305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57150</xdr:colOff>
      <xdr:row>32</xdr:row>
      <xdr:rowOff>47625</xdr:rowOff>
    </xdr:to>
    <xdr:graphicFrame macro="">
      <xdr:nvGraphicFramePr>
        <xdr:cNvPr id="2854334"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xdr:cNvGrpSpPr>
          <a:grpSpLocks/>
        </xdr:cNvGrpSpPr>
      </xdr:nvGrpSpPr>
      <xdr:grpSpPr bwMode="auto">
        <a:xfrm>
          <a:off x="4761035" y="4346332"/>
          <a:ext cx="3405553" cy="162658"/>
          <a:chOff x="0" y="0"/>
          <a:chExt cx="37352" cy="2842"/>
        </a:xfrm>
      </xdr:grpSpPr>
      <xdr:sp macro="" textlink="">
        <xdr:nvSpPr>
          <xdr:cNvPr id="2854337" name="Rectangle 1"/>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18</xdr:row>
      <xdr:rowOff>1000125</xdr:rowOff>
    </xdr:from>
    <xdr:to>
      <xdr:col>12</xdr:col>
      <xdr:colOff>933450</xdr:colOff>
      <xdr:row>26</xdr:row>
      <xdr:rowOff>57151</xdr:rowOff>
    </xdr:to>
    <xdr:graphicFrame macro="">
      <xdr:nvGraphicFramePr>
        <xdr:cNvPr id="287084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29</xdr:row>
      <xdr:rowOff>19050</xdr:rowOff>
    </xdr:from>
    <xdr:to>
      <xdr:col>6</xdr:col>
      <xdr:colOff>9524</xdr:colOff>
      <xdr:row>37</xdr:row>
      <xdr:rowOff>85725</xdr:rowOff>
    </xdr:to>
    <xdr:graphicFrame macro="">
      <xdr:nvGraphicFramePr>
        <xdr:cNvPr id="287084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3"/>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212912</xdr:colOff>
      <xdr:row>9</xdr:row>
      <xdr:rowOff>0</xdr:rowOff>
    </xdr:from>
    <xdr:to>
      <xdr:col>4</xdr:col>
      <xdr:colOff>504265</xdr:colOff>
      <xdr:row>19</xdr:row>
      <xdr:rowOff>69971</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509869</xdr:colOff>
      <xdr:row>9</xdr:row>
      <xdr:rowOff>7325</xdr:rowOff>
    </xdr:from>
    <xdr:to>
      <xdr:col>11</xdr:col>
      <xdr:colOff>278869</xdr:colOff>
      <xdr:row>19</xdr:row>
      <xdr:rowOff>77296</xdr:rowOff>
    </xdr:to>
    <xdr:graphicFrame macro="">
      <xdr:nvGraphicFramePr>
        <xdr:cNvPr id="12" name="Диаграмма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284951</xdr:colOff>
      <xdr:row>9</xdr:row>
      <xdr:rowOff>11207</xdr:rowOff>
    </xdr:from>
    <xdr:to>
      <xdr:col>16</xdr:col>
      <xdr:colOff>1546412</xdr:colOff>
      <xdr:row>20</xdr:row>
      <xdr:rowOff>2737</xdr:rowOff>
    </xdr:to>
    <xdr:graphicFrame macro="">
      <xdr:nvGraphicFramePr>
        <xdr:cNvPr id="13" name="Диаграмма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22411</xdr:colOff>
      <xdr:row>44</xdr:row>
      <xdr:rowOff>11206</xdr:rowOff>
    </xdr:from>
    <xdr:to>
      <xdr:col>4</xdr:col>
      <xdr:colOff>504265</xdr:colOff>
      <xdr:row>54</xdr:row>
      <xdr:rowOff>67236</xdr:rowOff>
    </xdr:to>
    <xdr:graphicFrame macro="">
      <xdr:nvGraphicFramePr>
        <xdr:cNvPr id="14" name="Диаграмма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515471</xdr:colOff>
      <xdr:row>44</xdr:row>
      <xdr:rowOff>11206</xdr:rowOff>
    </xdr:from>
    <xdr:to>
      <xdr:col>11</xdr:col>
      <xdr:colOff>11207</xdr:colOff>
      <xdr:row>55</xdr:row>
      <xdr:rowOff>11207</xdr:rowOff>
    </xdr:to>
    <xdr:graphicFrame macro="">
      <xdr:nvGraphicFramePr>
        <xdr:cNvPr id="15" name="Диаграмма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8804</xdr:colOff>
      <xdr:row>44</xdr:row>
      <xdr:rowOff>12989</xdr:rowOff>
    </xdr:from>
    <xdr:to>
      <xdr:col>17</xdr:col>
      <xdr:colOff>0</xdr:colOff>
      <xdr:row>55</xdr:row>
      <xdr:rowOff>11206</xdr:rowOff>
    </xdr:to>
    <xdr:graphicFrame macro="">
      <xdr:nvGraphicFramePr>
        <xdr:cNvPr id="1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xdr:cNvGrpSpPr>
          <a:grpSpLocks/>
        </xdr:cNvGrpSpPr>
      </xdr:nvGrpSpPr>
      <xdr:grpSpPr bwMode="auto">
        <a:xfrm>
          <a:off x="5556250" y="5577417"/>
          <a:ext cx="85725" cy="0"/>
          <a:chOff x="595" y="540"/>
          <a:chExt cx="9" cy="9"/>
        </a:xfrm>
      </xdr:grpSpPr>
      <xdr:sp macro="" textlink="">
        <xdr:nvSpPr>
          <xdr:cNvPr id="343514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xdr:cNvGrpSpPr>
          <a:grpSpLocks/>
        </xdr:cNvGrpSpPr>
      </xdr:nvGrpSpPr>
      <xdr:grpSpPr bwMode="auto">
        <a:xfrm>
          <a:off x="6537325" y="5577417"/>
          <a:ext cx="86783" cy="0"/>
          <a:chOff x="698" y="540"/>
          <a:chExt cx="9" cy="9"/>
        </a:xfrm>
      </xdr:grpSpPr>
      <xdr:sp macro="" textlink="">
        <xdr:nvSpPr>
          <xdr:cNvPr id="343514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xdr:cNvGrpSpPr>
          <a:grpSpLocks/>
        </xdr:cNvGrpSpPr>
      </xdr:nvGrpSpPr>
      <xdr:grpSpPr bwMode="auto">
        <a:xfrm>
          <a:off x="5183717" y="5577417"/>
          <a:ext cx="86783" cy="0"/>
          <a:chOff x="698" y="540"/>
          <a:chExt cx="9" cy="9"/>
        </a:xfrm>
      </xdr:grpSpPr>
      <xdr:sp macro="" textlink="">
        <xdr:nvSpPr>
          <xdr:cNvPr id="3435142"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xdr:cNvGrpSpPr>
          <a:grpSpLocks/>
        </xdr:cNvGrpSpPr>
      </xdr:nvGrpSpPr>
      <xdr:grpSpPr bwMode="auto">
        <a:xfrm>
          <a:off x="1439333" y="5577417"/>
          <a:ext cx="85725" cy="0"/>
          <a:chOff x="595" y="540"/>
          <a:chExt cx="9" cy="9"/>
        </a:xfrm>
      </xdr:grpSpPr>
      <xdr:sp macro="" textlink="">
        <xdr:nvSpPr>
          <xdr:cNvPr id="3435140"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hboard-P1-%20TB_HIV%20(3-4%20&#1082;&#1074;.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M/Dashboard/HIV/2017/CCM_Generic_Dashboard_ru_HIV_Jan_June_2017_draft%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 val="Лист1"/>
    </sheetNames>
    <sheetDataSet>
      <sheetData sheetId="0" refreshError="1"/>
      <sheetData sheetId="1" refreshError="1"/>
      <sheetData sheetId="2">
        <row r="80">
          <cell r="E80" t="str">
            <v>Невыполненные и просроченные</v>
          </cell>
        </row>
        <row r="81">
          <cell r="B81">
            <v>0</v>
          </cell>
          <cell r="E81">
            <v>0</v>
          </cell>
        </row>
        <row r="82">
          <cell r="B82">
            <v>0</v>
          </cell>
          <cell r="E82">
            <v>0</v>
          </cell>
        </row>
        <row r="83">
          <cell r="B83">
            <v>0</v>
          </cell>
          <cell r="E83">
            <v>0</v>
          </cell>
        </row>
        <row r="84">
          <cell r="B84">
            <v>0</v>
          </cell>
          <cell r="E84">
            <v>0</v>
          </cell>
        </row>
        <row r="89">
          <cell r="A89" t="str">
            <v>Отдел управления проектом</v>
          </cell>
          <cell r="B89" t="str">
            <v>Запланировано</v>
          </cell>
          <cell r="C89" t="str">
            <v>Заполнено</v>
          </cell>
          <cell r="D89" t="str">
            <v>Вакантно</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SingleCells1.xml><?xml version="1.0" encoding="utf-8"?>
<singleXmlCells xmlns="http://schemas.openxmlformats.org/spreadsheetml/2006/main">
  <singleXmlCell id="419" r="B4" connectionId="0">
    <xmlCellPr id="1" uniqueName="1">
      <xmlPr mapId="43" xpath="/ns1:Root/ns1:Country" xmlDataType="string"/>
    </xmlCellPr>
  </singleXmlCell>
  <singleXmlCell id="420" r="B6" connectionId="0">
    <xmlCellPr id="1" uniqueName="1">
      <xmlPr mapId="43" xpath="/ns1:Root/ns1:GrantNumber" xmlDataType="string"/>
    </xmlCellPr>
  </singleXmlCell>
  <singleXmlCell id="421" r="B8" connectionId="0">
    <xmlCellPr id="1" uniqueName="1">
      <xmlPr mapId="43" xpath="/ns1:Root/ns1:PR" xmlDataType="string"/>
    </xmlCellPr>
  </singleXmlCell>
  <singleXmlCell id="422" r="B10" connectionId="0">
    <xmlCellPr id="1" uniqueName="1">
      <xmlPr mapId="43" xpath="/ns1:Root/ns1:StartDate" xmlDataType="dateTime"/>
    </xmlCellPr>
  </singleXmlCell>
  <singleXmlCell id="423" r="B12" connectionId="0">
    <xmlCellPr id="1" uniqueName="1">
      <xmlPr mapId="43" xpath="/ns1:Root/ns1:LatestRating" xmlDataType="string"/>
    </xmlCellPr>
  </singleXmlCell>
  <singleXmlCell id="424" r="F4" connectionId="0">
    <xmlCellPr id="1" uniqueName="1">
      <xmlPr mapId="43" xpath="/ns1:Root/ns1:GranTitle" xmlDataType="string"/>
    </xmlCellPr>
  </singleXmlCell>
  <singleXmlCell id="425" r="F6" connectionId="0">
    <xmlCellPr id="1" uniqueName="1">
      <xmlPr mapId="43" xpath="/ns1:Root/ns1:Componenent" xmlDataType="string"/>
    </xmlCellPr>
  </singleXmlCell>
  <singleXmlCell id="426" r="H6" connectionId="0">
    <xmlCellPr id="1" uniqueName="1">
      <xmlPr mapId="43" xpath="/ns1:Root/ns1:TotalFunding" xmlDataType="double"/>
    </xmlCellPr>
  </singleXmlCell>
  <singleXmlCell id="427" r="F8" connectionId="0">
    <xmlCellPr id="1" uniqueName="1">
      <xmlPr mapId="43" xpath="/ns1:Root/ns1:Round" xmlDataType="string"/>
    </xmlCellPr>
  </singleXmlCell>
  <singleXmlCell id="428" r="H8" connectionId="0">
    <xmlCellPr id="1" uniqueName="1">
      <xmlPr mapId="43" xpath="/ns1:Root/ns1:Phase" xmlDataType="string"/>
    </xmlCellPr>
  </singleXmlCell>
  <singleXmlCell id="429" r="F10" connectionId="0">
    <xmlCellPr id="1" uniqueName="1">
      <xmlPr mapId="43" xpath="/ns1:Root/ns1:LFA" xmlDataType="string"/>
    </xmlCellPr>
  </singleXmlCell>
  <singleXmlCell id="430" r="F12" connectionId="0">
    <xmlCellPr id="1" uniqueName="1">
      <xmlPr mapId="43" xpath="/ns1:Root/ns1:FPM" xmlDataType="string"/>
    </xmlCellPr>
  </singleXmlCell>
  <singleXmlCell id="431" r="B16" connectionId="0">
    <xmlCellPr id="1" uniqueName="1">
      <xmlPr mapId="43" xpath="/ns1:Root/ns1:Period" xmlDataType="string"/>
    </xmlCellPr>
  </singleXmlCell>
  <singleXmlCell id="432" r="D16" connectionId="0">
    <xmlCellPr id="1" uniqueName="1">
      <xmlPr mapId="43" xpath="/ns1:Root/ns1:From" xmlDataType="dateTime"/>
    </xmlCellPr>
  </singleXmlCell>
  <singleXmlCell id="433" r="F16" connectionId="0">
    <xmlCellPr id="1" uniqueName="1">
      <xmlPr mapId="43" xpath="/ns1:Root/ns1:To" xmlDataType="dateTime"/>
    </xmlCellPr>
  </singleXmlCell>
  <singleXmlCell id="434" r="I16" connectionId="0">
    <xmlCellPr id="1" uniqueName="1">
      <xmlPr mapId="43" xpath="/ns1:Root/ns1:DataEntryDate" xmlDataType="dateTime"/>
    </xmlCellPr>
  </singleXmlCell>
  <singleXmlCell id="435" r="C18" connectionId="0">
    <xmlCellPr id="1" uniqueName="1">
      <xmlPr mapId="43" xpath="/ns1:Root/ns1:PreparedBy" xmlDataType="string"/>
    </xmlCellPr>
  </singleXmlCell>
  <singleXmlCell id="436" r="B31" connectionId="0">
    <xmlCellPr id="1" uniqueName="1">
      <xmlPr mapId="43" xpath="/ns1:Root/ns1:F1/ns1:Budget__in____P1" xmlDataType="double"/>
    </xmlCellPr>
  </singleXmlCell>
  <singleXmlCell id="437" r="C31" connectionId="0">
    <xmlCellPr id="1" uniqueName="1">
      <xmlPr mapId="43" xpath="/ns1:Root/ns1:F1/ns1:Budget__in____P2" xmlDataType="double"/>
    </xmlCellPr>
  </singleXmlCell>
  <singleXmlCell id="438" r="D31" connectionId="0">
    <xmlCellPr id="1" uniqueName="1">
      <xmlPr mapId="43" xpath="/ns1:Root/ns1:F1/ns1:Budget__in____P3" xmlDataType="string"/>
    </xmlCellPr>
  </singleXmlCell>
  <singleXmlCell id="439" r="E31" connectionId="0">
    <xmlCellPr id="1" uniqueName="1">
      <xmlPr mapId="43" xpath="/ns1:Root/ns1:F1/ns1:Budget__in____P4" xmlDataType="string"/>
    </xmlCellPr>
  </singleXmlCell>
  <singleXmlCell id="440" r="F31" connectionId="0">
    <xmlCellPr id="1" uniqueName="1">
      <xmlPr mapId="43" xpath="/ns1:Root/ns1:F1/ns1:Budget__in____P5" xmlDataType="string"/>
    </xmlCellPr>
  </singleXmlCell>
  <singleXmlCell id="441" r="G31" connectionId="0">
    <xmlCellPr id="1" uniqueName="1">
      <xmlPr mapId="43" xpath="/ns1:Root/ns1:F1/ns1:Budget__in____P6" xmlDataType="string"/>
    </xmlCellPr>
  </singleXmlCell>
  <singleXmlCell id="442" r="H31" connectionId="0">
    <xmlCellPr id="1" uniqueName="1">
      <xmlPr mapId="43" xpath="/ns1:Root/ns1:F1/ns1:Budget__in____P7" xmlDataType="string"/>
    </xmlCellPr>
  </singleXmlCell>
  <singleXmlCell id="443" r="I31" connectionId="0">
    <xmlCellPr id="1" uniqueName="1">
      <xmlPr mapId="43" xpath="/ns1:Root/ns1:F1/ns1:Budget__in____P8" xmlDataType="string"/>
    </xmlCellPr>
  </singleXmlCell>
  <singleXmlCell id="444" r="J31" connectionId="0">
    <xmlCellPr id="1" uniqueName="1">
      <xmlPr mapId="43" xpath="/ns1:Root/ns1:F1/ns1:Budget__in____P9" xmlDataType="string"/>
    </xmlCellPr>
  </singleXmlCell>
  <singleXmlCell id="445" r="K31" connectionId="0">
    <xmlCellPr id="1" uniqueName="1">
      <xmlPr mapId="43" xpath="/ns1:Root/ns1:F1/ns1:Budget__in____P10" xmlDataType="string"/>
    </xmlCellPr>
  </singleXmlCell>
  <singleXmlCell id="446" r="L31" connectionId="0">
    <xmlCellPr id="1" uniqueName="1">
      <xmlPr mapId="43" xpath="/ns1:Root/ns1:F1/ns1:Budget__in____P11" xmlDataType="string"/>
    </xmlCellPr>
  </singleXmlCell>
  <singleXmlCell id="447" r="M31" connectionId="0">
    <xmlCellPr id="1" uniqueName="1">
      <xmlPr mapId="43" xpath="/ns1:Root/ns1:F1/ns1:Budget__in____P12" xmlDataType="string"/>
    </xmlCellPr>
  </singleXmlCell>
  <singleXmlCell id="448" r="B32" connectionId="0">
    <xmlCellPr id="1" uniqueName="1">
      <xmlPr mapId="43" xpath="/ns1:Root/ns1:F1/ns1:Disbursements_by_GF__in____P1" xmlDataType="double"/>
    </xmlCellPr>
  </singleXmlCell>
  <singleXmlCell id="449" r="C32" connectionId="0">
    <xmlCellPr id="1" uniqueName="1">
      <xmlPr mapId="43" xpath="/ns1:Root/ns1:F1/ns1:Disbursements_by_GF__in____P2" xmlDataType="double"/>
    </xmlCellPr>
  </singleXmlCell>
  <singleXmlCell id="450" r="D32" connectionId="0">
    <xmlCellPr id="1" uniqueName="1">
      <xmlPr mapId="43" xpath="/ns1:Root/ns1:F1/ns1:Disbursements_by_GF__in____P3" xmlDataType="string"/>
    </xmlCellPr>
  </singleXmlCell>
  <singleXmlCell id="451" r="E32" connectionId="0">
    <xmlCellPr id="1" uniqueName="1">
      <xmlPr mapId="43" xpath="/ns1:Root/ns1:F1/ns1:Disbursements_by_GF__in____P4" xmlDataType="string"/>
    </xmlCellPr>
  </singleXmlCell>
  <singleXmlCell id="452" r="F32" connectionId="0">
    <xmlCellPr id="1" uniqueName="1">
      <xmlPr mapId="43" xpath="/ns1:Root/ns1:F1/ns1:Disbursements_by_GF__in____P5" xmlDataType="string"/>
    </xmlCellPr>
  </singleXmlCell>
  <singleXmlCell id="453" r="G32" connectionId="0">
    <xmlCellPr id="1" uniqueName="1">
      <xmlPr mapId="43" xpath="/ns1:Root/ns1:F1/ns1:Disbursements_by_GF__in____P6" xmlDataType="string"/>
    </xmlCellPr>
  </singleXmlCell>
  <singleXmlCell id="454" r="H32" connectionId="0">
    <xmlCellPr id="1" uniqueName="1">
      <xmlPr mapId="43" xpath="/ns1:Root/ns1:F1/ns1:Disbursements_by_GF__in____P7" xmlDataType="string"/>
    </xmlCellPr>
  </singleXmlCell>
  <singleXmlCell id="455" r="I32" connectionId="0">
    <xmlCellPr id="1" uniqueName="1">
      <xmlPr mapId="43" xpath="/ns1:Root/ns1:F1/ns1:Disbursements_by_GF__in____P8" xmlDataType="string"/>
    </xmlCellPr>
  </singleXmlCell>
  <singleXmlCell id="456" r="J32" connectionId="0">
    <xmlCellPr id="1" uniqueName="1">
      <xmlPr mapId="43" xpath="/ns1:Root/ns1:F1/ns1:Disbursements_by_GF__in____P9" xmlDataType="string"/>
    </xmlCellPr>
  </singleXmlCell>
  <singleXmlCell id="457" r="K32" connectionId="0">
    <xmlCellPr id="1" uniqueName="1">
      <xmlPr mapId="43" xpath="/ns1:Root/ns1:F1/ns1:Disbursements_by_GF__in____P10" xmlDataType="string"/>
    </xmlCellPr>
  </singleXmlCell>
  <singleXmlCell id="458" r="L32" connectionId="0">
    <xmlCellPr id="1" uniqueName="1">
      <xmlPr mapId="43" xpath="/ns1:Root/ns1:F1/ns1:Disbursements_by_GF__in____P11" xmlDataType="string"/>
    </xmlCellPr>
  </singleXmlCell>
  <singleXmlCell id="459" r="M32" connectionId="0">
    <xmlCellPr id="1" uniqueName="1">
      <xmlPr mapId="43" xpath="/ns1:Root/ns1:F1/ns1:Disbursements_by_GF__in____P12" xmlDataType="string"/>
    </xmlCellPr>
  </singleXmlCell>
  <singleXmlCell id="460" r="B39" connectionId="0">
    <xmlCellPr id="1" uniqueName="1">
      <xmlPr mapId="43" xpath="/ns1:Root/ns1:F2/ns1:TB__detect_and_treat_Cumulative_Budget__in___" xmlDataType="double"/>
    </xmlCellPr>
  </singleXmlCell>
  <singleXmlCell id="461" r="C39" connectionId="0">
    <xmlCellPr id="1" uniqueName="1">
      <xmlPr mapId="43" xpath="/ns1:Root/ns1:F2/ns1:TB__detect_and_treat_Cumulative_Expenditures__in___" xmlDataType="double"/>
    </xmlCellPr>
  </singleXmlCell>
  <singleXmlCell id="462" r="B54" connectionId="0">
    <xmlCellPr id="1" uniqueName="1">
      <xmlPr mapId="43" xpath="/ns1:Root/ns1:F2/ns1:TB__ID_cases_Cumulative_Budget__in___" xmlDataType="double"/>
    </xmlCellPr>
  </singleXmlCell>
  <singleXmlCell id="463" r="C54" connectionId="0">
    <xmlCellPr id="1" uniqueName="1">
      <xmlPr mapId="43" xpath="/ns1:Root/ns1:F2/ns1:TB__ID_cases_Cumulative_Expenditures__in___" xmlDataType="double"/>
    </xmlCellPr>
  </singleXmlCell>
  <singleXmlCell id="464" r="B55" connectionId="0">
    <xmlCellPr id="1" uniqueName="1">
      <xmlPr mapId="43" xpath="/ns1:Root/ns1:F2/ns1:TB_HIV__Cumulative_Budget__in___" xmlDataType="double"/>
    </xmlCellPr>
  </singleXmlCell>
  <singleXmlCell id="465" r="C55" connectionId="0">
    <xmlCellPr id="1" uniqueName="1">
      <xmlPr mapId="43" xpath="/ns1:Root/ns1:F2/ns1:TB_HIV__Cumulative_Expenditures__in___" xmlDataType="double"/>
    </xmlCellPr>
  </singleXmlCell>
  <singleXmlCell id="476" r="B61" connectionId="0">
    <xmlCellPr id="1" uniqueName="1">
      <xmlPr mapId="43" xpath="/ns1:Root/ns1:F3/ns1:Disbursed_by_Global_Fund_Prior_to_reporting_period__in___" xmlDataType="double"/>
    </xmlCellPr>
  </singleXmlCell>
  <singleXmlCell id="477" r="C61" connectionId="0">
    <xmlCellPr id="1" uniqueName="1">
      <xmlPr mapId="43" xpath="/ns1:Root/ns1:F3/ns1:Disbursed_by_Global_Fund_Reporting_period__in___" xmlDataType="double"/>
    </xmlCellPr>
  </singleXmlCell>
  <singleXmlCell id="478" r="B62" connectionId="0">
    <xmlCellPr id="1" uniqueName="1">
      <xmlPr mapId="43" xpath="/ns1:Root/ns1:F3/ns1:PR_expenditure_and_disbursement_Prior_to_reporting_period__in___" xmlDataType="double"/>
    </xmlCellPr>
  </singleXmlCell>
  <singleXmlCell id="479" r="C62" connectionId="0">
    <xmlCellPr id="1" uniqueName="1">
      <xmlPr mapId="43" xpath="/ns1:Root/ns1:F3/ns1:PR_expenditure_and_disbursement_Reporting_period__in___" xmlDataType="double"/>
    </xmlCellPr>
  </singleXmlCell>
  <singleXmlCell id="480" r="B63" connectionId="0">
    <xmlCellPr id="1" uniqueName="1">
      <xmlPr mapId="43" xpath="/ns1:Root/ns1:F3/ns1:Disbursed_to_SRs_Prior_to_reporting_period__in___" xmlDataType="double"/>
    </xmlCellPr>
  </singleXmlCell>
  <singleXmlCell id="481" r="C63" connectionId="0">
    <xmlCellPr id="1" uniqueName="1">
      <xmlPr mapId="43" xpath="/ns1:Root/ns1:F3/ns1:Disbursed_to_SRs_Reporting_period__in___" xmlDataType="double"/>
    </xmlCellPr>
  </singleXmlCell>
  <singleXmlCell id="482" r="B64" connectionId="0">
    <xmlCellPr id="1" uniqueName="1">
      <xmlPr mapId="43" xpath="/ns1:Root/ns1:F3/ns1:SR_expenditures_Prior_to_reporting_period__in___" xmlDataType="double"/>
    </xmlCellPr>
  </singleXmlCell>
  <singleXmlCell id="483" r="C64" connectionId="0">
    <xmlCellPr id="1" uniqueName="1">
      <xmlPr mapId="43" xpath="/ns1:Root/ns1:F3/ns1:SR_expenditures_Reporting_period__in___" xmlDataType="double"/>
    </xmlCellPr>
  </singleXmlCell>
  <singleXmlCell id="484" r="C71" connectionId="0">
    <xmlCellPr id="1" uniqueName="1">
      <xmlPr mapId="43" xpath="/ns1:Root/ns1:F4/ns1:Days_taken_to_submit_acceptable_PU_DR_to_LFA_Expected__days_" xmlDataType="double"/>
    </xmlCellPr>
  </singleXmlCell>
  <singleXmlCell id="485" r="D71" connectionId="0">
    <xmlCellPr id="1" uniqueName="1">
      <xmlPr mapId="43" xpath="/ns1:Root/ns1:F4/ns1:Days_taken_to_submit_acceptable_PU_DR_to_LFA_Actual__days_" xmlDataType="double"/>
    </xmlCellPr>
  </singleXmlCell>
  <singleXmlCell id="486" r="C72" connectionId="0">
    <xmlCellPr id="1" uniqueName="1">
      <xmlPr mapId="43" xpath="/ns1:Root/ns1:F4/ns1:Days_taken_for_disbursement_to_reach_PR_Expected__days_" xmlDataType="double"/>
    </xmlCellPr>
  </singleXmlCell>
  <singleXmlCell id="487" r="D72" connectionId="0">
    <xmlCellPr id="1" uniqueName="1">
      <xmlPr mapId="43" xpath="/ns1:Root/ns1:F4/ns1:Days_taken_for_disbursement_to_reach_PR_Actual__days_" xmlDataType="double"/>
    </xmlCellPr>
  </singleXmlCell>
  <singleXmlCell id="488" r="C73" connectionId="0">
    <xmlCellPr id="1" uniqueName="1">
      <xmlPr mapId="43" xpath="/ns1:Root/ns1:F4/ns1:Days_taken_for_disbursement_to_reach_SRs__Expected__days_" xmlDataType="double"/>
    </xmlCellPr>
  </singleXmlCell>
  <singleXmlCell id="489" r="D73" connectionId="0">
    <xmlCellPr id="1" uniqueName="1">
      <xmlPr mapId="43" xpath="/ns1:Root/ns1:F4/ns1:Days_taken_for_disbursement_to_reach_SRs__Actual__days_" xmlDataType="double"/>
    </xmlCellPr>
  </singleXmlCell>
  <singleXmlCell id="498" r="B91" connectionId="0">
    <xmlCellPr id="1" uniqueName="1">
      <xmlPr mapId="43" xpath="/ns1:Root/ns1:M2/ns1:PMU_Planned" xmlDataType="double"/>
    </xmlCellPr>
  </singleXmlCell>
  <singleXmlCell id="499" r="C91" connectionId="0">
    <xmlCellPr id="1" uniqueName="1">
      <xmlPr mapId="43" xpath="/ns1:Root/ns1:M2/ns1:PMU_Filled" xmlDataType="double"/>
    </xmlCellPr>
  </singleXmlCell>
  <singleXmlCell id="500" r="B97" connectionId="0">
    <xmlCellPr id="1" uniqueName="1">
      <xmlPr mapId="43" xpath="/ns1:Root/ns1:M3/ns1:SRs_Identified" xmlDataType="double"/>
    </xmlCellPr>
  </singleXmlCell>
  <singleXmlCell id="501" r="C97" connectionId="0">
    <xmlCellPr id="1" uniqueName="1">
      <xmlPr mapId="43" xpath="/ns1:Root/ns1:M3/ns1:SRs_Assessed" xmlDataType="double"/>
    </xmlCellPr>
  </singleXmlCell>
  <singleXmlCell id="502" r="D97" connectionId="0">
    <xmlCellPr id="1" uniqueName="1">
      <xmlPr mapId="43" xpath="/ns1:Root/ns1:M3/ns1:SRs_Approved" xmlDataType="double"/>
    </xmlCellPr>
  </singleXmlCell>
  <singleXmlCell id="503" r="E97" connectionId="0">
    <xmlCellPr id="1" uniqueName="1">
      <xmlPr mapId="43" xpath="/ns1:Root/ns1:M3/ns1:SRs_Signed" xmlDataType="double"/>
    </xmlCellPr>
  </singleXmlCell>
  <singleXmlCell id="504" r="F97" connectionId="0">
    <xmlCellPr id="1" uniqueName="1">
      <xmlPr mapId="43" xpath="/ns1:Root/ns1:M3/ns1:SRs_Receiving_Funding" xmlDataType="double"/>
    </xmlCellPr>
  </singleXmlCell>
  <singleXmlCell id="506" r="B104" connectionId="0">
    <xmlCellPr id="1" uniqueName="1">
      <xmlPr mapId="43" xpath="/ns1:Root/ns1:M4/ns1:SSR_to_SR__IR_____Expected" xmlDataType="string"/>
    </xmlCellPr>
  </singleXmlCell>
  <singleXmlCell id="507" r="C104" connectionId="0">
    <xmlCellPr id="1" uniqueName="1">
      <xmlPr mapId="43" xpath="/ns1:Root/ns1:M4/ns1:SSR_to_SR__IR____Received" xmlDataType="string"/>
    </xmlCellPr>
  </singleXmlCell>
  <singleXmlCell id="509" r="B105" connectionId="0">
    <xmlCellPr id="1" uniqueName="1">
      <xmlPr mapId="43" xpath="/ns1:Root/ns1:M4/ns1:SRs__IRs__to_PR____Expected" xmlDataType="double"/>
    </xmlCellPr>
  </singleXmlCell>
  <singleXmlCell id="510" r="C105" connectionId="0">
    <xmlCellPr id="1" uniqueName="1">
      <xmlPr mapId="43" xpath="/ns1:Root/ns1:M4/ns1:SRs__IRs__to_PR___Received" xmlDataType="double"/>
    </xmlCellPr>
  </singleXmlCell>
  <singleXmlCell id="511" r="B110" connectionId="0">
    <xmlCellPr id="1" uniqueName="1">
      <xmlPr mapId="43" xpath="/ns1:Root/ns1:M5/ns1:Budget_Approved__P1" xmlDataType="double"/>
    </xmlCellPr>
  </singleXmlCell>
  <singleXmlCell id="512" r="C110" connectionId="0">
    <xmlCellPr id="1" uniqueName="1">
      <xmlPr mapId="43" xpath="/ns1:Root/ns1:M5/ns1:Budget_Approved__P2" xmlDataType="double"/>
    </xmlCellPr>
  </singleXmlCell>
  <singleXmlCell id="513" r="D110" connectionId="0">
    <xmlCellPr id="1" uniqueName="1">
      <xmlPr mapId="43" xpath="/ns1:Root/ns1:M5/ns1:Budget_Approved__P3" xmlDataType="double"/>
    </xmlCellPr>
  </singleXmlCell>
  <singleXmlCell id="514" r="E110" connectionId="0">
    <xmlCellPr id="1" uniqueName="1">
      <xmlPr mapId="43" xpath="/ns1:Root/ns1:M5/ns1:Budget_Approved__P4" xmlDataType="double"/>
    </xmlCellPr>
  </singleXmlCell>
  <singleXmlCell id="515" r="F110" connectionId="0">
    <xmlCellPr id="1" uniqueName="1">
      <xmlPr mapId="43" xpath="/ns1:Root/ns1:M5/ns1:Budget_Approved__P5" xmlDataType="double"/>
    </xmlCellPr>
  </singleXmlCell>
  <singleXmlCell id="516" r="G110" connectionId="0">
    <xmlCellPr id="1" uniqueName="1">
      <xmlPr mapId="43" xpath="/ns1:Root/ns1:M5/ns1:Budget_Approved__P6" xmlDataType="double"/>
    </xmlCellPr>
  </singleXmlCell>
  <singleXmlCell id="517" r="H110" connectionId="0">
    <xmlCellPr id="1" uniqueName="1">
      <xmlPr mapId="43" xpath="/ns1:Root/ns1:M5/ns1:Budget_Approved__P7" xmlDataType="double"/>
    </xmlCellPr>
  </singleXmlCell>
  <singleXmlCell id="518" r="I110" connectionId="0">
    <xmlCellPr id="1" uniqueName="1">
      <xmlPr mapId="43" xpath="/ns1:Root/ns1:M5/ns1:Budget_Approved__P8" xmlDataType="double"/>
    </xmlCellPr>
  </singleXmlCell>
  <singleXmlCell id="519" r="J110" connectionId="0">
    <xmlCellPr id="1" uniqueName="1">
      <xmlPr mapId="43" xpath="/ns1:Root/ns1:M5/ns1:Budget_Approved__P9" xmlDataType="double"/>
    </xmlCellPr>
  </singleXmlCell>
  <singleXmlCell id="520" r="K110" connectionId="0">
    <xmlCellPr id="1" uniqueName="1">
      <xmlPr mapId="43" xpath="/ns1:Root/ns1:M5/ns1:Budget_Approved__P10" xmlDataType="double"/>
    </xmlCellPr>
  </singleXmlCell>
  <singleXmlCell id="521" r="L110" connectionId="0">
    <xmlCellPr id="1" uniqueName="1">
      <xmlPr mapId="43" xpath="/ns1:Root/ns1:M5/ns1:Budget_Approved__P11" xmlDataType="double"/>
    </xmlCellPr>
  </singleXmlCell>
  <singleXmlCell id="522" r="M110" connectionId="0">
    <xmlCellPr id="1" uniqueName="1">
      <xmlPr mapId="43" xpath="/ns1:Root/ns1:M5/ns1:Budget_Approved__P12" xmlDataType="double"/>
    </xmlCellPr>
  </singleXmlCell>
  <singleXmlCell id="523" r="B111" connectionId="0">
    <xmlCellPr id="1" uniqueName="1">
      <xmlPr mapId="43" xpath="/ns1:Root/ns1:M5/ns1:Obligations_P1" xmlDataType="double"/>
    </xmlCellPr>
  </singleXmlCell>
  <singleXmlCell id="524" r="C111" connectionId="0">
    <xmlCellPr id="1" uniqueName="1">
      <xmlPr mapId="43" xpath="/ns1:Root/ns1:M5/ns1:Obligations_P2" xmlDataType="double"/>
    </xmlCellPr>
  </singleXmlCell>
  <singleXmlCell id="525" r="D111" connectionId="0">
    <xmlCellPr id="1" uniqueName="1">
      <xmlPr mapId="43" xpath="/ns1:Root/ns1:M5/ns1:Obligations_P3" xmlDataType="double"/>
    </xmlCellPr>
  </singleXmlCell>
  <singleXmlCell id="526" r="E111" connectionId="0">
    <xmlCellPr id="1" uniqueName="1">
      <xmlPr mapId="43" xpath="/ns1:Root/ns1:M5/ns1:Obligations_P4" xmlDataType="double"/>
    </xmlCellPr>
  </singleXmlCell>
  <singleXmlCell id="527" r="F111" connectionId="0">
    <xmlCellPr id="1" uniqueName="1">
      <xmlPr mapId="43" xpath="/ns1:Root/ns1:M5/ns1:Obligations_P5" xmlDataType="double"/>
    </xmlCellPr>
  </singleXmlCell>
  <singleXmlCell id="528" r="G111" connectionId="0">
    <xmlCellPr id="1" uniqueName="1">
      <xmlPr mapId="43" xpath="/ns1:Root/ns1:M5/ns1:Obligations_P6" xmlDataType="double"/>
    </xmlCellPr>
  </singleXmlCell>
  <singleXmlCell id="529" r="H111" connectionId="0">
    <xmlCellPr id="1" uniqueName="1">
      <xmlPr mapId="43" xpath="/ns1:Root/ns1:M5/ns1:Obligations_P7" xmlDataType="double"/>
    </xmlCellPr>
  </singleXmlCell>
  <singleXmlCell id="530" r="I111" connectionId="0">
    <xmlCellPr id="1" uniqueName="1">
      <xmlPr mapId="43" xpath="/ns1:Root/ns1:M5/ns1:Obligations_P8" xmlDataType="double"/>
    </xmlCellPr>
  </singleXmlCell>
  <singleXmlCell id="531" r="J111" connectionId="0">
    <xmlCellPr id="1" uniqueName="1">
      <xmlPr mapId="43" xpath="/ns1:Root/ns1:M5/ns1:Obligations_P9" xmlDataType="double"/>
    </xmlCellPr>
  </singleXmlCell>
  <singleXmlCell id="532" r="K111" connectionId="0">
    <xmlCellPr id="1" uniqueName="1">
      <xmlPr mapId="43" xpath="/ns1:Root/ns1:M5/ns1:Obligations_P10" xmlDataType="double"/>
    </xmlCellPr>
  </singleXmlCell>
  <singleXmlCell id="533" r="L111" connectionId="0">
    <xmlCellPr id="1" uniqueName="1">
      <xmlPr mapId="43" xpath="/ns1:Root/ns1:M5/ns1:Obligations_P11" xmlDataType="double"/>
    </xmlCellPr>
  </singleXmlCell>
  <singleXmlCell id="534" r="M111" connectionId="0">
    <xmlCellPr id="1" uniqueName="1">
      <xmlPr mapId="43" xpath="/ns1:Root/ns1:M5/ns1:Obligations_P12" xmlDataType="double"/>
    </xmlCellPr>
  </singleXmlCell>
  <singleXmlCell id="535" r="B112" connectionId="0">
    <xmlCellPr id="1" uniqueName="1">
      <xmlPr mapId="43" xpath="/ns1:Root/ns1:M5/ns1:Expenditures_P1" xmlDataType="double"/>
    </xmlCellPr>
  </singleXmlCell>
  <singleXmlCell id="536" r="C112" connectionId="0">
    <xmlCellPr id="1" uniqueName="1">
      <xmlPr mapId="43" xpath="/ns1:Root/ns1:M5/ns1:Expenditures_P2" xmlDataType="double"/>
    </xmlCellPr>
  </singleXmlCell>
  <singleXmlCell id="537" r="D112" connectionId="0">
    <xmlCellPr id="1" uniqueName="1">
      <xmlPr mapId="43" xpath="/ns1:Root/ns1:M5/ns1:Expenditures_P3" xmlDataType="double"/>
    </xmlCellPr>
  </singleXmlCell>
  <singleXmlCell id="538" r="E112" connectionId="0">
    <xmlCellPr id="1" uniqueName="1">
      <xmlPr mapId="43" xpath="/ns1:Root/ns1:M5/ns1:Expenditures_P4" xmlDataType="double"/>
    </xmlCellPr>
  </singleXmlCell>
  <singleXmlCell id="539" r="F112" connectionId="0">
    <xmlCellPr id="1" uniqueName="1">
      <xmlPr mapId="43" xpath="/ns1:Root/ns1:M5/ns1:Expenditures_P5" xmlDataType="double"/>
    </xmlCellPr>
  </singleXmlCell>
  <singleXmlCell id="540" r="G112" connectionId="0">
    <xmlCellPr id="1" uniqueName="1">
      <xmlPr mapId="43" xpath="/ns1:Root/ns1:M5/ns1:Expenditures_P6" xmlDataType="double"/>
    </xmlCellPr>
  </singleXmlCell>
  <singleXmlCell id="541" r="H112" connectionId="0">
    <xmlCellPr id="1" uniqueName="1">
      <xmlPr mapId="43" xpath="/ns1:Root/ns1:M5/ns1:Expenditures_P7" xmlDataType="double"/>
    </xmlCellPr>
  </singleXmlCell>
  <singleXmlCell id="542" r="I112" connectionId="0">
    <xmlCellPr id="1" uniqueName="1">
      <xmlPr mapId="43" xpath="/ns1:Root/ns1:M5/ns1:Expenditures_P8" xmlDataType="double"/>
    </xmlCellPr>
  </singleXmlCell>
  <singleXmlCell id="543" r="J112" connectionId="0">
    <xmlCellPr id="1" uniqueName="1">
      <xmlPr mapId="43" xpath="/ns1:Root/ns1:M5/ns1:Expenditures_P9" xmlDataType="double"/>
    </xmlCellPr>
  </singleXmlCell>
  <singleXmlCell id="544" r="K112" connectionId="0">
    <xmlCellPr id="1" uniqueName="1">
      <xmlPr mapId="43" xpath="/ns1:Root/ns1:M5/ns1:Expenditures_P10" xmlDataType="double"/>
    </xmlCellPr>
  </singleXmlCell>
  <singleXmlCell id="545" r="L112" connectionId="0">
    <xmlCellPr id="1" uniqueName="1">
      <xmlPr mapId="43" xpath="/ns1:Root/ns1:M5/ns1:Expenditures_P11" xmlDataType="double"/>
    </xmlCellPr>
  </singleXmlCell>
  <singleXmlCell id="546" r="M112" connectionId="0">
    <xmlCellPr id="1" uniqueName="1">
      <xmlPr mapId="43" xpath="/ns1:Root/ns1:M5/ns1:Expenditures_P12" xmlDataType="double"/>
    </xmlCellPr>
  </singleXmlCell>
  <singleXmlCell id="567" r="G205" connectionId="0">
    <xmlCellPr id="1" uniqueName="1">
      <xmlPr mapId="43" xpath="/ns1:Root/ns1:Prog/ns1:Target_P1_1" xmlDataType="double"/>
    </xmlCellPr>
  </singleXmlCell>
  <singleXmlCell id="568" r="H205" connectionId="0">
    <xmlCellPr id="1" uniqueName="1">
      <xmlPr mapId="43" xpath="/ns1:Root/ns1:Prog/ns1:Target_P2_1" xmlDataType="double"/>
    </xmlCellPr>
  </singleXmlCell>
  <singleXmlCell id="569" r="I205" connectionId="0">
    <xmlCellPr id="1" uniqueName="1">
      <xmlPr mapId="43" xpath="/ns1:Root/ns1:Prog/ns1:Target_P3_1" xmlDataType="double"/>
    </xmlCellPr>
  </singleXmlCell>
  <singleXmlCell id="570" r="J205" connectionId="0">
    <xmlCellPr id="1" uniqueName="1">
      <xmlPr mapId="43" xpath="/ns1:Root/ns1:Prog/ns1:Target_P4_1" xmlDataType="double"/>
    </xmlCellPr>
  </singleXmlCell>
  <singleXmlCell id="571" r="K205" connectionId="0">
    <xmlCellPr id="1" uniqueName="1">
      <xmlPr mapId="43" xpath="/ns1:Root/ns1:Prog/ns1:Target_P5_1" xmlDataType="double"/>
    </xmlCellPr>
  </singleXmlCell>
  <singleXmlCell id="572" r="L205" connectionId="0">
    <xmlCellPr id="1" uniqueName="1">
      <xmlPr mapId="43" xpath="/ns1:Root/ns1:Prog/ns1:Target_P6_1" xmlDataType="double"/>
    </xmlCellPr>
  </singleXmlCell>
  <singleXmlCell id="573" r="M205" connectionId="0">
    <xmlCellPr id="1" uniqueName="1">
      <xmlPr mapId="43" xpath="/ns1:Root/ns1:Prog/ns1:Target_P7_1" xmlDataType="double"/>
    </xmlCellPr>
  </singleXmlCell>
  <singleXmlCell id="574" r="N205" connectionId="0">
    <xmlCellPr id="1" uniqueName="1">
      <xmlPr mapId="43" xpath="/ns1:Root/ns1:Prog/ns1:Target_P8_1" xmlDataType="double"/>
    </xmlCellPr>
  </singleXmlCell>
  <singleXmlCell id="575" r="O205" connectionId="0">
    <xmlCellPr id="1" uniqueName="1">
      <xmlPr mapId="43" xpath="/ns1:Root/ns1:Prog/ns1:Target_P9_1" xmlDataType="double"/>
    </xmlCellPr>
  </singleXmlCell>
  <singleXmlCell id="576" r="P205" connectionId="0">
    <xmlCellPr id="1" uniqueName="1">
      <xmlPr mapId="43" xpath="/ns1:Root/ns1:Prog/ns1:Target_P10_1" xmlDataType="double"/>
    </xmlCellPr>
  </singleXmlCell>
  <singleXmlCell id="577" r="Q205" connectionId="0">
    <xmlCellPr id="1" uniqueName="1">
      <xmlPr mapId="43" xpath="/ns1:Root/ns1:Prog/ns1:Target_P11_1" xmlDataType="double"/>
    </xmlCellPr>
  </singleXmlCell>
  <singleXmlCell id="579" r="G206" connectionId="0">
    <xmlCellPr id="1" uniqueName="1">
      <xmlPr mapId="43" xpath="/ns1:Root/ns1:Prog/ns1:Achieved__P1_1" xmlDataType="double"/>
    </xmlCellPr>
  </singleXmlCell>
  <singleXmlCell id="580" r="H206" connectionId="0">
    <xmlCellPr id="1" uniqueName="1">
      <xmlPr mapId="43" xpath="/ns1:Root/ns1:Prog/ns1:Achieved__P2_1" xmlDataType="double"/>
    </xmlCellPr>
  </singleXmlCell>
  <singleXmlCell id="581" r="I206" connectionId="0">
    <xmlCellPr id="1" uniqueName="1">
      <xmlPr mapId="43" xpath="/ns1:Root/ns1:Prog/ns1:Achieved__P3_1" xmlDataType="double"/>
    </xmlCellPr>
  </singleXmlCell>
  <singleXmlCell id="582" r="J206" connectionId="0">
    <xmlCellPr id="1" uniqueName="1">
      <xmlPr mapId="43" xpath="/ns1:Root/ns1:Prog/ns1:Achieved__P4_1" xmlDataType="double"/>
    </xmlCellPr>
  </singleXmlCell>
  <singleXmlCell id="583" r="K206" connectionId="0">
    <xmlCellPr id="1" uniqueName="1">
      <xmlPr mapId="43" xpath="/ns1:Root/ns1:Prog/ns1:Achieved__P5_1" xmlDataType="string"/>
    </xmlCellPr>
  </singleXmlCell>
  <singleXmlCell id="584" r="L206" connectionId="0">
    <xmlCellPr id="1" uniqueName="1">
      <xmlPr mapId="43" xpath="/ns1:Root/ns1:Prog/ns1:Achieved__P6_1" xmlDataType="string"/>
    </xmlCellPr>
  </singleXmlCell>
  <singleXmlCell id="585" r="M206" connectionId="0">
    <xmlCellPr id="1" uniqueName="1">
      <xmlPr mapId="43" xpath="/ns1:Root/ns1:Prog/ns1:Achieved__P7_1" xmlDataType="string"/>
    </xmlCellPr>
  </singleXmlCell>
  <singleXmlCell id="586" r="N206" connectionId="0">
    <xmlCellPr id="1" uniqueName="1">
      <xmlPr mapId="43" xpath="/ns1:Root/ns1:Prog/ns1:Achieved__P8_1" xmlDataType="string"/>
    </xmlCellPr>
  </singleXmlCell>
  <singleXmlCell id="587" r="O206" connectionId="0">
    <xmlCellPr id="1" uniqueName="1">
      <xmlPr mapId="43" xpath="/ns1:Root/ns1:Prog/ns1:Achieved__P9_1" xmlDataType="string"/>
    </xmlCellPr>
  </singleXmlCell>
  <singleXmlCell id="588" r="P206" connectionId="0">
    <xmlCellPr id="1" uniqueName="1">
      <xmlPr mapId="43" xpath="/ns1:Root/ns1:Prog/ns1:Achieved__P10_1" xmlDataType="string"/>
    </xmlCellPr>
  </singleXmlCell>
  <singleXmlCell id="589" r="Q206" connectionId="0">
    <xmlCellPr id="1" uniqueName="1">
      <xmlPr mapId="43" xpath="/ns1:Root/ns1:Prog/ns1:Achieved__P11_1" xmlDataType="string"/>
    </xmlCellPr>
  </singleXmlCell>
  <singleXmlCell id="591" r="G207" connectionId="0">
    <xmlCellPr id="1" uniqueName="1">
      <xmlPr mapId="43" xpath="/ns1:Root/ns1:Prog/ns1:Target_P1_2" xmlDataType="double"/>
    </xmlCellPr>
  </singleXmlCell>
  <singleXmlCell id="592" r="H207" connectionId="0">
    <xmlCellPr id="1" uniqueName="1">
      <xmlPr mapId="43" xpath="/ns1:Root/ns1:Prog/ns1:Target_P2_2" xmlDataType="double"/>
    </xmlCellPr>
  </singleXmlCell>
  <singleXmlCell id="593" r="I207" connectionId="0">
    <xmlCellPr id="1" uniqueName="1">
      <xmlPr mapId="43" xpath="/ns1:Root/ns1:Prog/ns1:Target_P3_2" xmlDataType="double"/>
    </xmlCellPr>
  </singleXmlCell>
  <singleXmlCell id="594" r="K207" connectionId="0">
    <xmlCellPr id="1" uniqueName="1">
      <xmlPr mapId="43" xpath="/ns1:Root/ns1:Prog/ns1:Target_P5_2" xmlDataType="double"/>
    </xmlCellPr>
  </singleXmlCell>
  <singleXmlCell id="595" r="L207" connectionId="0">
    <xmlCellPr id="1" uniqueName="1">
      <xmlPr mapId="43" xpath="/ns1:Root/ns1:Prog/ns1:Target_P6_2" xmlDataType="double"/>
    </xmlCellPr>
  </singleXmlCell>
  <singleXmlCell id="596" r="M207" connectionId="0">
    <xmlCellPr id="1" uniqueName="1">
      <xmlPr mapId="43" xpath="/ns1:Root/ns1:Prog/ns1:Target_P7_2" xmlDataType="double"/>
    </xmlCellPr>
  </singleXmlCell>
  <singleXmlCell id="597" r="N207" connectionId="0">
    <xmlCellPr id="1" uniqueName="1">
      <xmlPr mapId="43" xpath="/ns1:Root/ns1:Prog/ns1:Target_P8_2" xmlDataType="double"/>
    </xmlCellPr>
  </singleXmlCell>
  <singleXmlCell id="598" r="O207" connectionId="0">
    <xmlCellPr id="1" uniqueName="1">
      <xmlPr mapId="43" xpath="/ns1:Root/ns1:Prog/ns1:Target_P9_2" xmlDataType="double"/>
    </xmlCellPr>
  </singleXmlCell>
  <singleXmlCell id="599" r="P207" connectionId="0">
    <xmlCellPr id="1" uniqueName="1">
      <xmlPr mapId="43" xpath="/ns1:Root/ns1:Prog/ns1:Target_P10_2" xmlDataType="double"/>
    </xmlCellPr>
  </singleXmlCell>
  <singleXmlCell id="600" r="Q207" connectionId="0">
    <xmlCellPr id="1" uniqueName="1">
      <xmlPr mapId="43" xpath="/ns1:Root/ns1:Prog/ns1:Target_P11_2" xmlDataType="double"/>
    </xmlCellPr>
  </singleXmlCell>
  <singleXmlCell id="602" r="G208" connectionId="0">
    <xmlCellPr id="1" uniqueName="1">
      <xmlPr mapId="43" xpath="/ns1:Root/ns1:Prog/ns1:Achieved__P1_2" xmlDataType="double"/>
    </xmlCellPr>
  </singleXmlCell>
  <singleXmlCell id="603" r="H208" connectionId="0">
    <xmlCellPr id="1" uniqueName="1">
      <xmlPr mapId="43" xpath="/ns1:Root/ns1:Prog/ns1:Achieved__P2_2" xmlDataType="double"/>
    </xmlCellPr>
  </singleXmlCell>
  <singleXmlCell id="604" r="I208" connectionId="0">
    <xmlCellPr id="1" uniqueName="1">
      <xmlPr mapId="43" xpath="/ns1:Root/ns1:Prog/ns1:Achieved__P3_2" xmlDataType="double"/>
    </xmlCellPr>
  </singleXmlCell>
  <singleXmlCell id="605" r="J208" connectionId="0">
    <xmlCellPr id="1" uniqueName="1">
      <xmlPr mapId="43" xpath="/ns1:Root/ns1:Prog/ns1:Achieved__P4_2" xmlDataType="double"/>
    </xmlCellPr>
  </singleXmlCell>
  <singleXmlCell id="606" r="K208" connectionId="0">
    <xmlCellPr id="1" uniqueName="1">
      <xmlPr mapId="43" xpath="/ns1:Root/ns1:Prog/ns1:Achieved__P5_2" xmlDataType="string"/>
    </xmlCellPr>
  </singleXmlCell>
  <singleXmlCell id="607" r="L208" connectionId="0">
    <xmlCellPr id="1" uniqueName="1">
      <xmlPr mapId="43" xpath="/ns1:Root/ns1:Prog/ns1:Achieved__P6_2" xmlDataType="string"/>
    </xmlCellPr>
  </singleXmlCell>
  <singleXmlCell id="608" r="M208" connectionId="0">
    <xmlCellPr id="1" uniqueName="1">
      <xmlPr mapId="43" xpath="/ns1:Root/ns1:Prog/ns1:Achieved__P7_2" xmlDataType="string"/>
    </xmlCellPr>
  </singleXmlCell>
  <singleXmlCell id="609" r="N208" connectionId="0">
    <xmlCellPr id="1" uniqueName="1">
      <xmlPr mapId="43" xpath="/ns1:Root/ns1:Prog/ns1:Achieved__P8_2" xmlDataType="string"/>
    </xmlCellPr>
  </singleXmlCell>
  <singleXmlCell id="610" r="O208" connectionId="0">
    <xmlCellPr id="1" uniqueName="1">
      <xmlPr mapId="43" xpath="/ns1:Root/ns1:Prog/ns1:Achieved__P9_2" xmlDataType="string"/>
    </xmlCellPr>
  </singleXmlCell>
  <singleXmlCell id="611" r="P208" connectionId="0">
    <xmlCellPr id="1" uniqueName="1">
      <xmlPr mapId="43" xpath="/ns1:Root/ns1:Prog/ns1:Achieved__P10_2" xmlDataType="string"/>
    </xmlCellPr>
  </singleXmlCell>
  <singleXmlCell id="612" r="Q208" connectionId="0">
    <xmlCellPr id="1" uniqueName="1">
      <xmlPr mapId="43" xpath="/ns1:Root/ns1:Prog/ns1:Achieved__P11_2" xmlDataType="string"/>
    </xmlCellPr>
  </singleXmlCell>
  <singleXmlCell id="614" r="G209" connectionId="0">
    <xmlCellPr id="1" uniqueName="1">
      <xmlPr mapId="43" xpath="/ns1:Root/ns1:Prog/ns1:Target_P1_3" xmlDataType="double"/>
    </xmlCellPr>
  </singleXmlCell>
  <singleXmlCell id="615" r="H209" connectionId="0">
    <xmlCellPr id="1" uniqueName="1">
      <xmlPr mapId="43" xpath="/ns1:Root/ns1:Prog/ns1:Target_P2_3" xmlDataType="double"/>
    </xmlCellPr>
  </singleXmlCell>
  <singleXmlCell id="616" r="I209" connectionId="0">
    <xmlCellPr id="1" uniqueName="1">
      <xmlPr mapId="43" xpath="/ns1:Root/ns1:Prog/ns1:Target_P3_3" xmlDataType="double"/>
    </xmlCellPr>
  </singleXmlCell>
  <singleXmlCell id="617" r="J209" connectionId="0">
    <xmlCellPr id="1" uniqueName="1">
      <xmlPr mapId="43" xpath="/ns1:Root/ns1:Prog/ns1:Target_P4_3" xmlDataType="double"/>
    </xmlCellPr>
  </singleXmlCell>
  <singleXmlCell id="618" r="K209" connectionId="0">
    <xmlCellPr id="1" uniqueName="1">
      <xmlPr mapId="43" xpath="/ns1:Root/ns1:Prog/ns1:Target_P5_3" xmlDataType="double"/>
    </xmlCellPr>
  </singleXmlCell>
  <singleXmlCell id="619" r="L209" connectionId="0">
    <xmlCellPr id="1" uniqueName="1">
      <xmlPr mapId="43" xpath="/ns1:Root/ns1:Prog/ns1:Target_P6_3" xmlDataType="double"/>
    </xmlCellPr>
  </singleXmlCell>
  <singleXmlCell id="620" r="M209" connectionId="0">
    <xmlCellPr id="1" uniqueName="1">
      <xmlPr mapId="43" xpath="/ns1:Root/ns1:Prog/ns1:Target_P7_3" xmlDataType="double"/>
    </xmlCellPr>
  </singleXmlCell>
  <singleXmlCell id="621" r="N209" connectionId="0">
    <xmlCellPr id="1" uniqueName="1">
      <xmlPr mapId="43" xpath="/ns1:Root/ns1:Prog/ns1:Target_P8_3" xmlDataType="double"/>
    </xmlCellPr>
  </singleXmlCell>
  <singleXmlCell id="622" r="O209" connectionId="0">
    <xmlCellPr id="1" uniqueName="1">
      <xmlPr mapId="43" xpath="/ns1:Root/ns1:Prog/ns1:Target_P9_3" xmlDataType="double"/>
    </xmlCellPr>
  </singleXmlCell>
  <singleXmlCell id="623" r="P209" connectionId="0">
    <xmlCellPr id="1" uniqueName="1">
      <xmlPr mapId="43" xpath="/ns1:Root/ns1:Prog/ns1:Target_P10_3" xmlDataType="string"/>
    </xmlCellPr>
  </singleXmlCell>
  <singleXmlCell id="624" r="Q209" connectionId="0">
    <xmlCellPr id="1" uniqueName="1">
      <xmlPr mapId="43" xpath="/ns1:Root/ns1:Prog/ns1:Target_P11_3" xmlDataType="string"/>
    </xmlCellPr>
  </singleXmlCell>
  <singleXmlCell id="626" r="G210" connectionId="0">
    <xmlCellPr id="1" uniqueName="1">
      <xmlPr mapId="43" xpath="/ns1:Root/ns1:Prog/ns1:Achieved__P1_3" xmlDataType="string"/>
    </xmlCellPr>
  </singleXmlCell>
  <singleXmlCell id="627" r="H210" connectionId="0">
    <xmlCellPr id="1" uniqueName="1">
      <xmlPr mapId="43" xpath="/ns1:Root/ns1:Prog/ns1:Achieved__P2_3" xmlDataType="double"/>
    </xmlCellPr>
  </singleXmlCell>
  <singleXmlCell id="628" r="I210" connectionId="0">
    <xmlCellPr id="1" uniqueName="1">
      <xmlPr mapId="43" xpath="/ns1:Root/ns1:Prog/ns1:Achieved__P3_3" xmlDataType="string"/>
    </xmlCellPr>
  </singleXmlCell>
  <singleXmlCell id="629" r="J210" connectionId="0">
    <xmlCellPr id="1" uniqueName="1">
      <xmlPr mapId="43" xpath="/ns1:Root/ns1:Prog/ns1:Achieved__P4_3" xmlDataType="double"/>
    </xmlCellPr>
  </singleXmlCell>
  <singleXmlCell id="630" r="K210" connectionId="0">
    <xmlCellPr id="1" uniqueName="1">
      <xmlPr mapId="43" xpath="/ns1:Root/ns1:Prog/ns1:Achieved__P5_3" xmlDataType="string"/>
    </xmlCellPr>
  </singleXmlCell>
  <singleXmlCell id="631" r="L210" connectionId="0">
    <xmlCellPr id="1" uniqueName="1">
      <xmlPr mapId="43" xpath="/ns1:Root/ns1:Prog/ns1:Achieved__P6_3" xmlDataType="string"/>
    </xmlCellPr>
  </singleXmlCell>
  <singleXmlCell id="632" r="M210" connectionId="0">
    <xmlCellPr id="1" uniqueName="1">
      <xmlPr mapId="43" xpath="/ns1:Root/ns1:Prog/ns1:Achieved__P7_3" xmlDataType="string"/>
    </xmlCellPr>
  </singleXmlCell>
  <singleXmlCell id="633" r="N210" connectionId="0">
    <xmlCellPr id="1" uniqueName="1">
      <xmlPr mapId="43" xpath="/ns1:Root/ns1:Prog/ns1:Achieved__P8_3" xmlDataType="string"/>
    </xmlCellPr>
  </singleXmlCell>
  <singleXmlCell id="634" r="O210" connectionId="0">
    <xmlCellPr id="1" uniqueName="1">
      <xmlPr mapId="43" xpath="/ns1:Root/ns1:Prog/ns1:Achieved__P9_3" xmlDataType="string"/>
    </xmlCellPr>
  </singleXmlCell>
  <singleXmlCell id="635" r="P210" connectionId="0">
    <xmlCellPr id="1" uniqueName="1">
      <xmlPr mapId="43" xpath="/ns1:Root/ns1:Prog/ns1:Achieved__P10_3" xmlDataType="string"/>
    </xmlCellPr>
  </singleXmlCell>
  <singleXmlCell id="636" r="Q210" connectionId="0">
    <xmlCellPr id="1" uniqueName="1">
      <xmlPr mapId="43" xpath="/ns1:Root/ns1:Prog/ns1:Achieved__P11_3" xmlDataType="string"/>
    </xmlCellPr>
  </singleXmlCell>
  <singleXmlCell id="638" r="G211" connectionId="0">
    <xmlCellPr id="1" uniqueName="1">
      <xmlPr mapId="43" xpath="/ns1:Root/ns1:Prog/ns1:Target_P1_4" xmlDataType="string"/>
    </xmlCellPr>
  </singleXmlCell>
  <singleXmlCell id="639" r="H211" connectionId="0">
    <xmlCellPr id="1" uniqueName="1">
      <xmlPr mapId="43" xpath="/ns1:Root/ns1:Prog/ns1:Target_P2_4" xmlDataType="string"/>
    </xmlCellPr>
  </singleXmlCell>
  <singleXmlCell id="640" r="I211" connectionId="0">
    <xmlCellPr id="1" uniqueName="1">
      <xmlPr mapId="43" xpath="/ns1:Root/ns1:Prog/ns1:Target_P3_4" xmlDataType="string"/>
    </xmlCellPr>
  </singleXmlCell>
  <singleXmlCell id="641" r="J211" connectionId="0">
    <xmlCellPr id="1" uniqueName="1">
      <xmlPr mapId="43" xpath="/ns1:Root/ns1:Prog/ns1:Target_P4_4" xmlDataType="double"/>
    </xmlCellPr>
  </singleXmlCell>
  <singleXmlCell id="642" r="K211" connectionId="0">
    <xmlCellPr id="1" uniqueName="1">
      <xmlPr mapId="43" xpath="/ns1:Root/ns1:Prog/ns1:Target_P5_4" xmlDataType="string"/>
    </xmlCellPr>
  </singleXmlCell>
  <singleXmlCell id="643" r="L211" connectionId="0">
    <xmlCellPr id="1" uniqueName="1">
      <xmlPr mapId="43" xpath="/ns1:Root/ns1:Prog/ns1:Target_P6_4" xmlDataType="string"/>
    </xmlCellPr>
  </singleXmlCell>
  <singleXmlCell id="644" r="M211" connectionId="0">
    <xmlCellPr id="1" uniqueName="1">
      <xmlPr mapId="43" xpath="/ns1:Root/ns1:Prog/ns1:Target_P7_4" xmlDataType="string"/>
    </xmlCellPr>
  </singleXmlCell>
  <singleXmlCell id="645" r="N211" connectionId="0">
    <xmlCellPr id="1" uniqueName="1">
      <xmlPr mapId="43" xpath="/ns1:Root/ns1:Prog/ns1:Target_P8_4" xmlDataType="double"/>
    </xmlCellPr>
  </singleXmlCell>
  <singleXmlCell id="646" r="O211" connectionId="0">
    <xmlCellPr id="1" uniqueName="1">
      <xmlPr mapId="43" xpath="/ns1:Root/ns1:Prog/ns1:Target_P9_4" xmlDataType="string"/>
    </xmlCellPr>
  </singleXmlCell>
  <singleXmlCell id="647" r="P211" connectionId="0">
    <xmlCellPr id="1" uniqueName="1">
      <xmlPr mapId="43" xpath="/ns1:Root/ns1:Prog/ns1:Target_P10_4" xmlDataType="string"/>
    </xmlCellPr>
  </singleXmlCell>
  <singleXmlCell id="648" r="Q211" connectionId="0">
    <xmlCellPr id="1" uniqueName="1">
      <xmlPr mapId="43" xpath="/ns1:Root/ns1:Prog/ns1:Target_P11_4" xmlDataType="string"/>
    </xmlCellPr>
  </singleXmlCell>
  <singleXmlCell id="650" r="G212" connectionId="0">
    <xmlCellPr id="1" uniqueName="1">
      <xmlPr mapId="43" xpath="/ns1:Root/ns1:Prog/ns1:Achieved__P1_4" xmlDataType="string"/>
    </xmlCellPr>
  </singleXmlCell>
  <singleXmlCell id="651" r="H212" connectionId="0">
    <xmlCellPr id="1" uniqueName="1">
      <xmlPr mapId="43" xpath="/ns1:Root/ns1:Prog/ns1:Achieved__P2_4" xmlDataType="string"/>
    </xmlCellPr>
  </singleXmlCell>
  <singleXmlCell id="652" r="I212" connectionId="0">
    <xmlCellPr id="1" uniqueName="1">
      <xmlPr mapId="43" xpath="/ns1:Root/ns1:Prog/ns1:Achieved__P3_4" xmlDataType="string"/>
    </xmlCellPr>
  </singleXmlCell>
  <singleXmlCell id="653" r="J212" connectionId="0">
    <xmlCellPr id="1" uniqueName="1">
      <xmlPr mapId="43" xpath="/ns1:Root/ns1:Prog/ns1:Achieved__P4_4" xmlDataType="double"/>
    </xmlCellPr>
  </singleXmlCell>
  <singleXmlCell id="654" r="K212" connectionId="0">
    <xmlCellPr id="1" uniqueName="1">
      <xmlPr mapId="43" xpath="/ns1:Root/ns1:Prog/ns1:Achieved__P5_4" xmlDataType="string"/>
    </xmlCellPr>
  </singleXmlCell>
  <singleXmlCell id="655" r="L212" connectionId="0">
    <xmlCellPr id="1" uniqueName="1">
      <xmlPr mapId="43" xpath="/ns1:Root/ns1:Prog/ns1:Achieved__P6_4" xmlDataType="string"/>
    </xmlCellPr>
  </singleXmlCell>
  <singleXmlCell id="656" r="M212" connectionId="0">
    <xmlCellPr id="1" uniqueName="1">
      <xmlPr mapId="43" xpath="/ns1:Root/ns1:Prog/ns1:Achieved__P7_4" xmlDataType="string"/>
    </xmlCellPr>
  </singleXmlCell>
  <singleXmlCell id="657" r="N212" connectionId="0">
    <xmlCellPr id="1" uniqueName="1">
      <xmlPr mapId="43" xpath="/ns1:Root/ns1:Prog/ns1:Achieved__P8_4" xmlDataType="string"/>
    </xmlCellPr>
  </singleXmlCell>
  <singleXmlCell id="658" r="O212" connectionId="0">
    <xmlCellPr id="1" uniqueName="1">
      <xmlPr mapId="43" xpath="/ns1:Root/ns1:Prog/ns1:Achieved__P9_4" xmlDataType="string"/>
    </xmlCellPr>
  </singleXmlCell>
  <singleXmlCell id="659" r="P212" connectionId="0">
    <xmlCellPr id="1" uniqueName="1">
      <xmlPr mapId="43" xpath="/ns1:Root/ns1:Prog/ns1:Achieved__P10_4" xmlDataType="string"/>
    </xmlCellPr>
  </singleXmlCell>
  <singleXmlCell id="660" r="Q212" connectionId="0">
    <xmlCellPr id="1" uniqueName="1">
      <xmlPr mapId="43" xpath="/ns1:Root/ns1:Prog/ns1:Achieved__P11_4" xmlDataType="string"/>
    </xmlCellPr>
  </singleXmlCell>
  <singleXmlCell id="662" r="G213" connectionId="0">
    <xmlCellPr id="1" uniqueName="1">
      <xmlPr mapId="43" xpath="/ns1:Root/ns1:Prog/ns1:Target_P1_5" xmlDataType="double"/>
    </xmlCellPr>
  </singleXmlCell>
  <singleXmlCell id="663" r="H213" connectionId="0">
    <xmlCellPr id="1" uniqueName="1">
      <xmlPr mapId="43" xpath="/ns1:Root/ns1:Prog/ns1:Target_P2_5" xmlDataType="double"/>
    </xmlCellPr>
  </singleXmlCell>
  <singleXmlCell id="664" r="I213" connectionId="0">
    <xmlCellPr id="1" uniqueName="1">
      <xmlPr mapId="43" xpath="/ns1:Root/ns1:Prog/ns1:Target_P3_5" xmlDataType="double"/>
    </xmlCellPr>
  </singleXmlCell>
  <singleXmlCell id="665" r="J213" connectionId="0">
    <xmlCellPr id="1" uniqueName="1">
      <xmlPr mapId="43" xpath="/ns1:Root/ns1:Prog/ns1:Target_P4_5" xmlDataType="double"/>
    </xmlCellPr>
  </singleXmlCell>
  <singleXmlCell id="666" r="K213" connectionId="0">
    <xmlCellPr id="1" uniqueName="1">
      <xmlPr mapId="43" xpath="/ns1:Root/ns1:Prog/ns1:Target_P5_5" xmlDataType="double"/>
    </xmlCellPr>
  </singleXmlCell>
  <singleXmlCell id="667" r="L213" connectionId="0">
    <xmlCellPr id="1" uniqueName="1">
      <xmlPr mapId="43" xpath="/ns1:Root/ns1:Prog/ns1:Target_P6_5" xmlDataType="double"/>
    </xmlCellPr>
  </singleXmlCell>
  <singleXmlCell id="668" r="M213" connectionId="0">
    <xmlCellPr id="1" uniqueName="1">
      <xmlPr mapId="43" xpath="/ns1:Root/ns1:Prog/ns1:Target_P7_5" xmlDataType="double"/>
    </xmlCellPr>
  </singleXmlCell>
  <singleXmlCell id="669" r="N213" connectionId="0">
    <xmlCellPr id="1" uniqueName="1">
      <xmlPr mapId="43" xpath="/ns1:Root/ns1:Prog/ns1:Target_P8_5" xmlDataType="double"/>
    </xmlCellPr>
  </singleXmlCell>
  <singleXmlCell id="670" r="O213" connectionId="0">
    <xmlCellPr id="1" uniqueName="1">
      <xmlPr mapId="43" xpath="/ns1:Root/ns1:Prog/ns1:Target_P9_5" xmlDataType="double"/>
    </xmlCellPr>
  </singleXmlCell>
  <singleXmlCell id="671" r="P213" connectionId="0">
    <xmlCellPr id="1" uniqueName="1">
      <xmlPr mapId="43" xpath="/ns1:Root/ns1:Prog/ns1:Target_P10_5" xmlDataType="double"/>
    </xmlCellPr>
  </singleXmlCell>
  <singleXmlCell id="672" r="Q213" connectionId="0">
    <xmlCellPr id="1" uniqueName="1">
      <xmlPr mapId="43" xpath="/ns1:Root/ns1:Prog/ns1:Target_P11_5" xmlDataType="double"/>
    </xmlCellPr>
  </singleXmlCell>
  <singleXmlCell id="674" r="G214" connectionId="0">
    <xmlCellPr id="1" uniqueName="1">
      <xmlPr mapId="43" xpath="/ns1:Root/ns1:Prog/ns1:Achieved__P1_5" xmlDataType="double"/>
    </xmlCellPr>
  </singleXmlCell>
  <singleXmlCell id="675" r="H214" connectionId="0">
    <xmlCellPr id="1" uniqueName="1">
      <xmlPr mapId="43" xpath="/ns1:Root/ns1:Prog/ns1:Achieved__P2_5" xmlDataType="double"/>
    </xmlCellPr>
  </singleXmlCell>
  <singleXmlCell id="676" r="I214" connectionId="0">
    <xmlCellPr id="1" uniqueName="1">
      <xmlPr mapId="43" xpath="/ns1:Root/ns1:Prog/ns1:Achieved__P3_5" xmlDataType="double"/>
    </xmlCellPr>
  </singleXmlCell>
  <singleXmlCell id="677" r="J214" connectionId="0">
    <xmlCellPr id="1" uniqueName="1">
      <xmlPr mapId="43" xpath="/ns1:Root/ns1:Prog/ns1:Achieved__P4_5" xmlDataType="double"/>
    </xmlCellPr>
  </singleXmlCell>
  <singleXmlCell id="678" r="K214" connectionId="0">
    <xmlCellPr id="1" uniqueName="1">
      <xmlPr mapId="43" xpath="/ns1:Root/ns1:Prog/ns1:Achieved__P5_5" xmlDataType="string"/>
    </xmlCellPr>
  </singleXmlCell>
  <singleXmlCell id="679" r="L214" connectionId="0">
    <xmlCellPr id="1" uniqueName="1">
      <xmlPr mapId="43" xpath="/ns1:Root/ns1:Prog/ns1:Achieved__P6_5" xmlDataType="string"/>
    </xmlCellPr>
  </singleXmlCell>
  <singleXmlCell id="680" r="M214" connectionId="0">
    <xmlCellPr id="1" uniqueName="1">
      <xmlPr mapId="43" xpath="/ns1:Root/ns1:Prog/ns1:Achieved__P7_5" xmlDataType="string"/>
    </xmlCellPr>
  </singleXmlCell>
  <singleXmlCell id="681" r="N214" connectionId="0">
    <xmlCellPr id="1" uniqueName="1">
      <xmlPr mapId="43" xpath="/ns1:Root/ns1:Prog/ns1:Achieved__P8_5" xmlDataType="string"/>
    </xmlCellPr>
  </singleXmlCell>
  <singleXmlCell id="682" r="O214" connectionId="0">
    <xmlCellPr id="1" uniqueName="1">
      <xmlPr mapId="43" xpath="/ns1:Root/ns1:Prog/ns1:Achieved__P9_5" xmlDataType="string"/>
    </xmlCellPr>
  </singleXmlCell>
  <singleXmlCell id="683" r="P214" connectionId="0">
    <xmlCellPr id="1" uniqueName="1">
      <xmlPr mapId="43" xpath="/ns1:Root/ns1:Prog/ns1:Achieved__P10_5" xmlDataType="string"/>
    </xmlCellPr>
  </singleXmlCell>
  <singleXmlCell id="684" r="Q214" connectionId="0">
    <xmlCellPr id="1" uniqueName="1">
      <xmlPr mapId="43" xpath="/ns1:Root/ns1:Prog/ns1:Achieved__P11_5" xmlDataType="string"/>
    </xmlCellPr>
  </singleXmlCell>
  <singleXmlCell id="686" r="G215" connectionId="0">
    <xmlCellPr id="1" uniqueName="1">
      <xmlPr mapId="43" xpath="/ns1:Root/ns1:Prog/ns1:Target_P1_6" xmlDataType="double"/>
    </xmlCellPr>
  </singleXmlCell>
  <singleXmlCell id="687" r="H215" connectionId="0">
    <xmlCellPr id="1" uniqueName="1">
      <xmlPr mapId="43" xpath="/ns1:Root/ns1:Prog/ns1:Target_P2_6" xmlDataType="double"/>
    </xmlCellPr>
  </singleXmlCell>
  <singleXmlCell id="688" r="I215" connectionId="0">
    <xmlCellPr id="1" uniqueName="1">
      <xmlPr mapId="43" xpath="/ns1:Root/ns1:Prog/ns1:Target_P3_6" xmlDataType="double"/>
    </xmlCellPr>
  </singleXmlCell>
  <singleXmlCell id="689" r="J215" connectionId="0">
    <xmlCellPr id="1" uniqueName="1">
      <xmlPr mapId="43" xpath="/ns1:Root/ns1:Prog/ns1:Target_P4_6" xmlDataType="double"/>
    </xmlCellPr>
  </singleXmlCell>
  <singleXmlCell id="690" r="K215" connectionId="0">
    <xmlCellPr id="1" uniqueName="1">
      <xmlPr mapId="43" xpath="/ns1:Root/ns1:Prog/ns1:Target_P5_6" xmlDataType="double"/>
    </xmlCellPr>
  </singleXmlCell>
  <singleXmlCell id="691" r="L215" connectionId="0">
    <xmlCellPr id="1" uniqueName="1">
      <xmlPr mapId="43" xpath="/ns1:Root/ns1:Prog/ns1:Target_P6_6" xmlDataType="double"/>
    </xmlCellPr>
  </singleXmlCell>
  <singleXmlCell id="692" r="M215" connectionId="0">
    <xmlCellPr id="1" uniqueName="1">
      <xmlPr mapId="43" xpath="/ns1:Root/ns1:Prog/ns1:Target_P7_6" xmlDataType="double"/>
    </xmlCellPr>
  </singleXmlCell>
  <singleXmlCell id="693" r="N215" connectionId="0">
    <xmlCellPr id="1" uniqueName="1">
      <xmlPr mapId="43" xpath="/ns1:Root/ns1:Prog/ns1:Target_P8_6" xmlDataType="double"/>
    </xmlCellPr>
  </singleXmlCell>
  <singleXmlCell id="694" r="O215" connectionId="0">
    <xmlCellPr id="1" uniqueName="1">
      <xmlPr mapId="43" xpath="/ns1:Root/ns1:Prog/ns1:Target_P9_6" xmlDataType="double"/>
    </xmlCellPr>
  </singleXmlCell>
  <singleXmlCell id="695" r="P215" connectionId="0">
    <xmlCellPr id="1" uniqueName="1">
      <xmlPr mapId="43" xpath="/ns1:Root/ns1:Prog/ns1:Target_P10_6" xmlDataType="double"/>
    </xmlCellPr>
  </singleXmlCell>
  <singleXmlCell id="696" r="Q215" connectionId="0">
    <xmlCellPr id="1" uniqueName="1">
      <xmlPr mapId="43" xpath="/ns1:Root/ns1:Prog/ns1:Target_P11_6" xmlDataType="double"/>
    </xmlCellPr>
  </singleXmlCell>
  <singleXmlCell id="698" r="G216" connectionId="0">
    <xmlCellPr id="1" uniqueName="1">
      <xmlPr mapId="43" xpath="/ns1:Root/ns1:Prog/ns1:Achieved__P1_6" xmlDataType="double"/>
    </xmlCellPr>
  </singleXmlCell>
  <singleXmlCell id="699" r="H216" connectionId="0">
    <xmlCellPr id="1" uniqueName="1">
      <xmlPr mapId="43" xpath="/ns1:Root/ns1:Prog/ns1:Achieved__P2_6" xmlDataType="double"/>
    </xmlCellPr>
  </singleXmlCell>
  <singleXmlCell id="700" r="I216" connectionId="0">
    <xmlCellPr id="1" uniqueName="1">
      <xmlPr mapId="43" xpath="/ns1:Root/ns1:Prog/ns1:Achieved__P3_6" xmlDataType="double"/>
    </xmlCellPr>
  </singleXmlCell>
  <singleXmlCell id="701" r="J216" connectionId="0">
    <xmlCellPr id="1" uniqueName="1">
      <xmlPr mapId="43" xpath="/ns1:Root/ns1:Prog/ns1:Achieved__P4_6" xmlDataType="double"/>
    </xmlCellPr>
  </singleXmlCell>
  <singleXmlCell id="702" r="K216" connectionId="0">
    <xmlCellPr id="1" uniqueName="1">
      <xmlPr mapId="43" xpath="/ns1:Root/ns1:Prog/ns1:Achieved__P5_6" xmlDataType="string"/>
    </xmlCellPr>
  </singleXmlCell>
  <singleXmlCell id="703" r="L216" connectionId="0">
    <xmlCellPr id="1" uniqueName="1">
      <xmlPr mapId="43" xpath="/ns1:Root/ns1:Prog/ns1:Achieved__P6_6" xmlDataType="string"/>
    </xmlCellPr>
  </singleXmlCell>
  <singleXmlCell id="704" r="M216" connectionId="0">
    <xmlCellPr id="1" uniqueName="1">
      <xmlPr mapId="43" xpath="/ns1:Root/ns1:Prog/ns1:Achieved__P7_6" xmlDataType="string"/>
    </xmlCellPr>
  </singleXmlCell>
  <singleXmlCell id="705" r="N216" connectionId="0">
    <xmlCellPr id="1" uniqueName="1">
      <xmlPr mapId="43" xpath="/ns1:Root/ns1:Prog/ns1:Achieved__P8_6" xmlDataType="string"/>
    </xmlCellPr>
  </singleXmlCell>
  <singleXmlCell id="706" r="O216" connectionId="0">
    <xmlCellPr id="1" uniqueName="1">
      <xmlPr mapId="43" xpath="/ns1:Root/ns1:Prog/ns1:Achieved__P9_6" xmlDataType="string"/>
    </xmlCellPr>
  </singleXmlCell>
  <singleXmlCell id="707" r="P216" connectionId="0">
    <xmlCellPr id="1" uniqueName="1">
      <xmlPr mapId="43" xpath="/ns1:Root/ns1:Prog/ns1:Achieved__P10_6" xmlDataType="string"/>
    </xmlCellPr>
  </singleXmlCell>
  <singleXmlCell id="708" r="Q216" connectionId="0">
    <xmlCellPr id="1" uniqueName="1">
      <xmlPr mapId="43" xpath="/ns1:Root/ns1:Prog/ns1:Achieved__P11_6" xmlDataType="string"/>
    </xmlCellPr>
  </singleXmlCell>
  <singleXmlCell id="806" r="J207" connectionId="0">
    <xmlCellPr id="1" uniqueName="1">
      <xmlPr mapId="43" xpath="/ns1:Root/ns1:Prog/ns1:Target_P4_2" xmlDataType="double"/>
    </xmlCellPr>
  </singleXmlCell>
  <singleXmlCell id="837" r="C26" connectionId="0">
    <xmlCellPr id="1" uniqueName="1">
      <xmlPr mapId="43" xpath="/ns1:Root/ns1:Currency" xmlDataType="string"/>
    </xmlCellPr>
  </singleXmlCell>
  <singleXmlCell id="497" r="E84" connectionId="0">
    <xmlCellPr id="1" uniqueName="1">
      <xmlPr mapId="43" xpath="/ns1:Root/ns1:M1/ns1:Time_Bound_Actions__TBAs__Not_fulfilled__and_past_the_deadline" xmlDataType="double"/>
    </xmlCellPr>
  </singleXmlCell>
  <singleXmlCell id="496" r="D84" connectionId="0">
    <xmlCellPr id="1" uniqueName="1">
      <xmlPr mapId="43" xpath="/ns1:Root/ns1:M1/ns1:Time_Bound_Actions__TBAs__Not_fulfilled__but_within_deadline" xmlDataType="string"/>
    </xmlCellPr>
  </singleXmlCell>
  <singleXmlCell id="495" r="C84" connectionId="0">
    <xmlCellPr id="1" uniqueName="1">
      <xmlPr mapId="43" xpath="/ns1:Root/ns1:M1/ns1:Time_Bound_Actions__TBAs__Fulfilled" xmlDataType="double"/>
    </xmlCellPr>
  </singleXmlCell>
  <singleXmlCell id="494" r="A84" connectionId="0">
    <xmlCellPr id="1" uniqueName="1">
      <xmlPr mapId="43" xpath="/ns1:Root/ns1:M1/ns1:Time_Bound_Actions__TBAs__" xmlDataType="string"/>
    </xmlCellPr>
  </singleXmlCell>
  <singleXmlCell id="493" r="E83" connectionId="0">
    <xmlCellPr id="1" uniqueName="1">
      <xmlPr mapId="43" xpath="/ns1:Root/ns1:M1/ns1:Conditions_precedents__CPs__Not_fulfilled__and_past_the_deadline" xmlDataType="double"/>
    </xmlCellPr>
  </singleXmlCell>
  <singleXmlCell id="492" r="D83" connectionId="0">
    <xmlCellPr id="1" uniqueName="1">
      <xmlPr mapId="43" xpath="/ns1:Root/ns1:M1/ns1:Conditions_precedents__CPs__Not_fulfilled__but_within_deadline" xmlDataType="double"/>
    </xmlCellPr>
  </singleXmlCell>
  <singleXmlCell id="491" r="C83" connectionId="0">
    <xmlCellPr id="1" uniqueName="1">
      <xmlPr mapId="43" xpath="/ns1:Root/ns1:M1/ns1:Conditions_precedents__CPs__Fulfilled" xmlDataType="double"/>
    </xmlCellPr>
  </singleXmlCell>
  <singleXmlCell id="490" r="A83" connectionId="0">
    <xmlCellPr id="1" uniqueName="1">
      <xmlPr mapId="43" xpath="/ns1:Root/ns1:M1/ns1:Conditions_precedents__CPs__" xmlDataType="string"/>
    </xmlCellPr>
  </singleXmlCell>
  <singleXmlCell id="807" r="A205" connectionId="0">
    <xmlCellPr id="1" uniqueName="1">
      <xmlPr mapId="43" xpath="/ns1:Root/ns1:P1" xmlDataType="string"/>
    </xmlCellPr>
  </singleXmlCell>
  <singleXmlCell id="808" r="D205" connectionId="0">
    <xmlCellPr id="1" uniqueName="1">
      <xmlPr mapId="43" xpath="/ns1:Root/ns1:P1_Code" xmlDataType="double"/>
    </xmlCellPr>
  </singleXmlCell>
  <singleXmlCell id="809" r="E205" connectionId="0">
    <xmlCellPr id="1" uniqueName="1">
      <xmlPr mapId="43" xpath="/ns1:Root/ns1:P1_Tied" xmlDataType="string"/>
    </xmlCellPr>
  </singleXmlCell>
  <singleXmlCell id="810" r="A207" connectionId="0">
    <xmlCellPr id="1" uniqueName="1">
      <xmlPr mapId="43" xpath="/ns1:Root/ns1:P2" xmlDataType="string"/>
    </xmlCellPr>
  </singleXmlCell>
  <singleXmlCell id="811" r="D207" connectionId="0">
    <xmlCellPr id="1" uniqueName="1">
      <xmlPr mapId="43" xpath="/ns1:Root/ns1:P2_Code" xmlDataType="double"/>
    </xmlCellPr>
  </singleXmlCell>
  <singleXmlCell id="812" r="E207" connectionId="0">
    <xmlCellPr id="1" uniqueName="1">
      <xmlPr mapId="43" xpath="/ns1:Root/ns1:P2_Tied" xmlDataType="string"/>
    </xmlCellPr>
  </singleXmlCell>
  <singleXmlCell id="813" r="A209" connectionId="0">
    <xmlCellPr id="1" uniqueName="1">
      <xmlPr mapId="43" xpath="/ns1:Root/ns1:P3" xmlDataType="string"/>
    </xmlCellPr>
  </singleXmlCell>
  <singleXmlCell id="814" r="D209" connectionId="0">
    <xmlCellPr id="1" uniqueName="1">
      <xmlPr mapId="43" xpath="/ns1:Root/ns1:P3_Code" xmlDataType="double"/>
    </xmlCellPr>
  </singleXmlCell>
  <singleXmlCell id="815" r="E209" connectionId="0">
    <xmlCellPr id="1" uniqueName="1">
      <xmlPr mapId="43" xpath="/ns1:Root/ns1:P3_Tied" xmlDataType="string"/>
    </xmlCellPr>
  </singleXmlCell>
  <singleXmlCell id="816" r="A211" connectionId="0">
    <xmlCellPr id="1" uniqueName="1">
      <xmlPr mapId="43" xpath="/ns1:Root/ns1:P4" xmlDataType="string"/>
    </xmlCellPr>
  </singleXmlCell>
  <singleXmlCell id="817" r="D211" connectionId="0">
    <xmlCellPr id="1" uniqueName="1">
      <xmlPr mapId="43" xpath="/ns1:Root/ns1:P4_Code" xmlDataType="double"/>
    </xmlCellPr>
  </singleXmlCell>
  <singleXmlCell id="818" r="E211" connectionId="0">
    <xmlCellPr id="1" uniqueName="1">
      <xmlPr mapId="43" xpath="/ns1:Root/ns1:P4_Tied" xmlDataType="string"/>
    </xmlCellPr>
  </singleXmlCell>
  <singleXmlCell id="819" r="A213" connectionId="0">
    <xmlCellPr id="1" uniqueName="1">
      <xmlPr mapId="43" xpath="/ns1:Root/ns1:P5" xmlDataType="string"/>
    </xmlCellPr>
  </singleXmlCell>
  <singleXmlCell id="820" r="D213" connectionId="0">
    <xmlCellPr id="1" uniqueName="1">
      <xmlPr mapId="43" xpath="/ns1:Root/ns1:P5_Code" xmlDataType="double"/>
    </xmlCellPr>
  </singleXmlCell>
  <singleXmlCell id="821" r="E213" connectionId="0">
    <xmlCellPr id="1" uniqueName="1">
      <xmlPr mapId="43" xpath="/ns1:Root/ns1:P5_Tied" xmlDataType="string"/>
    </xmlCellPr>
  </singleXmlCell>
  <singleXmlCell id="822" r="A215" connectionId="0">
    <xmlCellPr id="1" uniqueName="1">
      <xmlPr mapId="43" xpath="/ns1:Root/ns1:P6" xmlDataType="string"/>
    </xmlCellPr>
  </singleXmlCell>
  <singleXmlCell id="823" r="D215" connectionId="0">
    <xmlCellPr id="1" uniqueName="1">
      <xmlPr mapId="43" xpath="/ns1:Root/ns1:P6_Code" xmlDataType="double"/>
    </xmlCellPr>
  </singleXmlCell>
  <singleXmlCell id="824" r="E215" connectionId="0">
    <xmlCellPr id="1" uniqueName="1">
      <xmlPr mapId="43" xpath="/ns1:Root/ns1:P6_Tied"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641" t="str">
        <f>+"Панель показателей:  "&amp;"  "&amp;IF(+'Ввод данных'!B4="Выберите","",'Ввод данных'!B4&amp;" - ")&amp;IF('Ввод данных'!F6="Выберите","",'Ввод данных'!F6)</f>
        <v>Панель показателей:    Кыргызстан - ВИЧ/СПИД/ТБ</v>
      </c>
      <c r="C2" s="641"/>
      <c r="D2" s="641"/>
      <c r="E2" s="641"/>
      <c r="F2" s="641"/>
      <c r="G2" s="641"/>
      <c r="H2" s="641"/>
      <c r="I2" s="641"/>
      <c r="J2" s="641"/>
      <c r="K2" s="641"/>
      <c r="L2" s="641"/>
      <c r="M2" s="641"/>
      <c r="N2" s="1"/>
      <c r="O2" s="1"/>
    </row>
    <row r="4" spans="2:15" ht="21">
      <c r="B4" s="637" t="str">
        <f>+IF('Ввод данных'!F6="Выберите", "",'Ввод данных'!F6) &amp;"  "&amp;+IF('Ввод данных'!F8="Выберите", "", 'Ввод данных'!F8&amp;",  ")&amp;+IF('Ввод данных'!H8="Выберите","",'Ввод данных'!H8)</f>
        <v xml:space="preserve">ВИЧ/СПИД/ТБ  ,  </v>
      </c>
      <c r="C4" s="637"/>
      <c r="D4" s="637"/>
      <c r="E4" s="638"/>
      <c r="F4" s="205"/>
      <c r="G4" s="205"/>
      <c r="H4" s="289" t="str">
        <f>+'Ввод данных'!A6&amp;" "&amp;+'Ввод данных'!B6</f>
        <v>Грант № KGZ-C-UNDP</v>
      </c>
      <c r="I4" s="289"/>
      <c r="J4" s="204"/>
      <c r="K4" s="205"/>
      <c r="L4" s="205"/>
    </row>
    <row r="22" spans="2:12" ht="26.25">
      <c r="B22" s="639" t="s">
        <v>86</v>
      </c>
      <c r="C22" s="640"/>
      <c r="D22" s="640"/>
      <c r="E22" s="640"/>
      <c r="F22" s="640"/>
      <c r="G22" s="640"/>
      <c r="H22" s="640"/>
      <c r="I22" s="640"/>
      <c r="J22" s="640"/>
      <c r="K22" s="640"/>
      <c r="L22" s="640"/>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16" t="str">
        <f>'Сведения о гранте'!B3:J3</f>
        <v>Панель показателей:  Кыргызстан - ВИЧ/СПИД/ТБ</v>
      </c>
      <c r="C3" s="1216"/>
      <c r="D3" s="1216"/>
      <c r="E3" s="1216"/>
      <c r="F3" s="1216"/>
      <c r="G3" s="1216"/>
      <c r="H3" s="1216"/>
      <c r="I3" s="1"/>
    </row>
    <row r="6" spans="2:15" ht="18.75">
      <c r="B6" s="1217" t="s">
        <v>82</v>
      </c>
      <c r="C6" s="1217"/>
      <c r="D6" s="1217"/>
      <c r="E6" s="1217"/>
      <c r="F6" s="1217"/>
      <c r="G6" s="1217"/>
      <c r="H6" s="1217"/>
    </row>
    <row r="8" spans="2:15" ht="18.75">
      <c r="B8" s="61" t="s">
        <v>19</v>
      </c>
      <c r="C8" s="61" t="s">
        <v>20</v>
      </c>
      <c r="D8" s="61" t="s">
        <v>21</v>
      </c>
      <c r="E8" s="61" t="s">
        <v>22</v>
      </c>
      <c r="F8" s="61" t="s">
        <v>77</v>
      </c>
      <c r="G8" s="61" t="s">
        <v>75</v>
      </c>
      <c r="H8" s="61" t="s">
        <v>79</v>
      </c>
      <c r="I8" s="62" t="s">
        <v>48</v>
      </c>
      <c r="J8" s="62" t="s">
        <v>72</v>
      </c>
      <c r="M8" s="19"/>
      <c r="N8" s="19"/>
      <c r="O8" s="19"/>
    </row>
    <row r="9" spans="2:15">
      <c r="B9" s="341" t="s">
        <v>93</v>
      </c>
      <c r="C9" s="341" t="s">
        <v>93</v>
      </c>
      <c r="D9" s="341" t="s">
        <v>93</v>
      </c>
      <c r="E9" s="341" t="s">
        <v>93</v>
      </c>
      <c r="F9" s="341" t="s">
        <v>93</v>
      </c>
      <c r="G9" s="341" t="s">
        <v>93</v>
      </c>
      <c r="H9" s="341" t="s">
        <v>93</v>
      </c>
      <c r="I9" s="342" t="s">
        <v>93</v>
      </c>
      <c r="J9" s="341" t="s">
        <v>93</v>
      </c>
      <c r="M9" s="19"/>
      <c r="N9" s="19"/>
      <c r="O9" s="19"/>
    </row>
    <row r="10" spans="2:15">
      <c r="B10" s="56" t="s">
        <v>244</v>
      </c>
      <c r="C10" s="56" t="s">
        <v>17</v>
      </c>
      <c r="D10" s="56" t="s">
        <v>227</v>
      </c>
      <c r="E10" s="56" t="s">
        <v>237</v>
      </c>
      <c r="F10" s="56" t="s">
        <v>55</v>
      </c>
      <c r="G10" s="329" t="s">
        <v>24</v>
      </c>
      <c r="H10" s="59" t="s">
        <v>29</v>
      </c>
      <c r="I10" s="26" t="s">
        <v>239</v>
      </c>
      <c r="J10" s="341" t="s">
        <v>94</v>
      </c>
      <c r="M10" s="19"/>
      <c r="N10" s="19"/>
      <c r="O10" s="19"/>
    </row>
    <row r="11" spans="2:15">
      <c r="B11" s="56" t="s">
        <v>245</v>
      </c>
      <c r="C11" s="56" t="s">
        <v>16</v>
      </c>
      <c r="D11" s="56" t="s">
        <v>228</v>
      </c>
      <c r="E11" s="56" t="s">
        <v>238</v>
      </c>
      <c r="F11" s="56" t="s">
        <v>56</v>
      </c>
      <c r="G11" s="329" t="s">
        <v>25</v>
      </c>
      <c r="H11" s="59" t="s">
        <v>30</v>
      </c>
      <c r="I11" s="26" t="s">
        <v>240</v>
      </c>
      <c r="J11" s="341" t="s">
        <v>95</v>
      </c>
      <c r="M11" s="19"/>
      <c r="N11" s="19"/>
      <c r="O11" s="19"/>
    </row>
    <row r="12" spans="2:15">
      <c r="B12" s="56" t="s">
        <v>246</v>
      </c>
      <c r="D12" s="56" t="s">
        <v>229</v>
      </c>
      <c r="E12" s="56" t="s">
        <v>18</v>
      </c>
      <c r="F12" s="56" t="s">
        <v>57</v>
      </c>
      <c r="G12" s="329" t="s">
        <v>26</v>
      </c>
      <c r="H12" s="59" t="s">
        <v>31</v>
      </c>
      <c r="I12" s="26" t="s">
        <v>241</v>
      </c>
      <c r="J12" s="341" t="s">
        <v>96</v>
      </c>
      <c r="M12" s="178"/>
      <c r="N12" s="19"/>
      <c r="O12" s="19"/>
    </row>
    <row r="13" spans="2:15">
      <c r="B13" s="56" t="s">
        <v>247</v>
      </c>
      <c r="D13" s="56" t="s">
        <v>230</v>
      </c>
      <c r="E13" s="57"/>
      <c r="F13" s="56" t="s">
        <v>58</v>
      </c>
      <c r="G13" s="329" t="s">
        <v>27</v>
      </c>
      <c r="H13" s="59" t="s">
        <v>32</v>
      </c>
      <c r="I13" s="26" t="s">
        <v>242</v>
      </c>
      <c r="J13" s="341" t="s">
        <v>97</v>
      </c>
      <c r="M13" s="178"/>
      <c r="N13" s="19"/>
      <c r="O13" s="19"/>
    </row>
    <row r="14" spans="2:15">
      <c r="B14" s="56" t="s">
        <v>248</v>
      </c>
      <c r="D14" s="56" t="s">
        <v>231</v>
      </c>
      <c r="F14" s="56" t="s">
        <v>65</v>
      </c>
      <c r="G14" s="329" t="s">
        <v>28</v>
      </c>
      <c r="H14" s="59" t="s">
        <v>33</v>
      </c>
      <c r="I14" s="26" t="s">
        <v>76</v>
      </c>
      <c r="J14" s="341" t="s">
        <v>98</v>
      </c>
      <c r="M14" s="178"/>
      <c r="N14" s="19"/>
      <c r="O14" s="19"/>
    </row>
    <row r="15" spans="2:15">
      <c r="D15" s="56" t="s">
        <v>232</v>
      </c>
      <c r="F15" s="56" t="s">
        <v>66</v>
      </c>
      <c r="H15" s="59" t="s">
        <v>34</v>
      </c>
      <c r="I15" s="26" t="s">
        <v>39</v>
      </c>
      <c r="J15" s="341" t="s">
        <v>99</v>
      </c>
      <c r="M15" s="178"/>
      <c r="N15" s="19"/>
      <c r="O15" s="19"/>
    </row>
    <row r="16" spans="2:15">
      <c r="D16" s="56" t="s">
        <v>233</v>
      </c>
      <c r="F16" s="56" t="s">
        <v>67</v>
      </c>
      <c r="H16" s="59" t="s">
        <v>35</v>
      </c>
      <c r="I16" s="26" t="s">
        <v>40</v>
      </c>
      <c r="J16" s="341" t="s">
        <v>100</v>
      </c>
      <c r="M16" s="178"/>
      <c r="N16" s="19"/>
      <c r="O16" s="19"/>
    </row>
    <row r="17" spans="4:15">
      <c r="D17" s="56" t="s">
        <v>234</v>
      </c>
      <c r="F17" s="56" t="s">
        <v>68</v>
      </c>
      <c r="H17" s="59" t="s">
        <v>36</v>
      </c>
      <c r="I17" s="26" t="s">
        <v>41</v>
      </c>
      <c r="J17" s="341" t="s">
        <v>101</v>
      </c>
      <c r="M17" s="178"/>
      <c r="N17" s="19"/>
      <c r="O17" s="19"/>
    </row>
    <row r="18" spans="4:15">
      <c r="D18" s="56" t="s">
        <v>235</v>
      </c>
      <c r="F18" s="56" t="s">
        <v>69</v>
      </c>
      <c r="H18" s="59" t="s">
        <v>37</v>
      </c>
      <c r="I18" s="26" t="s">
        <v>42</v>
      </c>
      <c r="J18" s="341" t="s">
        <v>102</v>
      </c>
      <c r="M18" s="178"/>
      <c r="N18" s="19"/>
      <c r="O18" s="19"/>
    </row>
    <row r="19" spans="4:15">
      <c r="D19" s="56" t="s">
        <v>236</v>
      </c>
      <c r="F19" s="56" t="s">
        <v>70</v>
      </c>
      <c r="H19" s="59" t="s">
        <v>38</v>
      </c>
      <c r="I19" s="26" t="s">
        <v>43</v>
      </c>
      <c r="J19" s="341" t="s">
        <v>103</v>
      </c>
      <c r="M19" s="178"/>
      <c r="N19" s="19"/>
      <c r="O19" s="19"/>
    </row>
    <row r="20" spans="4:15">
      <c r="D20" s="58"/>
      <c r="F20" s="56" t="s">
        <v>71</v>
      </c>
      <c r="H20" s="59" t="s">
        <v>73</v>
      </c>
      <c r="I20" s="26" t="s">
        <v>44</v>
      </c>
      <c r="J20" s="341" t="s">
        <v>104</v>
      </c>
      <c r="M20" s="19"/>
      <c r="N20" s="19"/>
      <c r="O20" s="19"/>
    </row>
    <row r="21" spans="4:15">
      <c r="D21" s="60"/>
      <c r="F21" s="56" t="s">
        <v>78</v>
      </c>
      <c r="H21" s="60"/>
      <c r="I21" s="26" t="s">
        <v>46</v>
      </c>
      <c r="J21" s="341" t="s">
        <v>105</v>
      </c>
      <c r="M21" s="19"/>
      <c r="N21" s="19"/>
      <c r="O21" s="19"/>
    </row>
    <row r="22" spans="4:15">
      <c r="H22" s="60"/>
      <c r="I22" s="26" t="s">
        <v>47</v>
      </c>
      <c r="J22" s="341" t="s">
        <v>106</v>
      </c>
      <c r="M22" s="19"/>
      <c r="N22" s="19"/>
      <c r="O22" s="19"/>
    </row>
    <row r="23" spans="4:15">
      <c r="I23" s="26" t="s">
        <v>45</v>
      </c>
      <c r="J23" s="341" t="s">
        <v>107</v>
      </c>
      <c r="M23" s="19"/>
      <c r="N23" s="19"/>
      <c r="O23" s="19"/>
    </row>
    <row r="24" spans="4:15">
      <c r="I24" s="26" t="s">
        <v>81</v>
      </c>
      <c r="J24" s="341" t="s">
        <v>108</v>
      </c>
      <c r="M24" s="19"/>
      <c r="N24" s="19"/>
      <c r="O24" s="19"/>
    </row>
    <row r="25" spans="4:15">
      <c r="I25" s="44"/>
      <c r="J25" s="341" t="s">
        <v>109</v>
      </c>
    </row>
    <row r="26" spans="4:15">
      <c r="I26" s="26" t="s">
        <v>243</v>
      </c>
      <c r="J26" s="341" t="s">
        <v>110</v>
      </c>
    </row>
    <row r="27" spans="4:15">
      <c r="I27" s="26" t="s">
        <v>80</v>
      </c>
      <c r="J27" s="341" t="s">
        <v>111</v>
      </c>
    </row>
    <row r="28" spans="4:15">
      <c r="I28" s="44" t="s">
        <v>428</v>
      </c>
      <c r="J28" s="341" t="s">
        <v>112</v>
      </c>
    </row>
    <row r="29" spans="4:15">
      <c r="I29" s="44" t="s">
        <v>429</v>
      </c>
      <c r="J29" s="341" t="s">
        <v>113</v>
      </c>
    </row>
    <row r="30" spans="4:15">
      <c r="I30" s="44" t="s">
        <v>44</v>
      </c>
      <c r="J30" s="341" t="s">
        <v>114</v>
      </c>
    </row>
    <row r="31" spans="4:15">
      <c r="J31" s="341" t="s">
        <v>115</v>
      </c>
    </row>
    <row r="32" spans="4:15">
      <c r="J32" s="341" t="s">
        <v>116</v>
      </c>
    </row>
    <row r="33" spans="10:10">
      <c r="J33" s="341" t="s">
        <v>117</v>
      </c>
    </row>
    <row r="34" spans="10:10">
      <c r="J34" s="341" t="s">
        <v>118</v>
      </c>
    </row>
    <row r="35" spans="10:10">
      <c r="J35" s="341" t="s">
        <v>119</v>
      </c>
    </row>
    <row r="36" spans="10:10">
      <c r="J36" s="341" t="s">
        <v>119</v>
      </c>
    </row>
    <row r="37" spans="10:10">
      <c r="J37" s="341" t="s">
        <v>120</v>
      </c>
    </row>
    <row r="38" spans="10:10">
      <c r="J38" s="341" t="s">
        <v>121</v>
      </c>
    </row>
    <row r="39" spans="10:10">
      <c r="J39" s="341" t="s">
        <v>122</v>
      </c>
    </row>
    <row r="40" spans="10:10">
      <c r="J40" s="341" t="s">
        <v>123</v>
      </c>
    </row>
    <row r="41" spans="10:10">
      <c r="J41" s="341" t="s">
        <v>124</v>
      </c>
    </row>
    <row r="42" spans="10:10">
      <c r="J42" s="341" t="s">
        <v>125</v>
      </c>
    </row>
    <row r="43" spans="10:10">
      <c r="J43" s="341" t="s">
        <v>126</v>
      </c>
    </row>
    <row r="44" spans="10:10">
      <c r="J44" s="341" t="s">
        <v>127</v>
      </c>
    </row>
    <row r="45" spans="10:10">
      <c r="J45" s="341" t="s">
        <v>128</v>
      </c>
    </row>
    <row r="46" spans="10:10">
      <c r="J46" s="341" t="s">
        <v>129</v>
      </c>
    </row>
    <row r="47" spans="10:10">
      <c r="J47" s="341" t="s">
        <v>130</v>
      </c>
    </row>
    <row r="48" spans="10:10">
      <c r="J48" s="341" t="s">
        <v>131</v>
      </c>
    </row>
    <row r="49" spans="10:10">
      <c r="J49" s="341" t="s">
        <v>132</v>
      </c>
    </row>
    <row r="50" spans="10:10">
      <c r="J50" s="341" t="s">
        <v>133</v>
      </c>
    </row>
    <row r="51" spans="10:10">
      <c r="J51" s="341" t="s">
        <v>134</v>
      </c>
    </row>
    <row r="52" spans="10:10">
      <c r="J52" s="341" t="s">
        <v>135</v>
      </c>
    </row>
    <row r="53" spans="10:10">
      <c r="J53" s="341" t="s">
        <v>136</v>
      </c>
    </row>
    <row r="54" spans="10:10">
      <c r="J54" s="341" t="s">
        <v>137</v>
      </c>
    </row>
    <row r="55" spans="10:10">
      <c r="J55" s="341" t="s">
        <v>138</v>
      </c>
    </row>
    <row r="56" spans="10:10">
      <c r="J56" s="341" t="s">
        <v>139</v>
      </c>
    </row>
    <row r="57" spans="10:10">
      <c r="J57" s="341" t="s">
        <v>140</v>
      </c>
    </row>
    <row r="58" spans="10:10">
      <c r="J58" s="341" t="s">
        <v>141</v>
      </c>
    </row>
    <row r="59" spans="10:10">
      <c r="J59" s="341" t="s">
        <v>174</v>
      </c>
    </row>
    <row r="60" spans="10:10">
      <c r="J60" s="341" t="s">
        <v>142</v>
      </c>
    </row>
    <row r="61" spans="10:10">
      <c r="J61" s="341" t="s">
        <v>143</v>
      </c>
    </row>
    <row r="62" spans="10:10">
      <c r="J62" s="341" t="s">
        <v>144</v>
      </c>
    </row>
    <row r="63" spans="10:10">
      <c r="J63" s="341" t="s">
        <v>145</v>
      </c>
    </row>
    <row r="64" spans="10:10">
      <c r="J64" s="341" t="s">
        <v>146</v>
      </c>
    </row>
    <row r="65" spans="10:10">
      <c r="J65" s="341" t="s">
        <v>147</v>
      </c>
    </row>
    <row r="66" spans="10:10">
      <c r="J66" s="341" t="s">
        <v>148</v>
      </c>
    </row>
    <row r="67" spans="10:10">
      <c r="J67" s="341" t="s">
        <v>149</v>
      </c>
    </row>
    <row r="68" spans="10:10">
      <c r="J68" s="341" t="s">
        <v>150</v>
      </c>
    </row>
    <row r="69" spans="10:10">
      <c r="J69" s="341" t="s">
        <v>151</v>
      </c>
    </row>
    <row r="70" spans="10:10">
      <c r="J70" s="341" t="s">
        <v>152</v>
      </c>
    </row>
    <row r="71" spans="10:10">
      <c r="J71" s="341" t="s">
        <v>153</v>
      </c>
    </row>
    <row r="72" spans="10:10">
      <c r="J72" s="341" t="s">
        <v>154</v>
      </c>
    </row>
    <row r="73" spans="10:10">
      <c r="J73" s="341" t="s">
        <v>155</v>
      </c>
    </row>
    <row r="74" spans="10:10">
      <c r="J74" s="341" t="s">
        <v>156</v>
      </c>
    </row>
    <row r="75" spans="10:10">
      <c r="J75" s="341" t="s">
        <v>157</v>
      </c>
    </row>
    <row r="76" spans="10:10">
      <c r="J76" s="341" t="s">
        <v>158</v>
      </c>
    </row>
    <row r="77" spans="10:10">
      <c r="J77" s="341" t="s">
        <v>159</v>
      </c>
    </row>
    <row r="78" spans="10:10">
      <c r="J78" s="341" t="s">
        <v>160</v>
      </c>
    </row>
    <row r="79" spans="10:10">
      <c r="J79" s="341" t="s">
        <v>161</v>
      </c>
    </row>
    <row r="80" spans="10:10">
      <c r="J80" s="341" t="s">
        <v>162</v>
      </c>
    </row>
    <row r="81" spans="10:10">
      <c r="J81" s="341" t="s">
        <v>163</v>
      </c>
    </row>
    <row r="82" spans="10:10">
      <c r="J82" s="341" t="s">
        <v>164</v>
      </c>
    </row>
    <row r="83" spans="10:10">
      <c r="J83" s="341" t="s">
        <v>165</v>
      </c>
    </row>
    <row r="84" spans="10:10">
      <c r="J84" s="341" t="s">
        <v>166</v>
      </c>
    </row>
    <row r="85" spans="10:10">
      <c r="J85" s="341" t="s">
        <v>167</v>
      </c>
    </row>
    <row r="86" spans="10:10">
      <c r="J86" s="341" t="s">
        <v>168</v>
      </c>
    </row>
    <row r="87" spans="10:10">
      <c r="J87" s="341" t="s">
        <v>169</v>
      </c>
    </row>
    <row r="88" spans="10:10">
      <c r="J88" s="341" t="s">
        <v>170</v>
      </c>
    </row>
    <row r="89" spans="10:10">
      <c r="J89" s="341" t="s">
        <v>171</v>
      </c>
    </row>
    <row r="90" spans="10:10">
      <c r="J90" s="341" t="s">
        <v>172</v>
      </c>
    </row>
    <row r="91" spans="10:10">
      <c r="J91" s="341" t="s">
        <v>173</v>
      </c>
    </row>
    <row r="92" spans="10:10">
      <c r="J92" s="341" t="s">
        <v>175</v>
      </c>
    </row>
    <row r="93" spans="10:10">
      <c r="J93" s="341" t="s">
        <v>176</v>
      </c>
    </row>
    <row r="94" spans="10:10">
      <c r="J94" s="341" t="s">
        <v>177</v>
      </c>
    </row>
    <row r="95" spans="10:10">
      <c r="J95" s="341" t="s">
        <v>178</v>
      </c>
    </row>
    <row r="96" spans="10:10">
      <c r="J96" s="341" t="s">
        <v>179</v>
      </c>
    </row>
    <row r="97" spans="10:10">
      <c r="J97" s="341" t="s">
        <v>180</v>
      </c>
    </row>
    <row r="98" spans="10:10">
      <c r="J98" s="341" t="s">
        <v>181</v>
      </c>
    </row>
    <row r="99" spans="10:10">
      <c r="J99" s="341" t="s">
        <v>182</v>
      </c>
    </row>
    <row r="100" spans="10:10">
      <c r="J100" s="341" t="s">
        <v>183</v>
      </c>
    </row>
    <row r="101" spans="10:10">
      <c r="J101" s="341" t="s">
        <v>184</v>
      </c>
    </row>
    <row r="102" spans="10:10">
      <c r="J102" s="341" t="s">
        <v>185</v>
      </c>
    </row>
    <row r="103" spans="10:10">
      <c r="J103" s="341" t="s">
        <v>186</v>
      </c>
    </row>
    <row r="104" spans="10:10">
      <c r="J104" s="341" t="s">
        <v>187</v>
      </c>
    </row>
    <row r="105" spans="10:10">
      <c r="J105" s="341" t="s">
        <v>188</v>
      </c>
    </row>
    <row r="106" spans="10:10">
      <c r="J106" s="341" t="s">
        <v>189</v>
      </c>
    </row>
    <row r="107" spans="10:10">
      <c r="J107" s="341" t="s">
        <v>190</v>
      </c>
    </row>
    <row r="108" spans="10:10">
      <c r="J108" s="341" t="s">
        <v>191</v>
      </c>
    </row>
    <row r="109" spans="10:10">
      <c r="J109" s="341" t="s">
        <v>192</v>
      </c>
    </row>
    <row r="110" spans="10:10">
      <c r="J110" s="341" t="s">
        <v>193</v>
      </c>
    </row>
    <row r="111" spans="10:10">
      <c r="J111" s="341" t="s">
        <v>194</v>
      </c>
    </row>
    <row r="112" spans="10:10">
      <c r="J112" s="341" t="s">
        <v>195</v>
      </c>
    </row>
    <row r="113" spans="10:10">
      <c r="J113" s="341" t="s">
        <v>196</v>
      </c>
    </row>
    <row r="114" spans="10:10">
      <c r="J114" s="341" t="s">
        <v>197</v>
      </c>
    </row>
    <row r="115" spans="10:10">
      <c r="J115" s="341" t="s">
        <v>198</v>
      </c>
    </row>
    <row r="116" spans="10:10">
      <c r="J116" s="341" t="s">
        <v>199</v>
      </c>
    </row>
    <row r="117" spans="10:10">
      <c r="J117" s="341" t="s">
        <v>200</v>
      </c>
    </row>
    <row r="118" spans="10:10">
      <c r="J118" s="341" t="s">
        <v>201</v>
      </c>
    </row>
    <row r="119" spans="10:10">
      <c r="J119" s="341" t="s">
        <v>202</v>
      </c>
    </row>
    <row r="120" spans="10:10">
      <c r="J120" s="341" t="s">
        <v>203</v>
      </c>
    </row>
    <row r="121" spans="10:10">
      <c r="J121" s="341" t="s">
        <v>204</v>
      </c>
    </row>
    <row r="122" spans="10:10">
      <c r="J122" s="341" t="s">
        <v>205</v>
      </c>
    </row>
    <row r="123" spans="10:10">
      <c r="J123" s="341" t="s">
        <v>206</v>
      </c>
    </row>
    <row r="124" spans="10:10">
      <c r="J124" s="341" t="s">
        <v>207</v>
      </c>
    </row>
    <row r="125" spans="10:10">
      <c r="J125" s="341" t="s">
        <v>208</v>
      </c>
    </row>
    <row r="126" spans="10:10">
      <c r="J126" s="341" t="s">
        <v>209</v>
      </c>
    </row>
    <row r="127" spans="10:10">
      <c r="J127" s="341" t="s">
        <v>210</v>
      </c>
    </row>
    <row r="128" spans="10:10">
      <c r="J128" s="341" t="s">
        <v>211</v>
      </c>
    </row>
    <row r="129" spans="10:10">
      <c r="J129" s="341" t="s">
        <v>212</v>
      </c>
    </row>
    <row r="130" spans="10:10">
      <c r="J130" s="341" t="s">
        <v>213</v>
      </c>
    </row>
    <row r="131" spans="10:10">
      <c r="J131" s="341" t="s">
        <v>214</v>
      </c>
    </row>
    <row r="132" spans="10:10">
      <c r="J132" s="341" t="s">
        <v>215</v>
      </c>
    </row>
    <row r="133" spans="10:10">
      <c r="J133" s="341" t="s">
        <v>216</v>
      </c>
    </row>
    <row r="134" spans="10:10">
      <c r="J134" s="341" t="s">
        <v>217</v>
      </c>
    </row>
    <row r="135" spans="10:10">
      <c r="J135" s="341" t="s">
        <v>218</v>
      </c>
    </row>
    <row r="136" spans="10:10">
      <c r="J136" s="341" t="s">
        <v>219</v>
      </c>
    </row>
    <row r="137" spans="10:10">
      <c r="J137" s="341" t="s">
        <v>220</v>
      </c>
    </row>
    <row r="138" spans="10:10">
      <c r="J138" s="341" t="s">
        <v>221</v>
      </c>
    </row>
    <row r="139" spans="10:10">
      <c r="J139" s="341" t="s">
        <v>222</v>
      </c>
    </row>
    <row r="140" spans="10:10">
      <c r="J140" s="341" t="s">
        <v>223</v>
      </c>
    </row>
    <row r="141" spans="10:10">
      <c r="J141" s="341" t="s">
        <v>224</v>
      </c>
    </row>
    <row r="142" spans="10:10">
      <c r="J142" s="341" t="s">
        <v>225</v>
      </c>
    </row>
    <row r="143" spans="10:10">
      <c r="J143" s="341" t="s">
        <v>226</v>
      </c>
    </row>
    <row r="144" spans="10:10">
      <c r="J144" s="325"/>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364" t="s">
        <v>284</v>
      </c>
      <c r="B1" t="s">
        <v>285</v>
      </c>
    </row>
    <row r="2" spans="1:2">
      <c r="A2" s="364" t="s">
        <v>286</v>
      </c>
      <c r="B2" t="s">
        <v>287</v>
      </c>
    </row>
    <row r="3" spans="1:2">
      <c r="A3" s="364" t="s">
        <v>288</v>
      </c>
      <c r="B3" t="s">
        <v>289</v>
      </c>
    </row>
    <row r="4" spans="1:2">
      <c r="A4" s="364" t="s">
        <v>290</v>
      </c>
      <c r="B4" t="s">
        <v>291</v>
      </c>
    </row>
    <row r="5" spans="1:2">
      <c r="A5" s="364" t="s">
        <v>292</v>
      </c>
      <c r="B5" t="s">
        <v>293</v>
      </c>
    </row>
    <row r="6" spans="1:2">
      <c r="A6" s="364" t="s">
        <v>294</v>
      </c>
      <c r="B6" t="s">
        <v>295</v>
      </c>
    </row>
    <row r="7" spans="1:2">
      <c r="A7" s="364" t="s">
        <v>296</v>
      </c>
      <c r="B7" t="s">
        <v>297</v>
      </c>
    </row>
    <row r="8" spans="1:2">
      <c r="A8" s="364" t="s">
        <v>298</v>
      </c>
      <c r="B8" t="s">
        <v>299</v>
      </c>
    </row>
    <row r="9" spans="1:2">
      <c r="A9" s="364" t="s">
        <v>300</v>
      </c>
      <c r="B9" t="s">
        <v>311</v>
      </c>
    </row>
    <row r="10" spans="1:2">
      <c r="A10" s="364" t="s">
        <v>301</v>
      </c>
      <c r="B10" t="s">
        <v>302</v>
      </c>
    </row>
    <row r="11" spans="1:2">
      <c r="A11" s="364" t="s">
        <v>303</v>
      </c>
      <c r="B11" t="s">
        <v>304</v>
      </c>
    </row>
    <row r="12" spans="1:2">
      <c r="A12" s="364" t="s">
        <v>265</v>
      </c>
      <c r="B12" t="s">
        <v>305</v>
      </c>
    </row>
    <row r="13" spans="1:2">
      <c r="A13" s="364" t="s">
        <v>306</v>
      </c>
      <c r="B13" t="s">
        <v>307</v>
      </c>
    </row>
    <row r="14" spans="1:2">
      <c r="A14" s="364" t="s">
        <v>308</v>
      </c>
      <c r="B14" t="s">
        <v>309</v>
      </c>
    </row>
    <row r="15" spans="1:2">
      <c r="A15" s="364" t="s">
        <v>310</v>
      </c>
      <c r="B15" t="s">
        <v>312</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414"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411" t="s">
        <v>432</v>
      </c>
      <c r="C3" s="316">
        <v>196425</v>
      </c>
      <c r="D3" s="319">
        <v>10086.190000000002</v>
      </c>
      <c r="I3" s="416"/>
      <c r="J3" s="417"/>
      <c r="K3" s="417"/>
      <c r="L3" s="417"/>
    </row>
    <row r="4" spans="2:12" ht="34.5">
      <c r="B4" s="411" t="s">
        <v>433</v>
      </c>
      <c r="C4" s="316">
        <v>2920215</v>
      </c>
      <c r="D4" s="319">
        <v>1283202.9400000002</v>
      </c>
      <c r="I4" s="418"/>
      <c r="J4" s="419"/>
      <c r="K4" s="419"/>
      <c r="L4" s="419"/>
    </row>
    <row r="5" spans="2:12">
      <c r="B5" s="412" t="s">
        <v>434</v>
      </c>
      <c r="C5" s="317">
        <v>343499</v>
      </c>
      <c r="D5" s="319">
        <v>304251.71999999997</v>
      </c>
    </row>
    <row r="6" spans="2:12" ht="15.75" thickBot="1">
      <c r="B6" s="413" t="s">
        <v>343</v>
      </c>
      <c r="C6" s="322">
        <f>SUM(C3:C5)</f>
        <v>3460139</v>
      </c>
      <c r="D6" s="323">
        <f>SUM(D3:D5)</f>
        <v>1597540.85</v>
      </c>
      <c r="I6" s="422"/>
      <c r="L6" s="423"/>
    </row>
    <row r="7" spans="2:12" ht="57">
      <c r="I7" s="420" t="s">
        <v>443</v>
      </c>
      <c r="L7" s="421"/>
    </row>
    <row r="8" spans="2:12" ht="34.5">
      <c r="I8" s="422" t="s">
        <v>444</v>
      </c>
      <c r="L8" s="427"/>
    </row>
    <row r="9" spans="2:12">
      <c r="I9" s="422" t="s">
        <v>445</v>
      </c>
      <c r="L9" s="423"/>
    </row>
    <row r="10" spans="2:12" ht="15.75" thickBot="1">
      <c r="B10" s="417"/>
      <c r="C10" s="44" t="s">
        <v>448</v>
      </c>
      <c r="D10" s="44" t="s">
        <v>449</v>
      </c>
      <c r="E10" s="44" t="s">
        <v>446</v>
      </c>
      <c r="F10" s="44" t="s">
        <v>447</v>
      </c>
      <c r="G10" s="44"/>
      <c r="I10" s="424"/>
      <c r="J10" s="425">
        <f>SUM(J6:J9)</f>
        <v>0</v>
      </c>
      <c r="K10" s="425">
        <f>SUM(K6:K9)</f>
        <v>0</v>
      </c>
      <c r="L10" s="426"/>
    </row>
    <row r="11" spans="2:12" ht="26.25">
      <c r="B11" s="433" t="s">
        <v>432</v>
      </c>
      <c r="C11" s="429">
        <v>78211</v>
      </c>
      <c r="D11" s="430">
        <f>445269.08+4207.73</f>
        <v>449476.81</v>
      </c>
      <c r="E11" s="431">
        <v>554706</v>
      </c>
      <c r="F11" s="431">
        <v>459562.80000000005</v>
      </c>
      <c r="G11" s="432"/>
    </row>
    <row r="12" spans="2:12" ht="39">
      <c r="B12" s="433" t="s">
        <v>433</v>
      </c>
      <c r="C12" s="429">
        <v>797425.72399999993</v>
      </c>
      <c r="D12" s="430">
        <f>1328985.16+10597.9</f>
        <v>1339583.0599999998</v>
      </c>
      <c r="E12" s="431">
        <v>4906100</v>
      </c>
      <c r="F12" s="431">
        <v>2622785.89</v>
      </c>
      <c r="G12" s="432"/>
    </row>
    <row r="13" spans="2:12">
      <c r="B13" s="434" t="s">
        <v>434</v>
      </c>
      <c r="C13" s="430">
        <v>282670.70082999999</v>
      </c>
      <c r="D13" s="430">
        <f>116992.65-1717</f>
        <v>115275.65</v>
      </c>
      <c r="E13" s="431">
        <v>659696</v>
      </c>
      <c r="F13" s="431">
        <v>419527.37</v>
      </c>
      <c r="G13" s="432"/>
    </row>
    <row r="14" spans="2:12">
      <c r="B14" s="435" t="s">
        <v>343</v>
      </c>
      <c r="C14" s="436">
        <f>SUM(C11:C13)</f>
        <v>1158307.4248299999</v>
      </c>
      <c r="D14" s="436">
        <f>SUM(D11:D13)</f>
        <v>1904335.5199999998</v>
      </c>
      <c r="E14" s="437">
        <f>SUM(E11:E13)</f>
        <v>6120502</v>
      </c>
      <c r="F14" s="437">
        <f>SUM(F11:F13)</f>
        <v>3501876.0600000005</v>
      </c>
      <c r="G14" s="437"/>
    </row>
    <row r="17" spans="2:9">
      <c r="D17" s="428"/>
    </row>
    <row r="18" spans="2:9">
      <c r="B18" s="414" t="s">
        <v>450</v>
      </c>
      <c r="C18">
        <v>1854771.0908137045</v>
      </c>
      <c r="D18">
        <v>1486069.9447738212</v>
      </c>
      <c r="E18">
        <f>SUM(C18:D18)</f>
        <v>3340841.0355875259</v>
      </c>
      <c r="F18">
        <v>1515782.6800000002</v>
      </c>
      <c r="G18">
        <f>F18-D18</f>
        <v>29712.735226179007</v>
      </c>
    </row>
    <row r="19" spans="2:9">
      <c r="B19" s="414" t="s">
        <v>451</v>
      </c>
      <c r="C19">
        <v>64356.800000000003</v>
      </c>
      <c r="D19">
        <v>96678.23</v>
      </c>
      <c r="E19">
        <f t="shared" ref="E19:E20" si="0">SUM(C19:D19)</f>
        <v>161035.03</v>
      </c>
      <c r="F19">
        <v>87839.17</v>
      </c>
      <c r="G19">
        <f>F19-D19</f>
        <v>-8839.0599999999977</v>
      </c>
    </row>
    <row r="20" spans="2:9">
      <c r="B20" s="414" t="s">
        <v>452</v>
      </c>
      <c r="C20">
        <v>1919127.8908137046</v>
      </c>
      <c r="D20">
        <v>1582748.1747738211</v>
      </c>
      <c r="E20">
        <f t="shared" si="0"/>
        <v>3501876.0655875257</v>
      </c>
      <c r="F20">
        <f>SUM(F18:F19)</f>
        <v>1603621.85</v>
      </c>
    </row>
    <row r="21" spans="2:9">
      <c r="D21">
        <v>1603622</v>
      </c>
    </row>
    <row r="22" spans="2:9">
      <c r="D22" s="438">
        <f>D21-D20</f>
        <v>20873.825226178858</v>
      </c>
      <c r="F22" s="428">
        <f>D14+F20</f>
        <v>3507957.37</v>
      </c>
    </row>
    <row r="25" spans="2:9" ht="45">
      <c r="E25" s="415" t="s">
        <v>453</v>
      </c>
      <c r="F25" t="s">
        <v>454</v>
      </c>
      <c r="H25" t="s">
        <v>455</v>
      </c>
    </row>
    <row r="26" spans="2:9">
      <c r="B26" s="414" t="s">
        <v>325</v>
      </c>
      <c r="C26">
        <v>5365504</v>
      </c>
      <c r="D26">
        <v>4274978</v>
      </c>
      <c r="E26">
        <v>9640482</v>
      </c>
      <c r="F26">
        <v>5365504</v>
      </c>
      <c r="G26">
        <f>E26-F26</f>
        <v>4274978</v>
      </c>
      <c r="H26">
        <v>4274978</v>
      </c>
    </row>
    <row r="27" spans="2:9">
      <c r="B27" s="414" t="s">
        <v>326</v>
      </c>
      <c r="C27">
        <v>2778659</v>
      </c>
      <c r="D27">
        <v>1515782.6</v>
      </c>
      <c r="E27">
        <v>4302570</v>
      </c>
      <c r="F27">
        <v>2778659</v>
      </c>
      <c r="G27">
        <f t="shared" ref="G27:G28" si="1">E27-F27</f>
        <v>1523911</v>
      </c>
      <c r="H27">
        <v>1515783</v>
      </c>
      <c r="I27">
        <f>E27-H27</f>
        <v>2786787</v>
      </c>
    </row>
    <row r="28" spans="2:9">
      <c r="B28" s="414" t="s">
        <v>327</v>
      </c>
      <c r="C28">
        <v>146899</v>
      </c>
      <c r="D28">
        <v>87839</v>
      </c>
      <c r="E28">
        <v>228574</v>
      </c>
      <c r="F28">
        <v>146899</v>
      </c>
      <c r="G28">
        <f t="shared" si="1"/>
        <v>81675</v>
      </c>
      <c r="H28">
        <v>87839</v>
      </c>
      <c r="I28">
        <f>E28-H28</f>
        <v>140735</v>
      </c>
    </row>
    <row r="29" spans="2:9">
      <c r="B29" s="414" t="s">
        <v>355</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V83"/>
  <sheetViews>
    <sheetView showGridLines="0" zoomScale="75" zoomScaleNormal="100" workbookViewId="0">
      <pane ySplit="2" topLeftCell="A60" activePane="bottomLeft" state="frozen"/>
      <selection activeCell="E22" sqref="E22"/>
      <selection pane="bottomLeft" activeCell="B67" sqref="B67"/>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33.7109375" customWidth="1"/>
    <col min="13" max="13" width="49.42578125" customWidth="1"/>
    <col min="14" max="14" width="2.570312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92" t="str">
        <f>+"Панель показателей: "&amp;" "&amp;+IF('Ввод данных'!B4="Выберите","",'Ввод данных'!B4&amp;" - ")&amp;+IF('Ввод данных'!F6="Выберите","",'Ввод данных'!F6)</f>
        <v>Панель показателей:  Кыргызстан - ВИЧ/СПИД/ТБ</v>
      </c>
      <c r="C2" s="692"/>
      <c r="D2" s="692"/>
      <c r="E2" s="692"/>
      <c r="F2" s="692"/>
      <c r="G2" s="692"/>
      <c r="H2" s="692"/>
      <c r="I2" s="692"/>
      <c r="J2" s="692"/>
      <c r="K2" s="692"/>
      <c r="L2" s="692"/>
      <c r="M2" s="692"/>
    </row>
    <row r="3" spans="1:15" ht="15.75" customHeight="1">
      <c r="A3" s="3"/>
      <c r="B3" s="196"/>
      <c r="C3" s="196"/>
      <c r="D3" s="196"/>
      <c r="E3" s="196"/>
      <c r="F3" s="196"/>
      <c r="G3" s="196"/>
      <c r="H3" s="196"/>
      <c r="I3" s="196"/>
      <c r="J3" s="196"/>
      <c r="K3" s="197"/>
      <c r="L3" s="197"/>
      <c r="M3" s="3"/>
    </row>
    <row r="5" spans="1:15" ht="23.25">
      <c r="B5" s="667" t="s">
        <v>313</v>
      </c>
      <c r="C5" s="667"/>
      <c r="D5" s="667"/>
      <c r="E5" s="667"/>
      <c r="F5" s="667"/>
      <c r="G5" s="667"/>
      <c r="H5" s="667"/>
      <c r="I5" s="667"/>
      <c r="J5" s="667"/>
      <c r="K5" s="667"/>
      <c r="L5" s="667"/>
      <c r="M5" s="667"/>
      <c r="N5" s="667"/>
      <c r="O5" s="667"/>
    </row>
    <row r="7" spans="1:15" s="383" customFormat="1" ht="21">
      <c r="B7" s="696" t="s">
        <v>87</v>
      </c>
      <c r="C7" s="697"/>
      <c r="D7" s="698"/>
      <c r="E7" s="696" t="s">
        <v>88</v>
      </c>
      <c r="F7" s="697"/>
      <c r="G7" s="697"/>
      <c r="H7" s="697"/>
      <c r="I7" s="698"/>
      <c r="J7" s="696" t="s">
        <v>89</v>
      </c>
      <c r="K7" s="697"/>
      <c r="L7" s="698"/>
      <c r="M7" s="696" t="s">
        <v>9</v>
      </c>
      <c r="N7" s="697"/>
      <c r="O7" s="698"/>
    </row>
    <row r="8" spans="1:15" ht="117.75" customHeight="1">
      <c r="B8" s="687" t="str">
        <f>+'Ввод данных'!A27</f>
        <v>F1: Бюджет и выплаты Глобальным фондом</v>
      </c>
      <c r="C8" s="702"/>
      <c r="D8" s="703"/>
      <c r="E8" s="699" t="s">
        <v>419</v>
      </c>
      <c r="F8" s="700"/>
      <c r="G8" s="700"/>
      <c r="H8" s="700"/>
      <c r="I8" s="701"/>
      <c r="J8" s="693" t="s">
        <v>427</v>
      </c>
      <c r="K8" s="694"/>
      <c r="L8" s="695"/>
      <c r="M8" s="693" t="s">
        <v>12</v>
      </c>
      <c r="N8" s="694"/>
      <c r="O8" s="695"/>
    </row>
    <row r="9" spans="1:15" ht="117.75" customHeight="1">
      <c r="B9" s="707" t="str">
        <f>+'Ввод данных'!A36</f>
        <v>F2: Бюджет и фактические расходы согласно задачам гранта</v>
      </c>
      <c r="C9" s="716"/>
      <c r="D9" s="717"/>
      <c r="E9" s="710" t="s">
        <v>418</v>
      </c>
      <c r="F9" s="690"/>
      <c r="G9" s="690"/>
      <c r="H9" s="690"/>
      <c r="I9" s="691"/>
      <c r="J9" s="693" t="s">
        <v>426</v>
      </c>
      <c r="K9" s="694"/>
      <c r="L9" s="695"/>
      <c r="M9" s="693" t="s">
        <v>12</v>
      </c>
      <c r="N9" s="694"/>
      <c r="O9" s="695"/>
    </row>
    <row r="10" spans="1:15" ht="247.5" customHeight="1">
      <c r="B10" s="707" t="str">
        <f>+'Ввод данных'!A58</f>
        <v>F3: Выплаты и расходы</v>
      </c>
      <c r="C10" s="716"/>
      <c r="D10" s="717"/>
      <c r="E10" s="710" t="s">
        <v>417</v>
      </c>
      <c r="F10" s="690"/>
      <c r="G10" s="690"/>
      <c r="H10" s="690"/>
      <c r="I10" s="691"/>
      <c r="J10" s="693" t="s">
        <v>425</v>
      </c>
      <c r="K10" s="694"/>
      <c r="L10" s="695"/>
      <c r="M10" s="693" t="s">
        <v>5</v>
      </c>
      <c r="N10" s="694"/>
      <c r="O10" s="695"/>
    </row>
    <row r="11" spans="1:15" ht="252.75" customHeight="1">
      <c r="B11" s="707" t="str">
        <f>+'Ввод данных'!A67</f>
        <v>F4: Последний отчетный и платежный цикл ОР</v>
      </c>
      <c r="C11" s="708"/>
      <c r="D11" s="709"/>
      <c r="E11" s="710" t="s">
        <v>416</v>
      </c>
      <c r="F11" s="690"/>
      <c r="G11" s="690"/>
      <c r="H11" s="690"/>
      <c r="I11" s="691"/>
      <c r="J11" s="693" t="s">
        <v>358</v>
      </c>
      <c r="K11" s="694"/>
      <c r="L11" s="695"/>
      <c r="M11" s="693" t="s">
        <v>6</v>
      </c>
      <c r="N11" s="694"/>
      <c r="O11" s="695"/>
    </row>
    <row r="12" spans="1:15" s="19" customFormat="1">
      <c r="B12" s="718"/>
      <c r="C12" s="718"/>
      <c r="D12" s="718"/>
      <c r="E12" s="719"/>
      <c r="F12" s="719"/>
      <c r="G12" s="719"/>
      <c r="H12" s="719"/>
      <c r="I12" s="719"/>
      <c r="J12" s="719"/>
      <c r="K12" s="719"/>
      <c r="L12" s="719"/>
      <c r="M12" s="719"/>
      <c r="N12" s="719"/>
      <c r="O12" s="719"/>
    </row>
    <row r="13" spans="1:15" s="19" customFormat="1">
      <c r="B13" s="686"/>
      <c r="C13" s="686"/>
      <c r="D13" s="686"/>
      <c r="E13" s="666"/>
      <c r="F13" s="666"/>
      <c r="G13" s="666"/>
      <c r="H13" s="666"/>
      <c r="I13" s="666"/>
      <c r="J13" s="666"/>
      <c r="K13" s="666"/>
      <c r="L13" s="666"/>
      <c r="M13" s="666"/>
      <c r="N13" s="666"/>
      <c r="O13" s="666"/>
    </row>
    <row r="14" spans="1:15" s="19" customFormat="1">
      <c r="B14" s="686"/>
      <c r="C14" s="686"/>
      <c r="D14" s="686"/>
      <c r="E14" s="666"/>
      <c r="F14" s="666"/>
      <c r="G14" s="666"/>
      <c r="H14" s="666"/>
      <c r="I14" s="666"/>
      <c r="J14" s="666"/>
      <c r="K14" s="666"/>
      <c r="L14" s="666"/>
      <c r="M14" s="666"/>
      <c r="N14" s="666"/>
      <c r="O14" s="666"/>
    </row>
    <row r="15" spans="1:15" s="19" customFormat="1">
      <c r="B15" s="686"/>
      <c r="C15" s="686"/>
      <c r="D15" s="686"/>
      <c r="E15" s="666"/>
      <c r="F15" s="666"/>
      <c r="G15" s="666"/>
      <c r="H15" s="666"/>
      <c r="I15" s="666"/>
      <c r="J15" s="666"/>
      <c r="K15" s="666"/>
      <c r="L15" s="666"/>
      <c r="M15" s="666"/>
      <c r="N15" s="666"/>
      <c r="O15" s="666"/>
    </row>
    <row r="16" spans="1:15" ht="23.25">
      <c r="B16" s="667" t="s">
        <v>277</v>
      </c>
      <c r="C16" s="667"/>
      <c r="D16" s="667"/>
      <c r="E16" s="667"/>
      <c r="F16" s="667"/>
      <c r="G16" s="667"/>
      <c r="H16" s="667"/>
      <c r="I16" s="667"/>
      <c r="J16" s="667"/>
      <c r="K16" s="667"/>
      <c r="L16" s="667"/>
      <c r="M16" s="667"/>
      <c r="N16" s="667"/>
      <c r="O16" s="667"/>
    </row>
    <row r="18" spans="1:15" ht="21">
      <c r="B18" s="663" t="s">
        <v>87</v>
      </c>
      <c r="C18" s="664"/>
      <c r="D18" s="665"/>
      <c r="E18" s="663" t="s">
        <v>88</v>
      </c>
      <c r="F18" s="664"/>
      <c r="G18" s="664"/>
      <c r="H18" s="664"/>
      <c r="I18" s="665"/>
      <c r="J18" s="663" t="s">
        <v>89</v>
      </c>
      <c r="K18" s="664"/>
      <c r="L18" s="665"/>
      <c r="M18" s="663" t="s">
        <v>90</v>
      </c>
      <c r="N18" s="664"/>
      <c r="O18" s="665"/>
    </row>
    <row r="19" spans="1:15" ht="114" customHeight="1">
      <c r="B19" s="687" t="str">
        <f>+'Ввод данных'!A78</f>
        <v>M1: Статус Предварительных условий (ПУ) и Действий с установленным сроком исполнения (ДУС)</v>
      </c>
      <c r="C19" s="688"/>
      <c r="D19" s="689"/>
      <c r="E19" s="710" t="s">
        <v>2</v>
      </c>
      <c r="F19" s="727"/>
      <c r="G19" s="727"/>
      <c r="H19" s="727"/>
      <c r="I19" s="728"/>
      <c r="J19" s="668" t="s">
        <v>423</v>
      </c>
      <c r="K19" s="669"/>
      <c r="L19" s="670"/>
      <c r="M19" s="668" t="s">
        <v>424</v>
      </c>
      <c r="N19" s="669"/>
      <c r="O19" s="670"/>
    </row>
    <row r="20" spans="1:15" ht="102.75" customHeight="1">
      <c r="B20" s="707" t="str">
        <f>+'Ввод данных'!A87</f>
        <v>M2: Статус ключевых руководящих должностей в структуре ОР</v>
      </c>
      <c r="C20" s="708"/>
      <c r="D20" s="709"/>
      <c r="E20" s="710" t="s">
        <v>415</v>
      </c>
      <c r="F20" s="690"/>
      <c r="G20" s="690"/>
      <c r="H20" s="690"/>
      <c r="I20" s="691"/>
      <c r="J20" s="668" t="s">
        <v>422</v>
      </c>
      <c r="K20" s="669"/>
      <c r="L20" s="670"/>
      <c r="M20" s="668" t="s">
        <v>13</v>
      </c>
      <c r="N20" s="669"/>
      <c r="O20" s="670"/>
    </row>
    <row r="21" spans="1:15" ht="141.75" customHeight="1">
      <c r="B21" s="687" t="str">
        <f>+'Ввод данных'!A93</f>
        <v xml:space="preserve">M3: Контрактные соглашения (СР) </v>
      </c>
      <c r="C21" s="688"/>
      <c r="D21" s="689"/>
      <c r="E21" s="668" t="s">
        <v>411</v>
      </c>
      <c r="F21" s="690"/>
      <c r="G21" s="690"/>
      <c r="H21" s="690"/>
      <c r="I21" s="691"/>
      <c r="J21" s="683" t="s">
        <v>421</v>
      </c>
      <c r="K21" s="684"/>
      <c r="L21" s="685"/>
      <c r="M21" s="668" t="s">
        <v>15</v>
      </c>
      <c r="N21" s="669"/>
      <c r="O21" s="670"/>
    </row>
    <row r="22" spans="1:15" ht="96" customHeight="1">
      <c r="B22" s="687" t="str">
        <f>+'Ввод данных'!A99</f>
        <v>M4: Количество полных отчетов, полученных к установленному сроку</v>
      </c>
      <c r="C22" s="688"/>
      <c r="D22" s="689"/>
      <c r="E22" s="668" t="s">
        <v>409</v>
      </c>
      <c r="F22" s="669"/>
      <c r="G22" s="669"/>
      <c r="H22" s="669"/>
      <c r="I22" s="670"/>
      <c r="J22" s="668" t="s">
        <v>359</v>
      </c>
      <c r="K22" s="669"/>
      <c r="L22" s="670"/>
      <c r="M22" s="668" t="s">
        <v>14</v>
      </c>
      <c r="N22" s="669"/>
      <c r="O22" s="670"/>
    </row>
    <row r="23" spans="1:15" ht="187.5" customHeight="1">
      <c r="B23" s="734"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3" s="735"/>
      <c r="D23" s="736"/>
      <c r="E23" s="704" t="s">
        <v>408</v>
      </c>
      <c r="F23" s="705"/>
      <c r="G23" s="705"/>
      <c r="H23" s="705"/>
      <c r="I23" s="706"/>
      <c r="J23" s="671" t="s">
        <v>10</v>
      </c>
      <c r="K23" s="672"/>
      <c r="L23" s="673"/>
      <c r="M23" s="671" t="s">
        <v>420</v>
      </c>
      <c r="N23" s="672"/>
      <c r="O23" s="673"/>
    </row>
    <row r="24" spans="1:15" ht="72.75" customHeight="1">
      <c r="B24" s="737"/>
      <c r="C24" s="738"/>
      <c r="D24" s="739"/>
      <c r="E24" s="731" t="s">
        <v>404</v>
      </c>
      <c r="F24" s="732"/>
      <c r="G24" s="732"/>
      <c r="H24" s="732"/>
      <c r="I24" s="733"/>
      <c r="J24" s="674"/>
      <c r="K24" s="675"/>
      <c r="L24" s="676"/>
      <c r="M24" s="674"/>
      <c r="N24" s="675"/>
      <c r="O24" s="676"/>
    </row>
    <row r="25" spans="1:15" ht="282.75" customHeight="1">
      <c r="B25" s="687" t="str">
        <f>+'Ввод данных'!A120</f>
        <v>M6: Разница между текущим и резервным запасами</v>
      </c>
      <c r="C25" s="688"/>
      <c r="D25" s="689"/>
      <c r="E25" s="680" t="s">
        <v>402</v>
      </c>
      <c r="F25" s="729"/>
      <c r="G25" s="729"/>
      <c r="H25" s="729"/>
      <c r="I25" s="730"/>
      <c r="J25" s="680" t="s">
        <v>11</v>
      </c>
      <c r="K25" s="681"/>
      <c r="L25" s="682"/>
      <c r="M25" s="677" t="s">
        <v>8</v>
      </c>
      <c r="N25" s="678"/>
      <c r="O25" s="679"/>
    </row>
    <row r="29" spans="1:15" ht="18.75">
      <c r="B29" s="226"/>
    </row>
    <row r="30" spans="1:15" ht="23.25">
      <c r="B30" s="667" t="s">
        <v>378</v>
      </c>
      <c r="C30" s="667"/>
      <c r="D30" s="667"/>
      <c r="E30" s="667"/>
      <c r="F30" s="667"/>
      <c r="G30" s="667"/>
      <c r="H30" s="667"/>
      <c r="I30" s="667"/>
      <c r="J30" s="667"/>
      <c r="K30" s="667"/>
      <c r="L30" s="667"/>
      <c r="M30" s="667"/>
      <c r="N30" s="667"/>
      <c r="O30" s="667"/>
    </row>
    <row r="32" spans="1:15" ht="28.5" customHeight="1">
      <c r="A32" s="223"/>
      <c r="B32" s="645" t="s">
        <v>560</v>
      </c>
      <c r="C32" s="646"/>
      <c r="D32" s="647"/>
      <c r="E32" s="648" t="s">
        <v>730</v>
      </c>
      <c r="F32" s="649"/>
      <c r="G32" s="649"/>
      <c r="H32" s="649"/>
      <c r="I32" s="650"/>
      <c r="J32" s="651" t="s">
        <v>89</v>
      </c>
      <c r="K32" s="649"/>
      <c r="L32" s="650"/>
      <c r="M32" s="651" t="s">
        <v>9</v>
      </c>
      <c r="N32" s="649"/>
      <c r="O32" s="650"/>
    </row>
    <row r="33" spans="1:15" ht="61.5" customHeight="1">
      <c r="A33" s="224"/>
      <c r="B33" s="652" t="s">
        <v>494</v>
      </c>
      <c r="C33" s="653"/>
      <c r="D33" s="654"/>
      <c r="E33" s="655" t="s">
        <v>495</v>
      </c>
      <c r="F33" s="656"/>
      <c r="G33" s="656"/>
      <c r="H33" s="656"/>
      <c r="I33" s="657"/>
      <c r="J33" s="642" t="s">
        <v>496</v>
      </c>
      <c r="K33" s="643"/>
      <c r="L33" s="644"/>
      <c r="M33" s="642" t="s">
        <v>497</v>
      </c>
      <c r="N33" s="643"/>
      <c r="O33" s="644"/>
    </row>
    <row r="34" spans="1:15" ht="61.5" customHeight="1">
      <c r="A34" s="224"/>
      <c r="B34" s="652" t="s">
        <v>498</v>
      </c>
      <c r="C34" s="653"/>
      <c r="D34" s="654"/>
      <c r="E34" s="655" t="s">
        <v>499</v>
      </c>
      <c r="F34" s="656"/>
      <c r="G34" s="656"/>
      <c r="H34" s="656"/>
      <c r="I34" s="657"/>
      <c r="J34" s="642" t="s">
        <v>500</v>
      </c>
      <c r="K34" s="643"/>
      <c r="L34" s="644"/>
      <c r="M34" s="642" t="s">
        <v>501</v>
      </c>
      <c r="N34" s="643"/>
      <c r="O34" s="644"/>
    </row>
    <row r="35" spans="1:15" ht="102.75" customHeight="1">
      <c r="A35" s="224"/>
      <c r="B35" s="652" t="s">
        <v>502</v>
      </c>
      <c r="C35" s="653"/>
      <c r="D35" s="654"/>
      <c r="E35" s="655" t="s">
        <v>679</v>
      </c>
      <c r="F35" s="656"/>
      <c r="G35" s="656"/>
      <c r="H35" s="656"/>
      <c r="I35" s="657"/>
      <c r="J35" s="642" t="s">
        <v>503</v>
      </c>
      <c r="K35" s="643"/>
      <c r="L35" s="644"/>
      <c r="M35" s="642" t="s">
        <v>501</v>
      </c>
      <c r="N35" s="643"/>
      <c r="O35" s="644"/>
    </row>
    <row r="36" spans="1:15" ht="141" customHeight="1">
      <c r="A36" s="224"/>
      <c r="B36" s="652" t="s">
        <v>504</v>
      </c>
      <c r="C36" s="653"/>
      <c r="D36" s="654"/>
      <c r="E36" s="655" t="s">
        <v>505</v>
      </c>
      <c r="F36" s="656"/>
      <c r="G36" s="656"/>
      <c r="H36" s="656"/>
      <c r="I36" s="657"/>
      <c r="J36" s="642" t="s">
        <v>506</v>
      </c>
      <c r="K36" s="643"/>
      <c r="L36" s="644"/>
      <c r="M36" s="642" t="s">
        <v>501</v>
      </c>
      <c r="N36" s="643"/>
      <c r="O36" s="644"/>
    </row>
    <row r="37" spans="1:15" ht="88.5" customHeight="1">
      <c r="A37" s="224"/>
      <c r="B37" s="652" t="s">
        <v>507</v>
      </c>
      <c r="C37" s="653"/>
      <c r="D37" s="654"/>
      <c r="E37" s="655" t="s">
        <v>508</v>
      </c>
      <c r="F37" s="656"/>
      <c r="G37" s="656"/>
      <c r="H37" s="656"/>
      <c r="I37" s="657"/>
      <c r="J37" s="642" t="s">
        <v>509</v>
      </c>
      <c r="K37" s="643"/>
      <c r="L37" s="644"/>
      <c r="M37" s="642" t="s">
        <v>501</v>
      </c>
      <c r="N37" s="643"/>
      <c r="O37" s="644"/>
    </row>
    <row r="38" spans="1:15" ht="74.25" customHeight="1">
      <c r="A38" s="224"/>
      <c r="B38" s="652" t="s">
        <v>510</v>
      </c>
      <c r="C38" s="653"/>
      <c r="D38" s="654"/>
      <c r="E38" s="642" t="s">
        <v>511</v>
      </c>
      <c r="F38" s="643"/>
      <c r="G38" s="643"/>
      <c r="H38" s="643"/>
      <c r="I38" s="644"/>
      <c r="J38" s="642" t="s">
        <v>512</v>
      </c>
      <c r="K38" s="643"/>
      <c r="L38" s="644"/>
      <c r="M38" s="642" t="s">
        <v>501</v>
      </c>
      <c r="N38" s="643"/>
      <c r="O38" s="644"/>
    </row>
    <row r="39" spans="1:15" ht="99.75" customHeight="1">
      <c r="A39" s="224"/>
      <c r="B39" s="652" t="s">
        <v>513</v>
      </c>
      <c r="C39" s="653"/>
      <c r="D39" s="654"/>
      <c r="E39" s="655" t="s">
        <v>514</v>
      </c>
      <c r="F39" s="658"/>
      <c r="G39" s="658"/>
      <c r="H39" s="658"/>
      <c r="I39" s="659"/>
      <c r="J39" s="642" t="s">
        <v>515</v>
      </c>
      <c r="K39" s="643"/>
      <c r="L39" s="644"/>
      <c r="M39" s="642" t="s">
        <v>501</v>
      </c>
      <c r="N39" s="643"/>
      <c r="O39" s="644"/>
    </row>
    <row r="40" spans="1:15" ht="85.5" customHeight="1">
      <c r="A40" s="224"/>
      <c r="B40" s="652" t="s">
        <v>516</v>
      </c>
      <c r="C40" s="653"/>
      <c r="D40" s="654"/>
      <c r="E40" s="655" t="s">
        <v>517</v>
      </c>
      <c r="F40" s="658"/>
      <c r="G40" s="658"/>
      <c r="H40" s="658"/>
      <c r="I40" s="659"/>
      <c r="J40" s="642" t="s">
        <v>518</v>
      </c>
      <c r="K40" s="643"/>
      <c r="L40" s="644"/>
      <c r="M40" s="642" t="s">
        <v>519</v>
      </c>
      <c r="N40" s="643"/>
      <c r="O40" s="644"/>
    </row>
    <row r="41" spans="1:15" ht="94.5" customHeight="1">
      <c r="A41" s="224"/>
      <c r="B41" s="652" t="s">
        <v>520</v>
      </c>
      <c r="C41" s="653"/>
      <c r="D41" s="654"/>
      <c r="E41" s="660" t="s">
        <v>521</v>
      </c>
      <c r="F41" s="661"/>
      <c r="G41" s="661"/>
      <c r="H41" s="661"/>
      <c r="I41" s="662"/>
      <c r="J41" s="642" t="s">
        <v>522</v>
      </c>
      <c r="K41" s="643"/>
      <c r="L41" s="644"/>
      <c r="M41" s="642" t="s">
        <v>523</v>
      </c>
      <c r="N41" s="643"/>
      <c r="O41" s="644"/>
    </row>
    <row r="42" spans="1:15" ht="103.5" customHeight="1">
      <c r="A42" s="224"/>
      <c r="B42" s="652" t="s">
        <v>524</v>
      </c>
      <c r="C42" s="653"/>
      <c r="D42" s="654"/>
      <c r="E42" s="655" t="s">
        <v>525</v>
      </c>
      <c r="F42" s="658"/>
      <c r="G42" s="658"/>
      <c r="H42" s="658"/>
      <c r="I42" s="659"/>
      <c r="J42" s="642" t="s">
        <v>526</v>
      </c>
      <c r="K42" s="643"/>
      <c r="L42" s="644"/>
      <c r="M42" s="642" t="s">
        <v>501</v>
      </c>
      <c r="N42" s="643"/>
      <c r="O42" s="644"/>
    </row>
    <row r="43" spans="1:15" ht="101.25" customHeight="1">
      <c r="A43" s="224"/>
      <c r="B43" s="652" t="s">
        <v>527</v>
      </c>
      <c r="C43" s="653"/>
      <c r="D43" s="654"/>
      <c r="E43" s="642" t="s">
        <v>528</v>
      </c>
      <c r="F43" s="643"/>
      <c r="G43" s="643"/>
      <c r="H43" s="643"/>
      <c r="I43" s="644"/>
      <c r="J43" s="642" t="s">
        <v>529</v>
      </c>
      <c r="K43" s="643"/>
      <c r="L43" s="644"/>
      <c r="M43" s="642" t="s">
        <v>501</v>
      </c>
      <c r="N43" s="643"/>
      <c r="O43" s="644"/>
    </row>
    <row r="44" spans="1:15" ht="94.5" customHeight="1">
      <c r="A44" s="224"/>
      <c r="B44" s="652" t="s">
        <v>530</v>
      </c>
      <c r="C44" s="653"/>
      <c r="D44" s="654"/>
      <c r="E44" s="655" t="s">
        <v>531</v>
      </c>
      <c r="F44" s="658"/>
      <c r="G44" s="658"/>
      <c r="H44" s="658"/>
      <c r="I44" s="659"/>
      <c r="J44" s="642" t="s">
        <v>532</v>
      </c>
      <c r="K44" s="643"/>
      <c r="L44" s="644"/>
      <c r="M44" s="642" t="s">
        <v>501</v>
      </c>
      <c r="N44" s="643"/>
      <c r="O44" s="644"/>
    </row>
    <row r="45" spans="1:15" ht="61.5" customHeight="1">
      <c r="A45" s="224"/>
      <c r="B45" s="652" t="s">
        <v>533</v>
      </c>
      <c r="C45" s="653"/>
      <c r="D45" s="654"/>
      <c r="E45" s="655" t="s">
        <v>534</v>
      </c>
      <c r="F45" s="656"/>
      <c r="G45" s="656"/>
      <c r="H45" s="656"/>
      <c r="I45" s="657"/>
      <c r="J45" s="642" t="s">
        <v>535</v>
      </c>
      <c r="K45" s="643"/>
      <c r="L45" s="644"/>
      <c r="M45" s="642" t="s">
        <v>536</v>
      </c>
      <c r="N45" s="643"/>
      <c r="O45" s="644"/>
    </row>
    <row r="46" spans="1:15" ht="84.75" customHeight="1">
      <c r="A46" s="224"/>
      <c r="B46" s="652" t="s">
        <v>537</v>
      </c>
      <c r="C46" s="653"/>
      <c r="D46" s="654"/>
      <c r="E46" s="655" t="s">
        <v>538</v>
      </c>
      <c r="F46" s="656"/>
      <c r="G46" s="656"/>
      <c r="H46" s="656"/>
      <c r="I46" s="657"/>
      <c r="J46" s="642" t="s">
        <v>539</v>
      </c>
      <c r="K46" s="643"/>
      <c r="L46" s="644"/>
      <c r="M46" s="642" t="s">
        <v>540</v>
      </c>
      <c r="N46" s="643"/>
      <c r="O46" s="644"/>
    </row>
    <row r="47" spans="1:15" ht="139.5" customHeight="1">
      <c r="A47" s="224"/>
      <c r="B47" s="652" t="s">
        <v>541</v>
      </c>
      <c r="C47" s="653"/>
      <c r="D47" s="654"/>
      <c r="E47" s="642" t="s">
        <v>542</v>
      </c>
      <c r="F47" s="643"/>
      <c r="G47" s="643"/>
      <c r="H47" s="643"/>
      <c r="I47" s="644"/>
      <c r="J47" s="642" t="s">
        <v>543</v>
      </c>
      <c r="K47" s="643"/>
      <c r="L47" s="644"/>
      <c r="M47" s="642" t="s">
        <v>540</v>
      </c>
      <c r="N47" s="643"/>
      <c r="O47" s="644"/>
    </row>
    <row r="48" spans="1:15" ht="94.5" customHeight="1">
      <c r="A48" s="224"/>
      <c r="B48" s="652" t="s">
        <v>544</v>
      </c>
      <c r="C48" s="653"/>
      <c r="D48" s="654"/>
      <c r="E48" s="642" t="s">
        <v>545</v>
      </c>
      <c r="F48" s="643"/>
      <c r="G48" s="643"/>
      <c r="H48" s="643"/>
      <c r="I48" s="644"/>
      <c r="J48" s="642" t="s">
        <v>546</v>
      </c>
      <c r="K48" s="643"/>
      <c r="L48" s="644"/>
      <c r="M48" s="631" t="s">
        <v>547</v>
      </c>
      <c r="N48" s="632"/>
      <c r="O48" s="633"/>
    </row>
    <row r="49" spans="1:15" ht="138.75" customHeight="1">
      <c r="A49" s="224"/>
      <c r="B49" s="652" t="s">
        <v>548</v>
      </c>
      <c r="C49" s="653"/>
      <c r="D49" s="654"/>
      <c r="E49" s="642" t="s">
        <v>549</v>
      </c>
      <c r="F49" s="643"/>
      <c r="G49" s="643"/>
      <c r="H49" s="643"/>
      <c r="I49" s="644"/>
      <c r="J49" s="642" t="s">
        <v>550</v>
      </c>
      <c r="K49" s="643"/>
      <c r="L49" s="644"/>
      <c r="M49" s="642" t="s">
        <v>547</v>
      </c>
      <c r="N49" s="643"/>
      <c r="O49" s="644"/>
    </row>
    <row r="50" spans="1:15" ht="61.5" customHeight="1">
      <c r="A50" s="224"/>
      <c r="B50" s="652" t="s">
        <v>551</v>
      </c>
      <c r="C50" s="653"/>
      <c r="D50" s="654"/>
      <c r="E50" s="655" t="s">
        <v>552</v>
      </c>
      <c r="F50" s="656"/>
      <c r="G50" s="656"/>
      <c r="H50" s="656"/>
      <c r="I50" s="657"/>
      <c r="J50" s="642" t="s">
        <v>553</v>
      </c>
      <c r="K50" s="643"/>
      <c r="L50" s="644"/>
      <c r="M50" s="642" t="s">
        <v>554</v>
      </c>
      <c r="N50" s="643"/>
      <c r="O50" s="644"/>
    </row>
    <row r="51" spans="1:15" ht="61.5" customHeight="1">
      <c r="A51" s="224"/>
      <c r="B51" s="652" t="s">
        <v>555</v>
      </c>
      <c r="C51" s="653"/>
      <c r="D51" s="654"/>
      <c r="E51" s="642" t="s">
        <v>556</v>
      </c>
      <c r="F51" s="643"/>
      <c r="G51" s="643"/>
      <c r="H51" s="643"/>
      <c r="I51" s="644"/>
      <c r="J51" s="642" t="s">
        <v>557</v>
      </c>
      <c r="K51" s="643"/>
      <c r="L51" s="644"/>
      <c r="M51" s="642" t="s">
        <v>558</v>
      </c>
      <c r="N51" s="643"/>
      <c r="O51" s="644"/>
    </row>
    <row r="52" spans="1:15" ht="61.5" customHeight="1">
      <c r="A52" s="224"/>
      <c r="B52" s="645" t="s">
        <v>559</v>
      </c>
      <c r="C52" s="646"/>
      <c r="D52" s="647"/>
      <c r="E52" s="648" t="s">
        <v>730</v>
      </c>
      <c r="F52" s="649"/>
      <c r="G52" s="649"/>
      <c r="H52" s="649"/>
      <c r="I52" s="650"/>
      <c r="J52" s="651" t="s">
        <v>89</v>
      </c>
      <c r="K52" s="649"/>
      <c r="L52" s="650"/>
      <c r="M52" s="651" t="s">
        <v>9</v>
      </c>
      <c r="N52" s="649"/>
      <c r="O52" s="650"/>
    </row>
    <row r="53" spans="1:15" ht="65.25" customHeight="1">
      <c r="A53" s="224"/>
      <c r="B53" s="711" t="s">
        <v>440</v>
      </c>
      <c r="C53" s="712"/>
      <c r="D53" s="713"/>
      <c r="E53" s="655" t="s">
        <v>458</v>
      </c>
      <c r="F53" s="656"/>
      <c r="G53" s="656"/>
      <c r="H53" s="656"/>
      <c r="I53" s="657"/>
      <c r="J53" s="642" t="s">
        <v>437</v>
      </c>
      <c r="K53" s="643"/>
      <c r="L53" s="644"/>
      <c r="M53" s="642" t="s">
        <v>436</v>
      </c>
      <c r="N53" s="643"/>
      <c r="O53" s="644"/>
    </row>
    <row r="54" spans="1:15" ht="99.75" customHeight="1">
      <c r="A54" s="224"/>
      <c r="B54" s="711" t="s">
        <v>459</v>
      </c>
      <c r="C54" s="712"/>
      <c r="D54" s="713"/>
      <c r="E54" s="655" t="s">
        <v>439</v>
      </c>
      <c r="F54" s="656"/>
      <c r="G54" s="656"/>
      <c r="H54" s="656"/>
      <c r="I54" s="657"/>
      <c r="J54" s="642" t="s">
        <v>437</v>
      </c>
      <c r="K54" s="643"/>
      <c r="L54" s="644"/>
      <c r="M54" s="642" t="s">
        <v>438</v>
      </c>
      <c r="N54" s="643"/>
      <c r="O54" s="644"/>
    </row>
    <row r="55" spans="1:15" ht="81.75" customHeight="1">
      <c r="A55" s="224"/>
      <c r="B55" s="711" t="s">
        <v>460</v>
      </c>
      <c r="C55" s="712"/>
      <c r="D55" s="713"/>
      <c r="E55" s="642" t="s">
        <v>649</v>
      </c>
      <c r="F55" s="643"/>
      <c r="G55" s="643"/>
      <c r="H55" s="643"/>
      <c r="I55" s="644"/>
      <c r="J55" s="642" t="s">
        <v>437</v>
      </c>
      <c r="K55" s="643"/>
      <c r="L55" s="644"/>
      <c r="M55" s="642" t="s">
        <v>650</v>
      </c>
      <c r="N55" s="643"/>
      <c r="O55" s="644"/>
    </row>
    <row r="56" spans="1:15" ht="66.75" customHeight="1">
      <c r="A56" s="224"/>
      <c r="B56" s="711" t="s">
        <v>462</v>
      </c>
      <c r="C56" s="712"/>
      <c r="D56" s="713"/>
      <c r="E56" s="642" t="s">
        <v>652</v>
      </c>
      <c r="F56" s="725"/>
      <c r="G56" s="725"/>
      <c r="H56" s="725"/>
      <c r="I56" s="726"/>
      <c r="J56" s="642" t="s">
        <v>653</v>
      </c>
      <c r="K56" s="643"/>
      <c r="L56" s="644"/>
      <c r="M56" s="642" t="s">
        <v>651</v>
      </c>
      <c r="N56" s="643"/>
      <c r="O56" s="644"/>
    </row>
    <row r="57" spans="1:15" ht="78" customHeight="1">
      <c r="A57" s="224"/>
      <c r="B57" s="711" t="s">
        <v>463</v>
      </c>
      <c r="C57" s="712"/>
      <c r="D57" s="713"/>
      <c r="E57" s="655" t="s">
        <v>655</v>
      </c>
      <c r="F57" s="656"/>
      <c r="G57" s="656"/>
      <c r="H57" s="656"/>
      <c r="I57" s="657"/>
      <c r="J57" s="642" t="s">
        <v>653</v>
      </c>
      <c r="K57" s="643"/>
      <c r="L57" s="644"/>
      <c r="M57" s="642" t="s">
        <v>654</v>
      </c>
      <c r="N57" s="643"/>
      <c r="O57" s="644"/>
    </row>
    <row r="58" spans="1:15" ht="133.5" customHeight="1">
      <c r="A58" s="224"/>
      <c r="B58" s="749" t="s">
        <v>466</v>
      </c>
      <c r="C58" s="750"/>
      <c r="D58" s="751"/>
      <c r="E58" s="642" t="s">
        <v>657</v>
      </c>
      <c r="F58" s="643"/>
      <c r="G58" s="643"/>
      <c r="H58" s="643"/>
      <c r="I58" s="644"/>
      <c r="J58" s="642" t="s">
        <v>656</v>
      </c>
      <c r="K58" s="643"/>
      <c r="L58" s="644"/>
      <c r="M58" s="642" t="s">
        <v>658</v>
      </c>
      <c r="N58" s="643"/>
      <c r="O58" s="644"/>
    </row>
    <row r="59" spans="1:15" ht="2.25" hidden="1" customHeight="1">
      <c r="A59" s="224"/>
      <c r="B59" s="752"/>
      <c r="C59" s="760"/>
      <c r="D59" s="761"/>
      <c r="E59" s="762"/>
      <c r="F59" s="763"/>
      <c r="G59" s="763"/>
      <c r="H59" s="763"/>
      <c r="I59" s="764"/>
      <c r="J59" s="642"/>
      <c r="K59" s="643"/>
      <c r="L59" s="644"/>
      <c r="M59" s="642"/>
      <c r="N59" s="643"/>
      <c r="O59" s="644"/>
    </row>
    <row r="60" spans="1:15" ht="3.75" customHeight="1">
      <c r="A60" s="224"/>
      <c r="B60" s="752"/>
      <c r="C60" s="760"/>
      <c r="D60" s="761"/>
      <c r="E60" s="655"/>
      <c r="F60" s="656"/>
      <c r="G60" s="656"/>
      <c r="H60" s="656"/>
      <c r="I60" s="657"/>
      <c r="J60" s="642"/>
      <c r="K60" s="643"/>
      <c r="L60" s="644"/>
      <c r="M60" s="642"/>
      <c r="N60" s="643"/>
      <c r="O60" s="644"/>
    </row>
    <row r="61" spans="1:15" ht="14.25" customHeight="1">
      <c r="A61" s="224"/>
      <c r="B61" s="752"/>
      <c r="C61" s="753"/>
      <c r="D61" s="754"/>
      <c r="E61" s="655"/>
      <c r="F61" s="755"/>
      <c r="G61" s="755"/>
      <c r="H61" s="755"/>
      <c r="I61" s="756"/>
      <c r="J61" s="642"/>
      <c r="K61" s="720"/>
      <c r="L61" s="721"/>
      <c r="M61" s="450"/>
      <c r="N61" s="451"/>
      <c r="O61" s="452"/>
    </row>
    <row r="62" spans="1:15" ht="119.25" hidden="1" customHeight="1">
      <c r="A62" s="224"/>
      <c r="B62" s="752"/>
      <c r="C62" s="753"/>
      <c r="D62" s="754"/>
      <c r="E62" s="722"/>
      <c r="F62" s="723"/>
      <c r="G62" s="723"/>
      <c r="H62" s="723"/>
      <c r="I62" s="724"/>
      <c r="J62" s="642"/>
      <c r="K62" s="720"/>
      <c r="L62" s="721"/>
      <c r="M62" s="642"/>
      <c r="N62" s="720"/>
      <c r="O62" s="721"/>
    </row>
    <row r="63" spans="1:15" ht="88.5" hidden="1" customHeight="1">
      <c r="A63" s="224"/>
      <c r="B63" s="752"/>
      <c r="C63" s="753"/>
      <c r="D63" s="754"/>
      <c r="E63" s="655"/>
      <c r="F63" s="714"/>
      <c r="G63" s="714"/>
      <c r="H63" s="714"/>
      <c r="I63" s="715"/>
      <c r="J63" s="642"/>
      <c r="K63" s="720"/>
      <c r="L63" s="721"/>
      <c r="M63" s="450"/>
      <c r="N63" s="451"/>
      <c r="O63" s="452"/>
    </row>
    <row r="64" spans="1:15" ht="30" customHeight="1">
      <c r="B64" s="746" t="s">
        <v>400</v>
      </c>
      <c r="C64" s="747"/>
      <c r="D64" s="748"/>
      <c r="E64" s="743" t="s">
        <v>88</v>
      </c>
      <c r="F64" s="744"/>
      <c r="G64" s="744"/>
      <c r="H64" s="744"/>
      <c r="I64" s="745"/>
      <c r="J64" s="743" t="s">
        <v>89</v>
      </c>
      <c r="K64" s="744"/>
      <c r="L64" s="745"/>
      <c r="M64" s="743" t="s">
        <v>9</v>
      </c>
      <c r="N64" s="744"/>
      <c r="O64" s="745"/>
    </row>
    <row r="65" spans="2:15" ht="33.75" customHeight="1">
      <c r="B65" s="218"/>
      <c r="C65" s="219"/>
      <c r="D65" s="219"/>
      <c r="E65" s="212"/>
      <c r="F65" s="214"/>
      <c r="G65" s="214"/>
      <c r="H65" s="214"/>
      <c r="I65" s="214"/>
      <c r="J65" s="212"/>
      <c r="K65" s="212"/>
      <c r="L65" s="213"/>
      <c r="M65" s="211"/>
      <c r="N65" s="212"/>
      <c r="O65" s="213"/>
    </row>
    <row r="66" spans="2:15" ht="15.75" customHeight="1">
      <c r="B66" s="757" t="s">
        <v>399</v>
      </c>
      <c r="C66" s="758"/>
      <c r="D66" s="758"/>
      <c r="E66" s="758"/>
      <c r="F66" s="758"/>
      <c r="G66" s="758"/>
      <c r="H66" s="758"/>
      <c r="I66" s="758"/>
      <c r="J66" s="758"/>
      <c r="K66" s="758"/>
      <c r="L66" s="759"/>
      <c r="M66" s="740" t="s">
        <v>401</v>
      </c>
      <c r="N66" s="741"/>
      <c r="O66" s="742"/>
    </row>
    <row r="67" spans="2:15">
      <c r="D67" s="198"/>
    </row>
    <row r="69" spans="2:15">
      <c r="D69" s="198"/>
    </row>
    <row r="70" spans="2:15">
      <c r="D70" s="198"/>
    </row>
    <row r="83" spans="1:1">
      <c r="A83" s="201"/>
    </row>
  </sheetData>
  <mergeCells count="200">
    <mergeCell ref="M66:O66"/>
    <mergeCell ref="M64:O64"/>
    <mergeCell ref="J60:L60"/>
    <mergeCell ref="M59:O59"/>
    <mergeCell ref="J59:L59"/>
    <mergeCell ref="B64:D64"/>
    <mergeCell ref="B58:D58"/>
    <mergeCell ref="M60:O60"/>
    <mergeCell ref="E64:I64"/>
    <mergeCell ref="J64:L64"/>
    <mergeCell ref="B61:D61"/>
    <mergeCell ref="B62:D62"/>
    <mergeCell ref="B63:D63"/>
    <mergeCell ref="J63:L63"/>
    <mergeCell ref="E61:I61"/>
    <mergeCell ref="J61:L61"/>
    <mergeCell ref="J62:L62"/>
    <mergeCell ref="B66:L66"/>
    <mergeCell ref="B60:D60"/>
    <mergeCell ref="B59:D59"/>
    <mergeCell ref="E59:I59"/>
    <mergeCell ref="E60:I60"/>
    <mergeCell ref="B33:D33"/>
    <mergeCell ref="J54:L54"/>
    <mergeCell ref="B53:D53"/>
    <mergeCell ref="E53:I53"/>
    <mergeCell ref="J53:L53"/>
    <mergeCell ref="B42:D42"/>
    <mergeCell ref="E42:I42"/>
    <mergeCell ref="J42:L42"/>
    <mergeCell ref="B45:D45"/>
    <mergeCell ref="E45:I45"/>
    <mergeCell ref="J45:L45"/>
    <mergeCell ref="B51:D51"/>
    <mergeCell ref="E51:I51"/>
    <mergeCell ref="J51:L51"/>
    <mergeCell ref="E19:I19"/>
    <mergeCell ref="B18:D18"/>
    <mergeCell ref="B19:D19"/>
    <mergeCell ref="J22:L22"/>
    <mergeCell ref="B20:D20"/>
    <mergeCell ref="E20:I20"/>
    <mergeCell ref="E25:I25"/>
    <mergeCell ref="E24:I24"/>
    <mergeCell ref="J19:L19"/>
    <mergeCell ref="B22:D22"/>
    <mergeCell ref="B23:D24"/>
    <mergeCell ref="J55:L55"/>
    <mergeCell ref="B57:D57"/>
    <mergeCell ref="J56:L56"/>
    <mergeCell ref="M56:O56"/>
    <mergeCell ref="M58:O58"/>
    <mergeCell ref="B55:D55"/>
    <mergeCell ref="E55:I55"/>
    <mergeCell ref="M57:O57"/>
    <mergeCell ref="B56:D56"/>
    <mergeCell ref="M55:O55"/>
    <mergeCell ref="E57:I57"/>
    <mergeCell ref="J57:L57"/>
    <mergeCell ref="E56:I56"/>
    <mergeCell ref="E58:I58"/>
    <mergeCell ref="B11:D11"/>
    <mergeCell ref="E11:I11"/>
    <mergeCell ref="J58:L58"/>
    <mergeCell ref="B54:D54"/>
    <mergeCell ref="E63:I63"/>
    <mergeCell ref="M9:O9"/>
    <mergeCell ref="B9:D9"/>
    <mergeCell ref="E9:I9"/>
    <mergeCell ref="J9:L9"/>
    <mergeCell ref="J10:L10"/>
    <mergeCell ref="E10:I10"/>
    <mergeCell ref="M10:O10"/>
    <mergeCell ref="B10:D10"/>
    <mergeCell ref="E15:I15"/>
    <mergeCell ref="B15:D15"/>
    <mergeCell ref="B13:D13"/>
    <mergeCell ref="B12:D12"/>
    <mergeCell ref="J11:L11"/>
    <mergeCell ref="M11:O11"/>
    <mergeCell ref="J12:L12"/>
    <mergeCell ref="M12:O12"/>
    <mergeCell ref="E12:I12"/>
    <mergeCell ref="M62:O62"/>
    <mergeCell ref="E62:I62"/>
    <mergeCell ref="M15:O15"/>
    <mergeCell ref="M13:O13"/>
    <mergeCell ref="J14:L14"/>
    <mergeCell ref="M54:O54"/>
    <mergeCell ref="B2:M2"/>
    <mergeCell ref="B5:O5"/>
    <mergeCell ref="M8:O8"/>
    <mergeCell ref="J8:L8"/>
    <mergeCell ref="E7:I7"/>
    <mergeCell ref="B7:D7"/>
    <mergeCell ref="E8:I8"/>
    <mergeCell ref="J7:L7"/>
    <mergeCell ref="M7:O7"/>
    <mergeCell ref="B8:D8"/>
    <mergeCell ref="E23:I23"/>
    <mergeCell ref="E22:I22"/>
    <mergeCell ref="M33:O33"/>
    <mergeCell ref="B30:O30"/>
    <mergeCell ref="B32:D32"/>
    <mergeCell ref="E32:I32"/>
    <mergeCell ref="J32:L32"/>
    <mergeCell ref="M32:O32"/>
    <mergeCell ref="E33:I33"/>
    <mergeCell ref="E54:I54"/>
    <mergeCell ref="M18:O18"/>
    <mergeCell ref="M14:O14"/>
    <mergeCell ref="J18:L18"/>
    <mergeCell ref="B16:O16"/>
    <mergeCell ref="J13:L13"/>
    <mergeCell ref="J33:L33"/>
    <mergeCell ref="M19:O19"/>
    <mergeCell ref="J23:L24"/>
    <mergeCell ref="J20:L20"/>
    <mergeCell ref="M20:O20"/>
    <mergeCell ref="M25:O25"/>
    <mergeCell ref="J25:L25"/>
    <mergeCell ref="J21:L21"/>
    <mergeCell ref="E18:I18"/>
    <mergeCell ref="J15:L15"/>
    <mergeCell ref="E13:I13"/>
    <mergeCell ref="B14:D14"/>
    <mergeCell ref="E14:I14"/>
    <mergeCell ref="M23:O24"/>
    <mergeCell ref="B25:D25"/>
    <mergeCell ref="M21:O21"/>
    <mergeCell ref="M22:O22"/>
    <mergeCell ref="B21:D21"/>
    <mergeCell ref="E21:I21"/>
    <mergeCell ref="M53:O53"/>
    <mergeCell ref="B34:D34"/>
    <mergeCell ref="E34:I34"/>
    <mergeCell ref="J34:L34"/>
    <mergeCell ref="M34:O34"/>
    <mergeCell ref="B35:D35"/>
    <mergeCell ref="E35:I35"/>
    <mergeCell ref="J35:L35"/>
    <mergeCell ref="M35:O35"/>
    <mergeCell ref="B36:D36"/>
    <mergeCell ref="E36:I36"/>
    <mergeCell ref="J36:L36"/>
    <mergeCell ref="M36:O36"/>
    <mergeCell ref="B37:D37"/>
    <mergeCell ref="E37:I37"/>
    <mergeCell ref="J37:L37"/>
    <mergeCell ref="M37:O37"/>
    <mergeCell ref="B38:D38"/>
    <mergeCell ref="E38:I38"/>
    <mergeCell ref="J38:L38"/>
    <mergeCell ref="M38:O38"/>
    <mergeCell ref="B39:D39"/>
    <mergeCell ref="E39:I39"/>
    <mergeCell ref="J39:L39"/>
    <mergeCell ref="M39:O39"/>
    <mergeCell ref="B40:D40"/>
    <mergeCell ref="E40:I40"/>
    <mergeCell ref="J40:L40"/>
    <mergeCell ref="M40:O40"/>
    <mergeCell ref="B41:D41"/>
    <mergeCell ref="E41:I41"/>
    <mergeCell ref="J41:L41"/>
    <mergeCell ref="M41:O41"/>
    <mergeCell ref="M42:O42"/>
    <mergeCell ref="B43:D43"/>
    <mergeCell ref="E43:I43"/>
    <mergeCell ref="J43:L43"/>
    <mergeCell ref="M43:O43"/>
    <mergeCell ref="B44:D44"/>
    <mergeCell ref="E44:I44"/>
    <mergeCell ref="J44:L44"/>
    <mergeCell ref="M44:O44"/>
    <mergeCell ref="M45:O45"/>
    <mergeCell ref="B46:D46"/>
    <mergeCell ref="E46:I46"/>
    <mergeCell ref="J46:L46"/>
    <mergeCell ref="M46:O46"/>
    <mergeCell ref="B47:D47"/>
    <mergeCell ref="E47:I47"/>
    <mergeCell ref="J47:L47"/>
    <mergeCell ref="M47:O47"/>
    <mergeCell ref="M51:O51"/>
    <mergeCell ref="B52:D52"/>
    <mergeCell ref="E52:I52"/>
    <mergeCell ref="J52:L52"/>
    <mergeCell ref="M52:O52"/>
    <mergeCell ref="B48:D48"/>
    <mergeCell ref="E48:I48"/>
    <mergeCell ref="J48:L48"/>
    <mergeCell ref="B49:D49"/>
    <mergeCell ref="E49:I49"/>
    <mergeCell ref="J49:L49"/>
    <mergeCell ref="M49:O49"/>
    <mergeCell ref="B50:D50"/>
    <mergeCell ref="E50:I50"/>
    <mergeCell ref="J50:L50"/>
    <mergeCell ref="M50:O50"/>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31"/>
  <sheetViews>
    <sheetView showGridLines="0" topLeftCell="A211" zoomScale="90" zoomScaleNormal="90" workbookViewId="0">
      <selection activeCell="N16" sqref="N16"/>
    </sheetView>
  </sheetViews>
  <sheetFormatPr defaultColWidth="11" defaultRowHeight="15"/>
  <cols>
    <col min="1" max="1" width="58.7109375" customWidth="1"/>
    <col min="2" max="2" width="22"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5" customWidth="1"/>
    <col min="14" max="14" width="15.7109375" style="35"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5" customWidth="1"/>
    <col min="33" max="33" width="3.28515625" style="35" customWidth="1"/>
    <col min="34" max="34" width="2.28515625" style="35" customWidth="1"/>
    <col min="35" max="35" width="40.7109375" customWidth="1"/>
    <col min="36" max="36" width="15.42578125" customWidth="1"/>
  </cols>
  <sheetData>
    <row r="1" spans="1:12" ht="29.25" customHeight="1">
      <c r="A1" s="3"/>
      <c r="B1" s="887"/>
      <c r="C1" s="887"/>
      <c r="D1" s="3"/>
      <c r="E1" s="3"/>
      <c r="F1" s="3"/>
      <c r="G1" s="3"/>
      <c r="H1" s="3"/>
      <c r="I1" s="3"/>
      <c r="J1" s="3"/>
      <c r="K1" s="3"/>
      <c r="L1" s="3"/>
    </row>
    <row r="2" spans="1:12" ht="15.75" customHeight="1">
      <c r="A2" s="886" t="s">
        <v>314</v>
      </c>
      <c r="B2" s="886"/>
      <c r="C2" s="886"/>
      <c r="D2" s="886"/>
      <c r="E2" s="886"/>
      <c r="F2" s="886"/>
      <c r="G2" s="886"/>
      <c r="H2" s="886"/>
      <c r="I2" s="886"/>
      <c r="J2" s="249"/>
      <c r="K2" s="249"/>
      <c r="L2" s="249"/>
    </row>
    <row r="3" spans="1:12" ht="4.5" customHeight="1">
      <c r="A3" s="3"/>
      <c r="B3" s="3"/>
      <c r="C3" s="3"/>
      <c r="D3" s="3"/>
      <c r="E3" s="3"/>
      <c r="F3" s="3"/>
      <c r="G3" s="3"/>
      <c r="H3" s="3"/>
      <c r="I3" s="3"/>
      <c r="J3" s="3"/>
      <c r="K3" s="3"/>
      <c r="L3" s="3"/>
    </row>
    <row r="4" spans="1:12">
      <c r="A4" s="247" t="s">
        <v>92</v>
      </c>
      <c r="B4" s="888" t="s">
        <v>158</v>
      </c>
      <c r="C4" s="889"/>
      <c r="D4" s="882" t="s">
        <v>317</v>
      </c>
      <c r="E4" s="882"/>
      <c r="F4" s="634" t="s">
        <v>731</v>
      </c>
      <c r="G4" s="636"/>
      <c r="H4" s="636"/>
      <c r="I4" s="635"/>
      <c r="J4" s="3"/>
      <c r="K4" s="3"/>
      <c r="L4" s="3"/>
    </row>
    <row r="5" spans="1:12" ht="3" customHeight="1">
      <c r="A5" s="247"/>
      <c r="B5" s="3"/>
      <c r="C5" s="3"/>
      <c r="D5" s="250"/>
      <c r="E5" s="250"/>
      <c r="F5" s="3"/>
      <c r="G5" s="3"/>
      <c r="H5" s="3"/>
      <c r="I5" s="3"/>
      <c r="J5" s="3"/>
      <c r="K5" s="3"/>
      <c r="L5" s="3"/>
    </row>
    <row r="6" spans="1:12">
      <c r="A6" s="247" t="s">
        <v>91</v>
      </c>
      <c r="B6" s="888" t="s">
        <v>475</v>
      </c>
      <c r="C6" s="889"/>
      <c r="D6" s="882" t="s">
        <v>249</v>
      </c>
      <c r="E6" s="882"/>
      <c r="F6" s="271" t="s">
        <v>247</v>
      </c>
      <c r="G6" s="247" t="s">
        <v>349</v>
      </c>
      <c r="H6" s="890">
        <v>24341578.491344798</v>
      </c>
      <c r="I6" s="891"/>
      <c r="J6" s="3"/>
      <c r="K6" s="3"/>
      <c r="L6" s="3"/>
    </row>
    <row r="7" spans="1:12" ht="3" customHeight="1">
      <c r="A7" s="247"/>
      <c r="B7" s="3"/>
      <c r="C7" s="3"/>
      <c r="D7" s="250"/>
      <c r="E7" s="250"/>
      <c r="F7" s="3"/>
      <c r="G7" s="247"/>
      <c r="H7" s="3"/>
      <c r="I7" s="3"/>
      <c r="J7" s="3"/>
      <c r="K7" s="3"/>
      <c r="L7" s="3"/>
    </row>
    <row r="8" spans="1:12">
      <c r="A8" s="247" t="s">
        <v>315</v>
      </c>
      <c r="B8" s="888" t="s">
        <v>430</v>
      </c>
      <c r="C8" s="889"/>
      <c r="D8" s="251"/>
      <c r="E8" s="246" t="s">
        <v>250</v>
      </c>
      <c r="F8" s="324"/>
      <c r="G8" s="246" t="s">
        <v>256</v>
      </c>
      <c r="H8" s="888"/>
      <c r="I8" s="889"/>
      <c r="J8" s="3"/>
      <c r="K8" s="3"/>
      <c r="L8" s="3"/>
    </row>
    <row r="9" spans="1:12" ht="3" customHeight="1">
      <c r="A9" s="250"/>
      <c r="B9" s="3"/>
      <c r="C9" s="3"/>
      <c r="D9" s="250"/>
      <c r="E9" s="250"/>
      <c r="F9" s="3"/>
      <c r="G9" s="3"/>
      <c r="H9" s="3"/>
      <c r="I9" s="3"/>
      <c r="J9" s="3"/>
      <c r="K9" s="3"/>
      <c r="L9" s="3"/>
    </row>
    <row r="10" spans="1:12">
      <c r="A10" s="247" t="s">
        <v>316</v>
      </c>
      <c r="B10" s="892">
        <v>42552</v>
      </c>
      <c r="C10" s="893"/>
      <c r="D10" s="864" t="s">
        <v>318</v>
      </c>
      <c r="E10" s="863"/>
      <c r="F10" s="888" t="s">
        <v>73</v>
      </c>
      <c r="G10" s="895"/>
      <c r="H10" s="895"/>
      <c r="I10" s="889"/>
      <c r="J10" s="3"/>
      <c r="K10" s="3"/>
      <c r="L10" s="3"/>
    </row>
    <row r="11" spans="1:12" ht="5.25" customHeight="1">
      <c r="A11" s="3"/>
      <c r="B11" s="3"/>
      <c r="C11" s="3"/>
      <c r="D11" s="3"/>
      <c r="E11" s="3"/>
      <c r="F11" s="3"/>
      <c r="G11" s="3"/>
      <c r="H11" s="3"/>
      <c r="I11" s="3"/>
      <c r="J11" s="3"/>
      <c r="K11" s="3"/>
      <c r="L11" s="3"/>
    </row>
    <row r="12" spans="1:12" ht="15" customHeight="1">
      <c r="A12" s="247" t="s">
        <v>396</v>
      </c>
      <c r="B12" s="865" t="s">
        <v>24</v>
      </c>
      <c r="C12" s="865"/>
      <c r="D12" s="864" t="s">
        <v>319</v>
      </c>
      <c r="E12" s="882"/>
      <c r="F12" s="894" t="s">
        <v>468</v>
      </c>
      <c r="G12" s="894"/>
      <c r="H12" s="894"/>
      <c r="I12" s="894"/>
      <c r="J12" s="3"/>
      <c r="K12" s="3"/>
      <c r="L12" s="3"/>
    </row>
    <row r="13" spans="1:12" ht="5.25" customHeight="1">
      <c r="A13" s="3"/>
      <c r="B13" s="3"/>
      <c r="C13" s="3"/>
      <c r="D13" s="3"/>
      <c r="E13" s="3"/>
      <c r="F13" s="3"/>
      <c r="G13" s="3"/>
      <c r="H13" s="3"/>
      <c r="I13" s="3"/>
      <c r="J13" s="3"/>
      <c r="K13" s="3"/>
      <c r="L13" s="3"/>
    </row>
    <row r="14" spans="1:12" ht="15.75" customHeight="1">
      <c r="A14" s="886" t="s">
        <v>251</v>
      </c>
      <c r="B14" s="886"/>
      <c r="C14" s="886"/>
      <c r="D14" s="886"/>
      <c r="E14" s="886"/>
      <c r="F14" s="886"/>
      <c r="G14" s="886"/>
      <c r="H14" s="886"/>
      <c r="I14" s="886"/>
      <c r="J14" s="3"/>
      <c r="K14" s="3"/>
      <c r="L14" s="3"/>
    </row>
    <row r="15" spans="1:12" ht="3" customHeight="1">
      <c r="A15" s="3"/>
      <c r="B15" s="3"/>
      <c r="C15" s="3"/>
      <c r="D15" s="3"/>
      <c r="E15" s="3"/>
      <c r="F15" s="3"/>
      <c r="G15" s="3"/>
      <c r="H15" s="3"/>
      <c r="I15" s="3"/>
      <c r="J15" s="3"/>
      <c r="K15" s="3"/>
      <c r="L15" s="3"/>
    </row>
    <row r="16" spans="1:12">
      <c r="A16" s="247" t="s">
        <v>252</v>
      </c>
      <c r="B16" s="324" t="s">
        <v>57</v>
      </c>
      <c r="C16" s="246" t="s">
        <v>272</v>
      </c>
      <c r="D16" s="408">
        <v>42917</v>
      </c>
      <c r="E16" s="248" t="s">
        <v>348</v>
      </c>
      <c r="F16" s="408">
        <v>43100</v>
      </c>
      <c r="G16" s="864" t="s">
        <v>253</v>
      </c>
      <c r="H16" s="863"/>
      <c r="I16" s="399">
        <v>43202</v>
      </c>
      <c r="J16" s="3"/>
      <c r="K16" s="3"/>
      <c r="L16" s="3"/>
    </row>
    <row r="17" spans="1:33" ht="3" customHeight="1">
      <c r="A17" s="3"/>
      <c r="B17" s="3"/>
      <c r="C17" s="3"/>
      <c r="D17" s="3"/>
      <c r="E17" s="3"/>
      <c r="F17" s="3"/>
      <c r="G17" s="3"/>
      <c r="H17" s="3"/>
      <c r="I17" s="3"/>
      <c r="J17" s="3"/>
      <c r="K17" s="3"/>
      <c r="L17" s="3"/>
    </row>
    <row r="18" spans="1:33">
      <c r="A18" s="862" t="s">
        <v>254</v>
      </c>
      <c r="B18" s="863"/>
      <c r="C18" s="885" t="s">
        <v>430</v>
      </c>
      <c r="D18" s="885"/>
      <c r="E18" s="885"/>
      <c r="F18" s="252"/>
      <c r="G18" s="252"/>
      <c r="H18" s="252"/>
      <c r="I18" s="252"/>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886" t="s">
        <v>255</v>
      </c>
      <c r="B21" s="886"/>
      <c r="C21" s="886"/>
      <c r="D21" s="886"/>
      <c r="E21" s="886"/>
      <c r="F21" s="886"/>
      <c r="G21" s="886"/>
      <c r="H21" s="886"/>
      <c r="I21" s="886"/>
      <c r="J21" s="3"/>
      <c r="K21" s="3"/>
      <c r="L21" s="3"/>
    </row>
    <row r="22" spans="1:33">
      <c r="A22" s="250" t="s">
        <v>321</v>
      </c>
      <c r="B22" s="3"/>
      <c r="C22" s="3"/>
      <c r="D22" s="253"/>
      <c r="E22" s="253"/>
      <c r="F22" s="3"/>
      <c r="G22" s="3"/>
      <c r="H22" s="253"/>
      <c r="I22" s="253"/>
      <c r="J22" s="3"/>
      <c r="K22" s="3"/>
      <c r="L22" s="3"/>
    </row>
    <row r="23" spans="1:33" ht="3" customHeight="1">
      <c r="A23" s="3"/>
      <c r="B23" s="3"/>
      <c r="C23" s="3"/>
      <c r="D23" s="3"/>
      <c r="E23" s="3"/>
      <c r="F23" s="3"/>
      <c r="G23" s="3"/>
      <c r="H23" s="3"/>
      <c r="I23" s="3"/>
      <c r="J23" s="3"/>
      <c r="K23" s="3"/>
      <c r="L23" s="3"/>
    </row>
    <row r="24" spans="1:33" ht="15.75" thickBot="1">
      <c r="A24" s="247" t="s">
        <v>351</v>
      </c>
      <c r="B24" s="314"/>
      <c r="C24" s="882" t="s">
        <v>324</v>
      </c>
      <c r="D24" s="882"/>
      <c r="E24" s="315"/>
      <c r="F24" s="882" t="s">
        <v>320</v>
      </c>
      <c r="G24" s="882"/>
      <c r="H24" s="883"/>
      <c r="I24" s="884"/>
      <c r="J24" s="3"/>
      <c r="K24" s="3"/>
      <c r="L24" s="3"/>
      <c r="M24" s="20"/>
    </row>
    <row r="25" spans="1:33" ht="19.5" thickBot="1">
      <c r="A25" s="84" t="s">
        <v>351</v>
      </c>
      <c r="B25" s="85"/>
      <c r="C25" s="85"/>
      <c r="D25" s="85"/>
      <c r="E25" s="85"/>
      <c r="F25" s="85"/>
      <c r="G25" s="235"/>
      <c r="H25" s="86"/>
      <c r="I25" s="86"/>
      <c r="J25" s="378" t="s">
        <v>0</v>
      </c>
      <c r="K25" s="379"/>
      <c r="L25" s="379"/>
      <c r="M25" s="379"/>
      <c r="N25" s="380"/>
      <c r="AG25" s="43"/>
    </row>
    <row r="26" spans="1:33">
      <c r="A26" s="866" t="s">
        <v>344</v>
      </c>
      <c r="B26" s="867"/>
      <c r="C26" s="328" t="s">
        <v>17</v>
      </c>
      <c r="D26" s="88"/>
      <c r="E26" s="88"/>
      <c r="F26" s="88"/>
      <c r="G26" s="88"/>
      <c r="H26" s="88"/>
      <c r="I26" s="89"/>
      <c r="J26" s="88"/>
      <c r="K26" s="88"/>
      <c r="L26" s="88"/>
      <c r="M26" s="39"/>
      <c r="N26" s="39"/>
      <c r="AG26" s="43"/>
    </row>
    <row r="27" spans="1:33" ht="18.75">
      <c r="A27" s="87" t="s">
        <v>397</v>
      </c>
      <c r="B27" s="88"/>
      <c r="C27" s="88"/>
      <c r="D27" s="88"/>
      <c r="E27" s="88"/>
      <c r="F27" s="88"/>
      <c r="G27" s="88"/>
      <c r="H27" s="88"/>
      <c r="I27" s="89"/>
      <c r="J27" s="88"/>
      <c r="K27" s="88"/>
      <c r="L27" s="88"/>
      <c r="M27" s="39"/>
      <c r="N27" s="39"/>
      <c r="AG27" s="43"/>
    </row>
    <row r="28" spans="1:33" ht="15.75" thickBot="1">
      <c r="A28" s="3"/>
      <c r="B28" s="3"/>
      <c r="C28" s="3"/>
      <c r="D28" s="3"/>
      <c r="E28" s="3"/>
      <c r="F28" s="3"/>
      <c r="G28" s="3"/>
      <c r="H28" s="3"/>
      <c r="I28" s="3"/>
      <c r="J28" s="3"/>
      <c r="K28" s="3"/>
      <c r="L28" s="3"/>
    </row>
    <row r="29" spans="1:33" ht="15.75" thickBot="1">
      <c r="A29" s="873" t="s">
        <v>342</v>
      </c>
      <c r="B29" s="874"/>
      <c r="C29" s="874"/>
      <c r="D29" s="874"/>
      <c r="E29" s="874"/>
      <c r="F29" s="874"/>
      <c r="G29" s="874"/>
      <c r="H29" s="874"/>
      <c r="I29" s="874"/>
      <c r="J29" s="874"/>
      <c r="K29" s="874"/>
      <c r="L29" s="874"/>
      <c r="M29" s="875"/>
      <c r="O29" s="189"/>
      <c r="P29" s="190"/>
      <c r="Q29" s="191">
        <f>+B33</f>
        <v>2675489.2999999998</v>
      </c>
    </row>
    <row r="30" spans="1:33">
      <c r="A30" s="90" t="s">
        <v>252</v>
      </c>
      <c r="B30" s="300" t="s">
        <v>55</v>
      </c>
      <c r="C30" s="300" t="s">
        <v>56</v>
      </c>
      <c r="D30" s="300" t="s">
        <v>57</v>
      </c>
      <c r="E30" s="300" t="s">
        <v>58</v>
      </c>
      <c r="F30" s="300" t="s">
        <v>65</v>
      </c>
      <c r="G30" s="300" t="s">
        <v>66</v>
      </c>
      <c r="H30" s="300" t="s">
        <v>67</v>
      </c>
      <c r="I30" s="300" t="s">
        <v>68</v>
      </c>
      <c r="J30" s="300" t="s">
        <v>69</v>
      </c>
      <c r="K30" s="300" t="s">
        <v>70</v>
      </c>
      <c r="L30" s="300" t="s">
        <v>71</v>
      </c>
      <c r="M30" s="301" t="s">
        <v>78</v>
      </c>
      <c r="N30" s="302" t="s">
        <v>346</v>
      </c>
      <c r="O30" s="189"/>
      <c r="P30" s="190"/>
      <c r="Q30" s="191">
        <f>+C33</f>
        <v>14534177.495320581</v>
      </c>
    </row>
    <row r="31" spans="1:33">
      <c r="A31" s="244" t="s">
        <v>441</v>
      </c>
      <c r="B31" s="310">
        <v>2675489.2999999998</v>
      </c>
      <c r="C31" s="309">
        <v>11858688.195320582</v>
      </c>
      <c r="D31" s="309">
        <v>6298137.3016707487</v>
      </c>
      <c r="E31" s="472"/>
      <c r="F31" s="472"/>
      <c r="G31" s="472"/>
      <c r="H31" s="473"/>
      <c r="I31" s="472"/>
      <c r="J31" s="472"/>
      <c r="K31" s="309"/>
      <c r="L31" s="474"/>
      <c r="M31" s="309"/>
      <c r="N31" s="805"/>
      <c r="O31" s="189"/>
      <c r="P31" s="190"/>
      <c r="Q31" s="191">
        <f>+D33</f>
        <v>20832314.79699133</v>
      </c>
    </row>
    <row r="32" spans="1:33">
      <c r="A32" s="90" t="str">
        <f>CONCATENATE("Выплаты ГФ (в ", $C$26,")")</f>
        <v>Выплаты ГФ (в $)</v>
      </c>
      <c r="B32" s="310">
        <f>7773936+2214860</f>
        <v>9988796</v>
      </c>
      <c r="C32" s="310">
        <v>6937211</v>
      </c>
      <c r="D32" s="310">
        <v>3664360</v>
      </c>
      <c r="E32" s="310"/>
      <c r="F32" s="310"/>
      <c r="G32" s="310"/>
      <c r="H32" s="459"/>
      <c r="I32" s="309"/>
      <c r="J32" s="309"/>
      <c r="K32" s="309"/>
      <c r="L32" s="309"/>
      <c r="M32" s="309"/>
      <c r="N32" s="806"/>
      <c r="O32" s="189"/>
      <c r="P32" s="190"/>
      <c r="Q32" s="191">
        <f>+E33</f>
        <v>0</v>
      </c>
    </row>
    <row r="33" spans="1:33">
      <c r="A33" s="91" t="s">
        <v>322</v>
      </c>
      <c r="B33" s="311">
        <f>+B31</f>
        <v>2675489.2999999998</v>
      </c>
      <c r="C33" s="311">
        <f>IF(AND(C31=0,C32=0),0,+B33+C31)</f>
        <v>14534177.495320581</v>
      </c>
      <c r="D33" s="311">
        <f>IF(AND(D31=0,D32=0),0,+C33+D31)</f>
        <v>20832314.79699133</v>
      </c>
      <c r="E33" s="470"/>
      <c r="F33" s="470"/>
      <c r="G33" s="470"/>
      <c r="H33" s="470"/>
      <c r="I33" s="470"/>
      <c r="J33" s="470"/>
      <c r="K33" s="470"/>
      <c r="L33" s="475"/>
      <c r="M33" s="311"/>
      <c r="N33" s="806"/>
      <c r="O33" s="297"/>
      <c r="P33" s="190"/>
      <c r="Q33" s="191">
        <f>+F33</f>
        <v>0</v>
      </c>
    </row>
    <row r="34" spans="1:33" ht="15.75" thickBot="1">
      <c r="A34" s="92" t="s">
        <v>323</v>
      </c>
      <c r="B34" s="312">
        <f>+B32</f>
        <v>9988796</v>
      </c>
      <c r="C34" s="312">
        <f>IF(AND(C31=0,C32=0),0,+B34+C32)</f>
        <v>16926007</v>
      </c>
      <c r="D34" s="312">
        <f>IF(AND(D31=0,D32=0),0,+C34+D32)</f>
        <v>20590367</v>
      </c>
      <c r="E34" s="471"/>
      <c r="F34" s="471"/>
      <c r="G34" s="471"/>
      <c r="H34" s="471"/>
      <c r="I34" s="471"/>
      <c r="J34" s="471"/>
      <c r="K34" s="471"/>
      <c r="L34" s="476"/>
      <c r="M34" s="312"/>
      <c r="N34" s="807"/>
      <c r="O34" s="297"/>
      <c r="P34" s="190"/>
      <c r="Q34" s="191">
        <f>+G33</f>
        <v>0</v>
      </c>
    </row>
    <row r="35" spans="1:33">
      <c r="A35" s="3"/>
      <c r="B35" s="284">
        <f>+IF(AND(B30=$B$16,B33&lt;&gt;0),B34/B33,0)</f>
        <v>0</v>
      </c>
      <c r="C35" s="284">
        <f t="shared" ref="C35:M35" si="0">+IF(AND(C30=$B$16,C33&lt;&gt;0),C34/C33,0)</f>
        <v>0</v>
      </c>
      <c r="D35" s="284">
        <f t="shared" si="0"/>
        <v>0.98838593793589025</v>
      </c>
      <c r="E35" s="284">
        <f>+IF(AND(E30=$B$16,E33&lt;&gt;0),E34/E33,0)</f>
        <v>0</v>
      </c>
      <c r="F35" s="284">
        <f t="shared" si="0"/>
        <v>0</v>
      </c>
      <c r="G35" s="284">
        <f t="shared" si="0"/>
        <v>0</v>
      </c>
      <c r="H35" s="284">
        <f t="shared" si="0"/>
        <v>0</v>
      </c>
      <c r="I35" s="284">
        <f t="shared" si="0"/>
        <v>0</v>
      </c>
      <c r="J35" s="284">
        <f t="shared" si="0"/>
        <v>0</v>
      </c>
      <c r="K35" s="284">
        <f t="shared" si="0"/>
        <v>0</v>
      </c>
      <c r="L35" s="284">
        <f t="shared" si="0"/>
        <v>0</v>
      </c>
      <c r="M35" s="284">
        <f t="shared" si="0"/>
        <v>0</v>
      </c>
      <c r="N35" s="254"/>
      <c r="O35" s="192"/>
      <c r="P35" s="193"/>
      <c r="Q35" s="191">
        <f>+H33</f>
        <v>0</v>
      </c>
    </row>
    <row r="36" spans="1:33" ht="18.75">
      <c r="A36" s="87" t="s">
        <v>363</v>
      </c>
      <c r="B36" s="3"/>
      <c r="C36" s="3"/>
      <c r="D36" s="292"/>
      <c r="E36" s="3"/>
      <c r="F36" s="232"/>
      <c r="G36" s="3"/>
      <c r="H36" s="3"/>
      <c r="I36" s="3"/>
      <c r="J36" s="3"/>
      <c r="K36" s="3"/>
      <c r="L36" s="3"/>
      <c r="M36" s="40"/>
      <c r="N36" s="40"/>
      <c r="AG36" s="20"/>
    </row>
    <row r="37" spans="1:33" ht="15.75" thickBot="1">
      <c r="A37" s="3"/>
      <c r="B37" s="3"/>
      <c r="C37" s="3"/>
      <c r="D37" s="3"/>
      <c r="E37" s="3"/>
      <c r="F37" s="3"/>
      <c r="G37" s="3"/>
      <c r="H37" s="3"/>
      <c r="I37" s="3"/>
      <c r="J37" s="3"/>
      <c r="K37" s="3"/>
      <c r="L37" s="3"/>
      <c r="M37" s="38"/>
      <c r="N37" s="38"/>
    </row>
    <row r="38" spans="1:33" ht="30" customHeight="1">
      <c r="A38" s="353"/>
      <c r="B38" s="354" t="str">
        <f>CONCATENATE("Общий бюджет (в ",'Ввод данных'!$C$26,")")</f>
        <v>Общий бюджет (в $)</v>
      </c>
      <c r="C38" s="355" t="str">
        <f>CONCATENATE("Общие расходы (в ",'Ввод данных'!$C$26,")")</f>
        <v>Общие расходы (в $)</v>
      </c>
      <c r="D38" s="241"/>
      <c r="E38" s="256"/>
      <c r="F38" s="3"/>
      <c r="G38" s="3"/>
      <c r="H38" s="3"/>
      <c r="I38" s="98"/>
      <c r="J38" s="41"/>
      <c r="M38"/>
      <c r="N38"/>
      <c r="AC38" s="20"/>
      <c r="AD38" s="35"/>
    </row>
    <row r="39" spans="1:33">
      <c r="A39" s="485" t="s">
        <v>476</v>
      </c>
      <c r="B39" s="316">
        <v>5210216.2500138367</v>
      </c>
      <c r="C39" s="319">
        <v>4796904.0699999994</v>
      </c>
      <c r="D39" s="15"/>
      <c r="E39" s="298"/>
      <c r="F39" s="299"/>
      <c r="G39" s="3"/>
      <c r="H39" s="3"/>
      <c r="I39" s="99"/>
      <c r="J39" s="42"/>
      <c r="M39"/>
      <c r="N39"/>
      <c r="AC39" s="20"/>
      <c r="AD39" s="35"/>
    </row>
    <row r="40" spans="1:33">
      <c r="A40" s="485" t="s">
        <v>477</v>
      </c>
      <c r="B40" s="316">
        <v>2549732.0889032576</v>
      </c>
      <c r="C40" s="319">
        <v>2254673.1388368011</v>
      </c>
      <c r="D40" s="15"/>
      <c r="E40" s="298"/>
      <c r="F40" s="299"/>
      <c r="G40" s="3"/>
      <c r="H40" s="3"/>
      <c r="I40" s="99"/>
      <c r="J40" s="42"/>
      <c r="M40"/>
      <c r="N40"/>
      <c r="AC40" s="20"/>
      <c r="AD40" s="35"/>
    </row>
    <row r="41" spans="1:33">
      <c r="A41" s="485" t="s">
        <v>478</v>
      </c>
      <c r="B41" s="316">
        <v>661535.83883799997</v>
      </c>
      <c r="C41" s="319">
        <v>651670.65</v>
      </c>
      <c r="D41" s="15"/>
      <c r="E41" s="298"/>
      <c r="F41" s="299"/>
      <c r="G41" s="3"/>
      <c r="H41" s="3"/>
      <c r="I41" s="99"/>
      <c r="J41" s="42"/>
      <c r="M41"/>
      <c r="N41"/>
      <c r="AC41" s="20"/>
      <c r="AD41" s="35"/>
    </row>
    <row r="42" spans="1:33">
      <c r="A42" s="318" t="s">
        <v>479</v>
      </c>
      <c r="B42" s="316">
        <v>390139.11644520424</v>
      </c>
      <c r="C42" s="319">
        <v>384539.68000000005</v>
      </c>
      <c r="D42" s="15"/>
      <c r="E42" s="298"/>
      <c r="F42" s="299"/>
      <c r="G42" s="3"/>
      <c r="H42" s="3"/>
      <c r="I42" s="99"/>
      <c r="J42" s="42"/>
      <c r="M42"/>
      <c r="N42"/>
      <c r="AC42" s="20"/>
      <c r="AD42" s="35"/>
    </row>
    <row r="43" spans="1:33">
      <c r="A43" s="485" t="s">
        <v>480</v>
      </c>
      <c r="B43" s="316">
        <v>103358.09423850001</v>
      </c>
      <c r="C43" s="319">
        <v>92217.329999999987</v>
      </c>
      <c r="D43" s="15"/>
      <c r="E43" s="298"/>
      <c r="F43" s="299"/>
      <c r="G43" s="3"/>
      <c r="H43" s="3"/>
      <c r="I43" s="99"/>
      <c r="J43" s="42"/>
      <c r="M43"/>
      <c r="N43"/>
      <c r="AC43" s="20"/>
      <c r="AD43" s="35"/>
    </row>
    <row r="44" spans="1:33" ht="30">
      <c r="A44" s="486" t="s">
        <v>481</v>
      </c>
      <c r="B44" s="316">
        <v>2247492.5947846496</v>
      </c>
      <c r="C44" s="319">
        <v>1920948.3699999999</v>
      </c>
      <c r="D44" s="15"/>
      <c r="E44" s="298"/>
      <c r="F44" s="299"/>
      <c r="G44" s="3"/>
      <c r="H44" s="3"/>
      <c r="I44" s="99"/>
      <c r="J44" s="42"/>
      <c r="M44"/>
      <c r="N44"/>
      <c r="AC44" s="20"/>
      <c r="AD44" s="35"/>
    </row>
    <row r="45" spans="1:33">
      <c r="A45" s="318" t="s">
        <v>482</v>
      </c>
      <c r="B45" s="316">
        <v>121456</v>
      </c>
      <c r="C45" s="319">
        <v>103310.65</v>
      </c>
      <c r="D45" s="15"/>
      <c r="E45" s="298"/>
      <c r="F45" s="299"/>
      <c r="G45" s="3"/>
      <c r="H45" s="3"/>
      <c r="I45" s="99"/>
      <c r="J45" s="42"/>
      <c r="M45"/>
      <c r="N45"/>
      <c r="AC45" s="20"/>
      <c r="AD45" s="35"/>
    </row>
    <row r="46" spans="1:33">
      <c r="A46" s="318" t="s">
        <v>483</v>
      </c>
      <c r="B46" s="316">
        <v>248533.07495350001</v>
      </c>
      <c r="C46" s="319">
        <v>235905.63000000003</v>
      </c>
      <c r="D46" s="15"/>
      <c r="E46" s="298"/>
      <c r="F46" s="299"/>
      <c r="G46" s="3"/>
      <c r="H46" s="3"/>
      <c r="I46" s="99"/>
      <c r="J46" s="42"/>
      <c r="M46"/>
      <c r="N46"/>
      <c r="AC46" s="20"/>
      <c r="AD46" s="35"/>
    </row>
    <row r="47" spans="1:33">
      <c r="A47" s="318" t="s">
        <v>484</v>
      </c>
      <c r="B47" s="317">
        <v>606348.27250373084</v>
      </c>
      <c r="C47" s="319">
        <v>515023.57000000007</v>
      </c>
      <c r="D47" s="15"/>
      <c r="E47" s="298"/>
      <c r="F47" s="299"/>
      <c r="G47" s="3"/>
      <c r="H47" s="3"/>
      <c r="I47" s="99"/>
      <c r="J47" s="42"/>
      <c r="M47"/>
      <c r="N47"/>
      <c r="AC47" s="20"/>
      <c r="AD47" s="35"/>
    </row>
    <row r="48" spans="1:33">
      <c r="A48" s="318" t="s">
        <v>485</v>
      </c>
      <c r="B48" s="316">
        <v>36228.885999999999</v>
      </c>
      <c r="C48" s="319">
        <v>12499.159802554585</v>
      </c>
      <c r="D48" s="15"/>
      <c r="E48" s="298"/>
      <c r="F48" s="299"/>
      <c r="G48" s="3"/>
      <c r="H48" s="3"/>
      <c r="I48" s="99"/>
      <c r="J48" s="42"/>
      <c r="M48"/>
      <c r="N48"/>
      <c r="AC48" s="20"/>
      <c r="AD48" s="35"/>
    </row>
    <row r="49" spans="1:32">
      <c r="A49" s="318" t="s">
        <v>486</v>
      </c>
      <c r="B49" s="316">
        <v>8355654.37171805</v>
      </c>
      <c r="C49" s="319">
        <v>7227957.0099999998</v>
      </c>
      <c r="D49" s="15"/>
      <c r="E49" s="298"/>
      <c r="F49" s="299"/>
      <c r="G49" s="3"/>
      <c r="H49" s="3"/>
      <c r="I49" s="99"/>
      <c r="J49" s="42"/>
      <c r="M49"/>
      <c r="N49"/>
      <c r="AC49" s="20"/>
      <c r="AD49" s="35"/>
    </row>
    <row r="50" spans="1:32">
      <c r="A50" s="318" t="s">
        <v>487</v>
      </c>
      <c r="B50" s="316">
        <v>159890.20859260001</v>
      </c>
      <c r="C50" s="319">
        <v>161061.77000000002</v>
      </c>
      <c r="D50" s="15"/>
      <c r="E50" s="298"/>
      <c r="F50" s="299"/>
      <c r="G50" s="3"/>
      <c r="H50" s="3"/>
      <c r="I50" s="99"/>
      <c r="J50" s="42"/>
      <c r="M50"/>
      <c r="N50"/>
      <c r="AC50" s="20"/>
      <c r="AD50" s="35"/>
    </row>
    <row r="51" spans="1:32">
      <c r="A51" s="320" t="s">
        <v>488</v>
      </c>
      <c r="B51" s="317">
        <v>141730</v>
      </c>
      <c r="C51" s="319">
        <v>115886.93999999999</v>
      </c>
      <c r="D51" s="15"/>
      <c r="E51" s="298"/>
      <c r="F51" s="299"/>
      <c r="G51" s="3"/>
      <c r="H51" s="3"/>
      <c r="I51" s="99"/>
      <c r="J51" s="42"/>
      <c r="M51"/>
      <c r="N51"/>
      <c r="AC51" s="20"/>
      <c r="AD51" s="35"/>
    </row>
    <row r="52" spans="1:32" ht="30">
      <c r="A52" s="486" t="s">
        <v>489</v>
      </c>
      <c r="B52" s="317"/>
      <c r="C52" s="319">
        <v>0</v>
      </c>
      <c r="D52" s="15"/>
      <c r="E52" s="298"/>
      <c r="F52" s="299"/>
      <c r="G52" s="3"/>
      <c r="H52" s="3"/>
      <c r="I52" s="99"/>
      <c r="J52" s="42"/>
      <c r="M52"/>
      <c r="N52"/>
      <c r="AC52" s="20"/>
      <c r="AD52" s="35"/>
    </row>
    <row r="53" spans="1:32">
      <c r="A53" s="318"/>
      <c r="B53" s="460"/>
      <c r="C53" s="319"/>
      <c r="D53" s="15"/>
      <c r="E53" s="298"/>
      <c r="F53" s="299"/>
      <c r="G53" s="3"/>
      <c r="H53" s="3"/>
      <c r="I53" s="99"/>
      <c r="J53" s="42"/>
      <c r="M53"/>
      <c r="N53"/>
      <c r="AC53" s="20"/>
      <c r="AD53" s="35"/>
    </row>
    <row r="54" spans="1:32">
      <c r="A54" s="318"/>
      <c r="B54" s="460"/>
      <c r="C54" s="319"/>
      <c r="D54" s="254"/>
      <c r="E54" s="298"/>
      <c r="F54" s="299"/>
      <c r="G54" s="3"/>
      <c r="H54" s="3"/>
      <c r="I54" s="3"/>
      <c r="J54" s="42"/>
      <c r="M54"/>
      <c r="N54"/>
      <c r="AC54" s="20"/>
      <c r="AD54" s="35"/>
    </row>
    <row r="55" spans="1:32" ht="15.75" thickBot="1">
      <c r="A55" s="320"/>
      <c r="B55" s="461"/>
      <c r="C55" s="468"/>
      <c r="D55" s="238"/>
      <c r="E55" s="298"/>
      <c r="F55" s="3"/>
      <c r="G55" s="3"/>
      <c r="H55" s="3"/>
      <c r="I55" s="3"/>
      <c r="J55" s="42"/>
      <c r="M55"/>
      <c r="N55"/>
      <c r="AC55" s="20"/>
      <c r="AD55" s="35"/>
    </row>
    <row r="56" spans="1:32" ht="15.75" thickBot="1">
      <c r="A56" s="321" t="s">
        <v>343</v>
      </c>
      <c r="B56" s="540">
        <f>SUM(B39:B55)</f>
        <v>20832314.79699133</v>
      </c>
      <c r="C56" s="541">
        <f>SUM(C39:C55)</f>
        <v>18472597.968639359</v>
      </c>
      <c r="D56" s="3"/>
      <c r="E56" s="812" t="str">
        <f ca="1">+IF((ROUND(B56,0)=ROUND(OFFSET(A33,0,RIGHT('Ввод данных'!$B$16,LEN('Ввод данных'!$B$16)-1),1,1),0)),"Все правильно: данные верны","Предупреждение: данные не совпадают")</f>
        <v>Все правильно: данные верны</v>
      </c>
      <c r="F56" s="813"/>
      <c r="G56" s="813"/>
      <c r="H56" s="814"/>
      <c r="I56" s="184"/>
      <c r="J56" s="184"/>
      <c r="K56" s="184"/>
      <c r="L56" s="192"/>
      <c r="M56" s="193"/>
      <c r="N56" s="191"/>
      <c r="O56" s="189"/>
      <c r="AC56" s="35"/>
      <c r="AD56" s="35"/>
    </row>
    <row r="57" spans="1:32">
      <c r="A57" s="3"/>
      <c r="B57" s="184"/>
      <c r="C57" s="184"/>
      <c r="E57" s="184"/>
      <c r="F57" s="184"/>
      <c r="G57" s="184"/>
      <c r="H57" s="184"/>
      <c r="I57" s="184"/>
      <c r="J57" s="184"/>
      <c r="K57" s="184"/>
      <c r="L57" s="184"/>
      <c r="M57" s="184"/>
      <c r="N57" s="184"/>
      <c r="O57" s="192"/>
      <c r="P57" s="193"/>
      <c r="Q57" s="191"/>
    </row>
    <row r="58" spans="1:32" ht="18.75">
      <c r="A58" s="87" t="s">
        <v>341</v>
      </c>
      <c r="B58" s="3"/>
      <c r="C58" s="184"/>
      <c r="D58" s="428"/>
      <c r="E58" s="3"/>
      <c r="F58" s="3"/>
      <c r="G58" s="3"/>
      <c r="H58" s="3"/>
      <c r="I58" s="3"/>
      <c r="J58" s="3"/>
      <c r="K58" s="3"/>
      <c r="L58" s="3"/>
      <c r="O58" s="189"/>
      <c r="P58" s="190"/>
      <c r="Q58" s="191">
        <f>+I33</f>
        <v>0</v>
      </c>
    </row>
    <row r="59" spans="1:32" ht="15.75" thickBot="1">
      <c r="A59" s="3"/>
      <c r="B59" s="3"/>
      <c r="C59" s="3"/>
      <c r="D59" s="3"/>
      <c r="E59" s="3"/>
      <c r="F59" s="3"/>
      <c r="G59" s="3"/>
      <c r="H59" s="3"/>
      <c r="I59" s="3"/>
      <c r="J59" s="3"/>
      <c r="K59" s="3"/>
      <c r="L59" s="3"/>
      <c r="O59" s="189"/>
      <c r="P59" s="190"/>
      <c r="Q59" s="191">
        <f>+J33</f>
        <v>0</v>
      </c>
    </row>
    <row r="60" spans="1:32" ht="51" customHeight="1">
      <c r="A60" s="440"/>
      <c r="B60" s="441" t="s">
        <v>258</v>
      </c>
      <c r="C60" s="441" t="s">
        <v>259</v>
      </c>
      <c r="D60" s="442" t="str">
        <f>CONCATENATE("Всего израсходовано и выплачено (в ",C26,")")</f>
        <v>Всего израсходовано и выплачено (в $)</v>
      </c>
      <c r="E60" s="3"/>
      <c r="F60" s="259"/>
      <c r="G60" s="256"/>
      <c r="H60" s="245"/>
      <c r="I60" s="245"/>
      <c r="J60" s="245"/>
      <c r="K60" s="245"/>
      <c r="L60" s="21"/>
      <c r="M60" s="21"/>
      <c r="N60" s="189"/>
      <c r="O60" s="190"/>
      <c r="P60" s="191">
        <f>+L33</f>
        <v>0</v>
      </c>
      <c r="Q60" s="189"/>
      <c r="AF60" s="20"/>
    </row>
    <row r="61" spans="1:32">
      <c r="A61" s="443" t="s">
        <v>325</v>
      </c>
      <c r="B61" s="487">
        <v>16926007</v>
      </c>
      <c r="C61" s="487">
        <v>3664360</v>
      </c>
      <c r="D61" s="445">
        <f>+C61+B61</f>
        <v>20590367</v>
      </c>
      <c r="E61" s="3"/>
      <c r="F61" s="94"/>
      <c r="G61" s="257"/>
      <c r="H61" s="93"/>
      <c r="I61" s="187"/>
      <c r="J61" s="188"/>
      <c r="K61" s="95"/>
      <c r="L61" s="36"/>
      <c r="M61" s="36"/>
      <c r="N61" s="189"/>
      <c r="O61" s="189"/>
      <c r="P61" s="189"/>
      <c r="Q61" s="189"/>
      <c r="AF61" s="20"/>
    </row>
    <row r="62" spans="1:32">
      <c r="A62" s="443" t="s">
        <v>326</v>
      </c>
      <c r="B62" s="487">
        <v>4149417.6699999995</v>
      </c>
      <c r="C62" s="487">
        <v>8751447.1258886755</v>
      </c>
      <c r="D62" s="445">
        <f>+C62+B62</f>
        <v>12900864.795888675</v>
      </c>
      <c r="E62" s="3"/>
      <c r="F62" s="227"/>
      <c r="G62" s="257"/>
      <c r="H62" s="93"/>
      <c r="I62" s="187"/>
      <c r="J62" s="187"/>
      <c r="K62" s="95"/>
      <c r="L62" s="37"/>
      <c r="M62" s="37"/>
      <c r="N62" s="189"/>
      <c r="O62" s="189"/>
      <c r="P62" s="189"/>
      <c r="Q62" s="189"/>
      <c r="AF62" s="20"/>
    </row>
    <row r="63" spans="1:32">
      <c r="A63" s="443" t="s">
        <v>327</v>
      </c>
      <c r="B63" s="487">
        <v>3963444.1300000008</v>
      </c>
      <c r="C63" s="487">
        <v>2592269.8100000005</v>
      </c>
      <c r="D63" s="445">
        <f>+C63+B63</f>
        <v>6555713.9400000013</v>
      </c>
      <c r="E63" s="3"/>
      <c r="F63" s="94"/>
      <c r="G63" s="257"/>
      <c r="H63" s="93"/>
      <c r="I63" s="187"/>
      <c r="J63" s="188"/>
      <c r="K63" s="95"/>
      <c r="L63" s="36"/>
      <c r="M63" s="36"/>
      <c r="N63"/>
      <c r="AF63" s="20"/>
    </row>
    <row r="64" spans="1:32" ht="15.75" thickBot="1">
      <c r="A64" s="444" t="s">
        <v>355</v>
      </c>
      <c r="B64" s="488">
        <v>3199256.21</v>
      </c>
      <c r="C64" s="487">
        <v>3209176.3647909234</v>
      </c>
      <c r="D64" s="446">
        <f>+C64+B64</f>
        <v>6408432.5747909229</v>
      </c>
      <c r="E64" s="184"/>
      <c r="F64" s="228"/>
      <c r="G64" s="258"/>
      <c r="H64" s="96"/>
      <c r="I64" s="96"/>
      <c r="J64" s="96"/>
      <c r="K64" s="95"/>
      <c r="L64" s="37"/>
      <c r="M64" s="37"/>
      <c r="N64"/>
      <c r="AF64" s="20"/>
    </row>
    <row r="65" spans="1:33" ht="15.75" customHeight="1">
      <c r="A65" s="3"/>
      <c r="B65" s="3"/>
      <c r="C65" s="184"/>
      <c r="D65" s="3"/>
      <c r="E65" s="184"/>
      <c r="F65" s="3"/>
      <c r="G65" s="3"/>
      <c r="H65" s="3"/>
      <c r="I65" s="3"/>
      <c r="J65" s="3"/>
      <c r="K65" s="3"/>
      <c r="L65" s="3"/>
      <c r="AG65" s="20"/>
    </row>
    <row r="66" spans="1:33">
      <c r="A66" s="3"/>
      <c r="B66" s="3"/>
      <c r="C66" s="439"/>
      <c r="D66" s="3"/>
      <c r="E66" s="3"/>
      <c r="F66" s="3"/>
      <c r="G66" s="3"/>
      <c r="H66" s="3"/>
      <c r="I66" s="3"/>
      <c r="J66" s="3"/>
      <c r="K66" s="3"/>
      <c r="L66" s="3"/>
    </row>
    <row r="67" spans="1:33" ht="18.75">
      <c r="A67" s="87" t="s">
        <v>328</v>
      </c>
      <c r="B67" s="3"/>
      <c r="C67" s="184"/>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70" t="s">
        <v>364</v>
      </c>
      <c r="B69" s="871"/>
      <c r="C69" s="872"/>
      <c r="D69" s="467"/>
      <c r="E69" s="3"/>
      <c r="F69" s="3"/>
      <c r="G69" s="3"/>
      <c r="H69" s="3"/>
      <c r="I69" s="3"/>
      <c r="J69" s="3"/>
      <c r="K69" s="3"/>
      <c r="L69" s="35"/>
      <c r="N69"/>
    </row>
    <row r="70" spans="1:33">
      <c r="A70" s="462"/>
      <c r="B70" s="372"/>
      <c r="C70" s="409" t="s">
        <v>356</v>
      </c>
      <c r="D70" s="463" t="s">
        <v>357</v>
      </c>
      <c r="E70" s="3"/>
      <c r="F70" s="3"/>
      <c r="G70" s="3"/>
      <c r="H70" s="3"/>
      <c r="I70" s="3"/>
      <c r="J70" s="3"/>
      <c r="K70" s="3"/>
      <c r="L70" s="35"/>
      <c r="N70"/>
    </row>
    <row r="71" spans="1:33">
      <c r="A71" s="464" t="s">
        <v>374</v>
      </c>
      <c r="B71" s="44"/>
      <c r="C71" s="489">
        <v>94</v>
      </c>
      <c r="D71" s="490">
        <v>94</v>
      </c>
      <c r="E71" s="3"/>
      <c r="F71" s="3"/>
      <c r="G71" s="3"/>
      <c r="H71" s="3"/>
      <c r="I71" s="3"/>
      <c r="J71" s="3"/>
      <c r="K71" s="3"/>
      <c r="L71" s="35"/>
      <c r="N71"/>
    </row>
    <row r="72" spans="1:33">
      <c r="A72" s="260" t="s">
        <v>365</v>
      </c>
      <c r="B72" s="44"/>
      <c r="C72" s="489">
        <v>60</v>
      </c>
      <c r="D72" s="490" t="s">
        <v>620</v>
      </c>
      <c r="E72" s="3"/>
      <c r="F72" s="3"/>
      <c r="G72" s="257"/>
      <c r="H72" s="257"/>
      <c r="I72" s="3"/>
      <c r="J72" s="3"/>
      <c r="K72" s="3"/>
      <c r="L72" s="35"/>
      <c r="N72"/>
    </row>
    <row r="73" spans="1:33" ht="15.75" thickBot="1">
      <c r="A73" s="465" t="s">
        <v>366</v>
      </c>
      <c r="B73" s="466"/>
      <c r="C73" s="491">
        <v>10</v>
      </c>
      <c r="D73" s="490" t="s">
        <v>620</v>
      </c>
      <c r="E73" s="3"/>
      <c r="F73" s="3"/>
      <c r="G73" s="257"/>
      <c r="H73" s="257"/>
      <c r="I73" s="3"/>
      <c r="J73" s="3"/>
      <c r="K73" s="3"/>
      <c r="L73" s="35"/>
      <c r="N73"/>
    </row>
    <row r="74" spans="1:33">
      <c r="A74" s="3"/>
      <c r="B74" s="3"/>
      <c r="C74" s="410"/>
      <c r="D74" s="410"/>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100" t="s">
        <v>329</v>
      </c>
      <c r="B76" s="101"/>
      <c r="C76" s="101"/>
      <c r="D76" s="101"/>
      <c r="E76" s="101"/>
      <c r="F76" s="101"/>
      <c r="G76" s="381" t="s">
        <v>360</v>
      </c>
      <c r="H76" s="373"/>
      <c r="I76" s="374"/>
      <c r="J76" s="374"/>
      <c r="K76" s="396"/>
      <c r="L76" s="102"/>
      <c r="M76" s="82"/>
      <c r="N76" s="82"/>
      <c r="O76" s="82"/>
      <c r="AA76" s="19"/>
      <c r="AB76" s="19"/>
    </row>
    <row r="77" spans="1:33" ht="18.75">
      <c r="A77" s="103"/>
      <c r="B77" s="102"/>
      <c r="C77" s="102"/>
      <c r="D77" s="102"/>
      <c r="E77" s="102"/>
      <c r="F77" s="102"/>
      <c r="G77" s="102"/>
      <c r="H77" s="102"/>
      <c r="I77" s="102"/>
      <c r="J77" s="104"/>
      <c r="K77" s="104"/>
      <c r="L77" s="102"/>
      <c r="M77" s="82"/>
      <c r="N77" s="82"/>
      <c r="O77" s="82"/>
      <c r="AA77" s="19"/>
      <c r="AB77" s="19"/>
    </row>
    <row r="78" spans="1:33" ht="18.75">
      <c r="A78" s="103" t="s">
        <v>1</v>
      </c>
      <c r="B78" s="102"/>
      <c r="C78" s="102"/>
      <c r="D78" s="102"/>
      <c r="E78" s="102"/>
      <c r="F78" s="102"/>
      <c r="G78" s="102"/>
      <c r="H78" s="102"/>
      <c r="I78" s="102"/>
      <c r="J78" s="104"/>
      <c r="K78" s="104"/>
      <c r="L78" s="102"/>
      <c r="M78" s="82"/>
      <c r="N78" s="82"/>
      <c r="O78" s="82"/>
      <c r="AA78" s="19"/>
      <c r="AB78" s="19"/>
    </row>
    <row r="79" spans="1:33" ht="15.75" thickBot="1">
      <c r="A79" s="2"/>
      <c r="B79" s="105"/>
      <c r="C79" s="105"/>
      <c r="D79" s="105"/>
      <c r="E79" s="105"/>
      <c r="F79" s="105"/>
      <c r="G79" s="2"/>
      <c r="H79" s="105"/>
      <c r="I79" s="2"/>
      <c r="J79" s="2"/>
      <c r="K79" s="2"/>
      <c r="L79" s="2"/>
      <c r="M79" s="20"/>
      <c r="N79" s="19"/>
      <c r="O79" s="19"/>
      <c r="P79" s="19"/>
      <c r="Q79" s="19"/>
      <c r="AB79" s="19"/>
    </row>
    <row r="80" spans="1:33" ht="45">
      <c r="A80" s="868"/>
      <c r="B80" s="869"/>
      <c r="C80" s="106" t="s">
        <v>260</v>
      </c>
      <c r="D80" s="107" t="s">
        <v>261</v>
      </c>
      <c r="E80" s="344" t="s">
        <v>330</v>
      </c>
      <c r="F80" s="345" t="s">
        <v>257</v>
      </c>
      <c r="G80" s="268"/>
      <c r="H80" s="269"/>
      <c r="I80" s="15"/>
      <c r="J80" s="2"/>
      <c r="K80" s="2"/>
      <c r="L80" s="2"/>
      <c r="M80" s="20"/>
      <c r="N80" s="19"/>
      <c r="O80" s="19"/>
      <c r="P80" s="19"/>
      <c r="Q80" s="19"/>
    </row>
    <row r="81" spans="1:17">
      <c r="A81" s="801" t="s">
        <v>606</v>
      </c>
      <c r="B81" s="802"/>
      <c r="C81" s="229"/>
      <c r="D81" s="229"/>
      <c r="E81" s="229"/>
      <c r="F81" s="108"/>
      <c r="G81" s="268"/>
      <c r="H81" s="269"/>
      <c r="I81" s="15"/>
      <c r="J81" s="2"/>
      <c r="K81" s="2"/>
      <c r="L81" s="2"/>
      <c r="M81" s="20"/>
      <c r="N81" s="19"/>
      <c r="O81" s="19"/>
      <c r="P81" s="19"/>
      <c r="Q81" s="19"/>
    </row>
    <row r="82" spans="1:17" ht="15.75" thickBot="1">
      <c r="A82" s="803" t="s">
        <v>607</v>
      </c>
      <c r="B82" s="804"/>
      <c r="C82" s="229">
        <v>0</v>
      </c>
      <c r="D82" s="229">
        <v>1</v>
      </c>
      <c r="E82" s="229">
        <v>0</v>
      </c>
      <c r="F82" s="229">
        <v>1</v>
      </c>
      <c r="G82" s="268"/>
      <c r="H82" s="269"/>
      <c r="I82" s="15"/>
      <c r="J82" s="2"/>
      <c r="K82" s="2"/>
      <c r="L82" s="2"/>
      <c r="M82" s="20"/>
      <c r="N82" s="19"/>
      <c r="O82" s="19"/>
      <c r="P82" s="19"/>
      <c r="Q82" s="19"/>
    </row>
    <row r="83" spans="1:17">
      <c r="A83" s="801" t="s">
        <v>608</v>
      </c>
      <c r="B83" s="802"/>
      <c r="C83" s="229">
        <v>0</v>
      </c>
      <c r="D83" s="229">
        <v>0</v>
      </c>
      <c r="E83" s="229"/>
      <c r="F83" s="108">
        <f>SUM(C83:E83)</f>
        <v>0</v>
      </c>
      <c r="G83" s="255"/>
      <c r="H83" s="267"/>
      <c r="I83" s="267"/>
      <c r="J83" s="2"/>
      <c r="K83" s="2"/>
      <c r="L83" s="2"/>
      <c r="M83" s="20"/>
      <c r="N83" s="19"/>
      <c r="O83" s="19"/>
      <c r="P83" s="19"/>
      <c r="Q83" s="19"/>
    </row>
    <row r="84" spans="1:17" ht="15.75" thickBot="1">
      <c r="A84" s="803" t="s">
        <v>609</v>
      </c>
      <c r="B84" s="804"/>
      <c r="C84" s="230">
        <v>0</v>
      </c>
      <c r="D84" s="230">
        <v>0</v>
      </c>
      <c r="E84" s="230"/>
      <c r="F84" s="109">
        <f>SUM(C84:E84)</f>
        <v>0</v>
      </c>
      <c r="G84" s="255"/>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103" t="s">
        <v>398</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526" t="s">
        <v>385</v>
      </c>
      <c r="B89" s="340" t="s">
        <v>262</v>
      </c>
      <c r="C89" s="340" t="s">
        <v>263</v>
      </c>
      <c r="D89" s="110" t="s">
        <v>264</v>
      </c>
      <c r="E89" s="15"/>
      <c r="F89" s="15"/>
      <c r="G89" s="15"/>
      <c r="H89" s="269"/>
      <c r="I89" s="2"/>
      <c r="J89" s="2"/>
      <c r="K89" s="2"/>
      <c r="L89" s="2"/>
      <c r="M89" s="19"/>
      <c r="N89" s="19"/>
      <c r="O89" s="19"/>
    </row>
    <row r="90" spans="1:17" ht="15.75" thickBot="1">
      <c r="A90" s="384" t="s">
        <v>561</v>
      </c>
      <c r="B90" s="492">
        <v>7</v>
      </c>
      <c r="C90" s="492">
        <v>6</v>
      </c>
      <c r="D90" s="493">
        <f>B90-C90</f>
        <v>1</v>
      </c>
      <c r="E90" s="15"/>
      <c r="F90" s="15"/>
      <c r="G90" s="15"/>
      <c r="H90" s="269"/>
      <c r="I90" s="2"/>
      <c r="J90" s="2"/>
      <c r="K90" s="2"/>
      <c r="L90" s="2"/>
      <c r="M90" s="19"/>
      <c r="N90" s="19"/>
      <c r="O90" s="19"/>
    </row>
    <row r="91" spans="1:17" ht="15.75" thickBot="1">
      <c r="A91" s="384" t="s">
        <v>246</v>
      </c>
      <c r="B91" s="293">
        <v>4</v>
      </c>
      <c r="C91" s="293">
        <v>4</v>
      </c>
      <c r="D91" s="294">
        <f>+B91-C91</f>
        <v>0</v>
      </c>
      <c r="E91" s="234"/>
      <c r="F91" s="239"/>
      <c r="G91" s="15"/>
      <c r="H91" s="267"/>
      <c r="I91" s="2"/>
      <c r="J91" s="2"/>
      <c r="K91" s="2"/>
      <c r="L91" s="2"/>
      <c r="M91" s="19"/>
      <c r="N91" s="19"/>
      <c r="O91" s="19"/>
    </row>
    <row r="92" spans="1:17">
      <c r="A92" s="2"/>
      <c r="B92" s="359"/>
      <c r="C92" s="359"/>
      <c r="D92" s="359"/>
      <c r="E92" s="2"/>
      <c r="F92" s="2"/>
      <c r="G92" s="2"/>
      <c r="H92" s="2"/>
      <c r="I92" s="2"/>
      <c r="J92" s="2"/>
      <c r="K92" s="2"/>
      <c r="L92" s="2"/>
      <c r="M92" s="19"/>
      <c r="N92" s="19"/>
      <c r="O92" s="19"/>
    </row>
    <row r="93" spans="1:17" ht="18.75">
      <c r="A93" s="103" t="s">
        <v>369</v>
      </c>
      <c r="B93" s="2"/>
      <c r="C93" s="2"/>
      <c r="D93" s="2"/>
      <c r="E93" s="2"/>
      <c r="F93" s="2"/>
      <c r="G93" s="2"/>
      <c r="H93" s="2"/>
      <c r="I93" s="2"/>
      <c r="J93" s="2"/>
      <c r="K93" s="2"/>
      <c r="L93" s="2"/>
      <c r="M93" s="19"/>
      <c r="N93" s="19"/>
      <c r="O93" s="19"/>
    </row>
    <row r="94" spans="1:17" ht="15.75" thickBot="1">
      <c r="A94" s="2"/>
      <c r="B94" s="2"/>
      <c r="C94" s="2"/>
      <c r="D94" s="2"/>
      <c r="E94" s="2"/>
      <c r="F94" s="2"/>
      <c r="G94" s="2"/>
      <c r="H94" s="2"/>
      <c r="I94" s="2"/>
      <c r="J94" s="2"/>
      <c r="K94" s="2"/>
      <c r="L94" s="2"/>
      <c r="M94" s="19"/>
      <c r="N94" s="19"/>
      <c r="O94" s="19"/>
    </row>
    <row r="95" spans="1:17" ht="30">
      <c r="A95" s="550"/>
      <c r="B95" s="568" t="s">
        <v>412</v>
      </c>
      <c r="C95" s="569" t="s">
        <v>413</v>
      </c>
      <c r="D95" s="569" t="s">
        <v>414</v>
      </c>
      <c r="E95" s="570" t="s">
        <v>410</v>
      </c>
      <c r="F95" s="571" t="s">
        <v>367</v>
      </c>
      <c r="G95" s="240"/>
      <c r="H95" s="269"/>
      <c r="I95" s="2"/>
      <c r="J95" s="2"/>
      <c r="K95" s="2"/>
      <c r="L95" s="2"/>
      <c r="M95" s="19"/>
      <c r="N95" s="19"/>
      <c r="O95" s="19"/>
    </row>
    <row r="96" spans="1:17">
      <c r="A96" s="572" t="s">
        <v>610</v>
      </c>
      <c r="B96" s="527">
        <v>42</v>
      </c>
      <c r="C96" s="567">
        <v>32</v>
      </c>
      <c r="D96" s="527">
        <v>32</v>
      </c>
      <c r="E96" s="527">
        <v>42</v>
      </c>
      <c r="F96" s="573">
        <v>32</v>
      </c>
      <c r="G96" s="270"/>
      <c r="H96" s="255"/>
      <c r="I96" s="2"/>
      <c r="J96" s="2"/>
      <c r="K96" s="2"/>
      <c r="L96" s="2"/>
      <c r="M96" s="19"/>
      <c r="N96" s="19"/>
      <c r="O96" s="19"/>
    </row>
    <row r="97" spans="1:34" ht="15.75" thickBot="1">
      <c r="A97" s="574" t="s">
        <v>611</v>
      </c>
      <c r="B97" s="528">
        <v>10</v>
      </c>
      <c r="C97" s="528">
        <v>10</v>
      </c>
      <c r="D97" s="528">
        <v>10</v>
      </c>
      <c r="E97" s="528">
        <v>10</v>
      </c>
      <c r="F97" s="575">
        <v>10</v>
      </c>
      <c r="G97" s="270"/>
      <c r="H97" s="255"/>
      <c r="I97" s="2"/>
      <c r="J97" s="2"/>
      <c r="K97" s="2"/>
      <c r="L97" s="2"/>
      <c r="M97" s="19"/>
      <c r="N97" s="19"/>
      <c r="O97" s="19"/>
    </row>
    <row r="98" spans="1:34">
      <c r="A98" s="2"/>
      <c r="B98" s="2"/>
      <c r="C98" s="2"/>
      <c r="D98" s="2"/>
      <c r="E98" s="2"/>
      <c r="F98" s="2"/>
      <c r="G98" s="2"/>
      <c r="I98" s="2"/>
      <c r="J98" s="2"/>
      <c r="K98" s="2"/>
      <c r="L98" s="2"/>
      <c r="M98" s="19"/>
      <c r="N98" s="19"/>
      <c r="O98" s="19"/>
    </row>
    <row r="99" spans="1:34" ht="18.75">
      <c r="A99" s="103" t="s">
        <v>7</v>
      </c>
      <c r="B99" s="2"/>
      <c r="C99" s="2"/>
      <c r="D99" s="2"/>
      <c r="E99" s="2"/>
      <c r="F99" s="2"/>
      <c r="G99" s="2"/>
      <c r="H99" s="2"/>
      <c r="I99" s="2"/>
      <c r="J99" s="2"/>
      <c r="K99" s="2"/>
      <c r="L99" s="2"/>
      <c r="M99" s="19"/>
      <c r="N99" s="19"/>
      <c r="O99" s="19"/>
    </row>
    <row r="100" spans="1:34" ht="15.75" thickBot="1">
      <c r="A100" s="2"/>
      <c r="B100" s="2"/>
      <c r="C100" s="2"/>
      <c r="D100" s="2"/>
      <c r="E100" s="2"/>
      <c r="F100" s="2"/>
      <c r="G100" s="2"/>
      <c r="H100" s="2"/>
      <c r="I100" s="2"/>
      <c r="J100" s="2"/>
      <c r="K100" s="2"/>
      <c r="L100" s="2"/>
      <c r="M100" s="19"/>
      <c r="N100" s="19"/>
      <c r="O100" s="19"/>
    </row>
    <row r="101" spans="1:34" ht="27.75" customHeight="1">
      <c r="A101" s="550"/>
      <c r="B101" s="551" t="s">
        <v>266</v>
      </c>
      <c r="C101" s="551" t="s">
        <v>267</v>
      </c>
      <c r="D101" s="552" t="s">
        <v>368</v>
      </c>
      <c r="E101" s="2"/>
      <c r="F101" s="2"/>
      <c r="G101" s="2"/>
      <c r="H101" s="2"/>
      <c r="I101" s="19"/>
      <c r="J101" s="19"/>
      <c r="K101" s="19"/>
      <c r="M101"/>
      <c r="N101" s="19"/>
      <c r="AE101" s="35"/>
      <c r="AH101"/>
    </row>
    <row r="102" spans="1:34" ht="27.75" customHeight="1">
      <c r="A102" s="553" t="s">
        <v>613</v>
      </c>
      <c r="B102" s="229">
        <v>0</v>
      </c>
      <c r="C102" s="231">
        <v>0</v>
      </c>
      <c r="D102" s="554">
        <v>0</v>
      </c>
      <c r="E102" s="2"/>
      <c r="F102" s="2"/>
      <c r="G102" s="2"/>
      <c r="H102" s="2"/>
      <c r="I102" s="19"/>
      <c r="J102" s="19"/>
      <c r="K102" s="19"/>
      <c r="M102"/>
      <c r="N102" s="19"/>
      <c r="AE102" s="35"/>
      <c r="AH102"/>
    </row>
    <row r="103" spans="1:34" ht="27.75" customHeight="1">
      <c r="A103" s="553" t="s">
        <v>614</v>
      </c>
      <c r="B103" s="229">
        <v>42</v>
      </c>
      <c r="C103" s="231">
        <v>40</v>
      </c>
      <c r="D103" s="555">
        <f>B103-C103</f>
        <v>2</v>
      </c>
      <c r="E103" s="2"/>
      <c r="F103" s="2"/>
      <c r="G103" s="2"/>
      <c r="H103" s="2"/>
      <c r="I103" s="19"/>
      <c r="J103" s="19"/>
      <c r="K103" s="19"/>
      <c r="M103"/>
      <c r="N103" s="19"/>
      <c r="AE103" s="35"/>
      <c r="AH103"/>
    </row>
    <row r="104" spans="1:34">
      <c r="A104" s="553" t="s">
        <v>612</v>
      </c>
      <c r="B104" s="229"/>
      <c r="C104" s="231"/>
      <c r="D104" s="554">
        <f t="shared" ref="D104:D105" si="1">B104-C104</f>
        <v>0</v>
      </c>
      <c r="E104" s="2"/>
      <c r="F104" s="2"/>
      <c r="G104" s="2"/>
      <c r="H104" s="2"/>
      <c r="I104" s="19"/>
      <c r="J104" s="19"/>
      <c r="K104" s="19"/>
      <c r="M104"/>
      <c r="N104" s="19"/>
      <c r="AE104" s="35"/>
      <c r="AH104"/>
    </row>
    <row r="105" spans="1:34" ht="15.75" thickBot="1">
      <c r="A105" s="556" t="s">
        <v>615</v>
      </c>
      <c r="B105" s="557">
        <v>10</v>
      </c>
      <c r="C105" s="558">
        <v>10</v>
      </c>
      <c r="D105" s="559">
        <f t="shared" si="1"/>
        <v>0</v>
      </c>
      <c r="E105" s="2"/>
      <c r="F105" s="2"/>
      <c r="G105" s="2"/>
      <c r="H105" s="2"/>
      <c r="I105" s="19"/>
      <c r="J105" s="19"/>
      <c r="K105" s="19"/>
      <c r="M105"/>
      <c r="N105" s="19"/>
      <c r="AE105" s="35"/>
      <c r="AH105"/>
    </row>
    <row r="106" spans="1:34">
      <c r="A106" s="2"/>
      <c r="B106" s="2"/>
      <c r="C106" s="2"/>
      <c r="D106" s="2"/>
      <c r="E106" s="2"/>
      <c r="F106" s="2"/>
      <c r="G106" s="2"/>
      <c r="H106" s="2"/>
      <c r="I106" s="2"/>
      <c r="J106" s="2"/>
      <c r="K106" s="2"/>
      <c r="L106" s="2"/>
      <c r="M106" s="19"/>
      <c r="N106" s="19"/>
      <c r="O106" s="19"/>
    </row>
    <row r="107" spans="1:34" ht="18.75">
      <c r="A107" s="103" t="s">
        <v>403</v>
      </c>
      <c r="B107" s="2"/>
      <c r="C107" s="2"/>
      <c r="D107" s="2"/>
      <c r="E107" s="2"/>
      <c r="F107" s="2"/>
      <c r="G107" s="2"/>
      <c r="H107" s="2"/>
      <c r="I107" s="2"/>
      <c r="J107" s="2"/>
      <c r="K107" s="2"/>
      <c r="L107" s="2"/>
      <c r="M107" s="19"/>
      <c r="N107" s="19"/>
      <c r="O107" s="19"/>
    </row>
    <row r="108" spans="1:34" ht="15.75" thickBot="1">
      <c r="A108" s="2"/>
      <c r="B108" s="2"/>
      <c r="C108" s="2"/>
      <c r="D108" s="2"/>
      <c r="E108" s="2"/>
      <c r="F108" s="2"/>
      <c r="G108" s="2"/>
      <c r="H108" s="15"/>
      <c r="I108" s="15"/>
      <c r="J108" s="15"/>
      <c r="K108" s="15"/>
      <c r="L108" s="15"/>
      <c r="M108" s="20"/>
      <c r="N108" s="20"/>
      <c r="O108" s="20"/>
    </row>
    <row r="109" spans="1:34">
      <c r="A109" s="447"/>
      <c r="B109" s="303" t="s">
        <v>55</v>
      </c>
      <c r="C109" s="303" t="s">
        <v>56</v>
      </c>
      <c r="D109" s="303" t="s">
        <v>57</v>
      </c>
      <c r="E109" s="303" t="s">
        <v>58</v>
      </c>
      <c r="F109" s="303" t="s">
        <v>65</v>
      </c>
      <c r="G109" s="303" t="s">
        <v>66</v>
      </c>
      <c r="H109" s="303" t="s">
        <v>67</v>
      </c>
      <c r="I109" s="303" t="s">
        <v>68</v>
      </c>
      <c r="J109" s="303" t="s">
        <v>69</v>
      </c>
      <c r="K109" s="303" t="s">
        <v>70</v>
      </c>
      <c r="L109" s="303" t="s">
        <v>71</v>
      </c>
      <c r="M109" s="560" t="s">
        <v>78</v>
      </c>
      <c r="N109" s="20"/>
      <c r="O109" s="20"/>
    </row>
    <row r="110" spans="1:34" ht="15" customHeight="1">
      <c r="A110" s="448" t="s">
        <v>442</v>
      </c>
      <c r="B110" s="545">
        <v>68288.95</v>
      </c>
      <c r="C110" s="545">
        <v>6219002.4738936163</v>
      </c>
      <c r="D110" s="545">
        <v>1028404.8850766008</v>
      </c>
      <c r="E110" s="295"/>
      <c r="F110" s="295"/>
      <c r="G110" s="295"/>
      <c r="H110" s="295"/>
      <c r="I110" s="295"/>
      <c r="J110" s="295"/>
      <c r="K110" s="295"/>
      <c r="L110" s="295"/>
      <c r="M110" s="561"/>
      <c r="N110" s="20"/>
      <c r="O110" s="20"/>
    </row>
    <row r="111" spans="1:34" ht="15" customHeight="1">
      <c r="A111" s="448" t="s">
        <v>331</v>
      </c>
      <c r="B111" s="545">
        <v>3286506.8408695655</v>
      </c>
      <c r="C111" s="545">
        <v>2290937.1599999997</v>
      </c>
      <c r="D111" s="545">
        <v>378547.96</v>
      </c>
      <c r="E111" s="295"/>
      <c r="F111" s="295"/>
      <c r="G111" s="295"/>
      <c r="H111" s="295"/>
      <c r="I111" s="295"/>
      <c r="J111" s="295"/>
      <c r="K111" s="295"/>
      <c r="L111" s="295"/>
      <c r="M111" s="561"/>
      <c r="N111" s="20"/>
      <c r="O111" s="20"/>
    </row>
    <row r="112" spans="1:34" ht="15" customHeight="1">
      <c r="A112" s="448" t="s">
        <v>268</v>
      </c>
      <c r="B112" s="545">
        <v>68288.95</v>
      </c>
      <c r="C112" s="545">
        <v>1722880</v>
      </c>
      <c r="D112" s="545">
        <v>4837442.7573867589</v>
      </c>
      <c r="E112" s="295"/>
      <c r="F112" s="295"/>
      <c r="G112" s="295"/>
      <c r="H112" s="295"/>
      <c r="I112" s="295"/>
      <c r="J112" s="295"/>
      <c r="K112" s="295"/>
      <c r="L112" s="295"/>
      <c r="M112" s="561"/>
      <c r="N112" s="20"/>
      <c r="O112" s="20"/>
    </row>
    <row r="113" spans="1:35" ht="15" customHeight="1">
      <c r="A113" s="449" t="s">
        <v>370</v>
      </c>
      <c r="B113" s="546">
        <f>+B110</f>
        <v>68288.95</v>
      </c>
      <c r="C113" s="546">
        <f>+C110+B110</f>
        <v>6287291.4238936165</v>
      </c>
      <c r="D113" s="546">
        <f>+D110+C110+B110</f>
        <v>7315696.3089702176</v>
      </c>
      <c r="E113" s="296"/>
      <c r="F113" s="296"/>
      <c r="G113" s="296"/>
      <c r="H113" s="296"/>
      <c r="I113" s="296"/>
      <c r="J113" s="296"/>
      <c r="K113" s="296"/>
      <c r="L113" s="296"/>
      <c r="M113" s="562"/>
      <c r="N113" s="20"/>
      <c r="O113" s="20"/>
    </row>
    <row r="114" spans="1:35" ht="15" customHeight="1">
      <c r="A114" s="449" t="s">
        <v>332</v>
      </c>
      <c r="B114" s="546">
        <f>+B111</f>
        <v>3286506.8408695655</v>
      </c>
      <c r="C114" s="546">
        <f>+C111+B111</f>
        <v>5577444.0008695647</v>
      </c>
      <c r="D114" s="546">
        <f>D111</f>
        <v>378547.96</v>
      </c>
      <c r="E114" s="296"/>
      <c r="F114" s="296"/>
      <c r="G114" s="296"/>
      <c r="H114" s="296"/>
      <c r="I114" s="296"/>
      <c r="J114" s="296"/>
      <c r="K114" s="296"/>
      <c r="L114" s="296"/>
      <c r="M114" s="562"/>
      <c r="N114" s="20"/>
      <c r="O114" s="20"/>
    </row>
    <row r="115" spans="1:35" ht="15.75" thickBot="1">
      <c r="A115" s="563" t="s">
        <v>333</v>
      </c>
      <c r="B115" s="564">
        <f>+B112</f>
        <v>68288.95</v>
      </c>
      <c r="C115" s="564">
        <f>+C112+B112</f>
        <v>1791168.95</v>
      </c>
      <c r="D115" s="564">
        <f>+D112+C112</f>
        <v>6560322.7573867589</v>
      </c>
      <c r="E115" s="565"/>
      <c r="F115" s="565"/>
      <c r="G115" s="565"/>
      <c r="H115" s="565"/>
      <c r="I115" s="565"/>
      <c r="J115" s="565"/>
      <c r="K115" s="565"/>
      <c r="L115" s="565"/>
      <c r="M115" s="566"/>
      <c r="N115" s="20"/>
      <c r="O115" s="20"/>
    </row>
    <row r="116" spans="1:35">
      <c r="A116" s="3"/>
      <c r="B116" s="2"/>
      <c r="C116" s="2"/>
      <c r="D116" s="2"/>
      <c r="E116" s="2"/>
      <c r="F116" s="2"/>
      <c r="G116" s="2"/>
      <c r="H116" s="15"/>
      <c r="I116" s="111"/>
      <c r="J116" s="112"/>
      <c r="K116" s="15"/>
      <c r="L116" s="113"/>
      <c r="M116" s="20"/>
      <c r="N116" s="20"/>
      <c r="O116" s="20"/>
    </row>
    <row r="117" spans="1:35">
      <c r="A117" s="2" t="s">
        <v>405</v>
      </c>
      <c r="B117" s="2"/>
      <c r="C117" s="2"/>
      <c r="D117" s="2"/>
      <c r="E117" s="2"/>
      <c r="F117" s="2"/>
      <c r="G117" s="2"/>
      <c r="H117" s="15"/>
      <c r="I117" s="111"/>
      <c r="J117" s="112"/>
      <c r="K117" s="15"/>
      <c r="L117" s="113"/>
      <c r="M117" s="20"/>
      <c r="N117" s="20"/>
      <c r="O117" s="20"/>
    </row>
    <row r="118" spans="1:35">
      <c r="B118" s="2"/>
      <c r="C118" s="2"/>
      <c r="D118" s="2"/>
      <c r="E118" s="2"/>
      <c r="F118" s="2"/>
      <c r="G118" s="2"/>
      <c r="H118" s="15"/>
      <c r="I118" s="111"/>
      <c r="J118" s="113"/>
      <c r="K118" s="15"/>
      <c r="L118" s="113"/>
      <c r="M118" s="20"/>
      <c r="N118" s="20"/>
      <c r="O118" s="20"/>
    </row>
    <row r="119" spans="1:35">
      <c r="A119" s="3"/>
      <c r="B119" s="3"/>
      <c r="C119" s="3"/>
      <c r="D119" s="3"/>
      <c r="E119" s="3"/>
      <c r="F119" s="3"/>
      <c r="G119" s="3"/>
      <c r="H119" s="15"/>
      <c r="I119" s="15"/>
      <c r="J119" s="15"/>
      <c r="K119" s="15"/>
      <c r="L119" s="15"/>
      <c r="M119" s="20"/>
      <c r="N119" s="20"/>
      <c r="O119" s="20"/>
    </row>
    <row r="120" spans="1:35" ht="19.5" thickBot="1">
      <c r="A120" s="103" t="s">
        <v>371</v>
      </c>
      <c r="B120" s="3"/>
      <c r="C120" s="3"/>
      <c r="D120" s="3"/>
      <c r="E120" s="3"/>
      <c r="F120" s="3"/>
      <c r="G120" s="3"/>
      <c r="H120" s="15"/>
      <c r="I120" s="15"/>
      <c r="J120" s="15"/>
      <c r="K120" s="15"/>
      <c r="L120" s="15"/>
      <c r="M120" s="20"/>
      <c r="N120" s="20"/>
      <c r="O120" s="20"/>
    </row>
    <row r="121" spans="1:35" ht="127.5">
      <c r="A121" s="577" t="s">
        <v>269</v>
      </c>
      <c r="B121" s="578" t="s">
        <v>457</v>
      </c>
      <c r="C121" s="579" t="s">
        <v>372</v>
      </c>
      <c r="D121" s="579" t="s">
        <v>345</v>
      </c>
      <c r="E121" s="580" t="s">
        <v>3</v>
      </c>
      <c r="F121" s="581" t="s">
        <v>352</v>
      </c>
      <c r="G121" s="582" t="s">
        <v>373</v>
      </c>
      <c r="H121" s="579" t="s">
        <v>375</v>
      </c>
      <c r="I121" s="579" t="s">
        <v>376</v>
      </c>
      <c r="J121" s="583" t="s">
        <v>377</v>
      </c>
      <c r="K121" s="2"/>
      <c r="L121" s="20"/>
      <c r="M121" s="20"/>
      <c r="N121" s="20"/>
      <c r="O121" s="19"/>
      <c r="Q121" s="20"/>
      <c r="AF121"/>
      <c r="AI121" s="35"/>
    </row>
    <row r="122" spans="1:35">
      <c r="A122" s="800" t="s">
        <v>244</v>
      </c>
      <c r="B122" s="597" t="s">
        <v>44</v>
      </c>
      <c r="C122" s="598">
        <v>1</v>
      </c>
      <c r="D122" s="599">
        <f>IF(ISBLANK(C122),"",C122*30)</f>
        <v>30</v>
      </c>
      <c r="E122" s="600">
        <v>307</v>
      </c>
      <c r="F122" s="601">
        <f>E122*D122</f>
        <v>9210</v>
      </c>
      <c r="G122" s="602">
        <v>44410</v>
      </c>
      <c r="H122" s="603">
        <f>G122/F122</f>
        <v>4.8219326818675352</v>
      </c>
      <c r="I122" s="598">
        <v>3</v>
      </c>
      <c r="J122" s="604">
        <f>IF(AND(H122&gt;0,I122&gt;0),H122-I122,"")</f>
        <v>1.8219326818675352</v>
      </c>
      <c r="K122" s="2"/>
      <c r="L122" s="20"/>
      <c r="M122" s="20"/>
      <c r="N122" s="20"/>
      <c r="O122" s="19"/>
      <c r="Q122" s="20"/>
      <c r="AF122"/>
      <c r="AI122" s="35"/>
    </row>
    <row r="123" spans="1:35">
      <c r="A123" s="800"/>
      <c r="B123" s="597" t="s">
        <v>429</v>
      </c>
      <c r="C123" s="598">
        <v>2</v>
      </c>
      <c r="D123" s="599">
        <f>IF(ISBLANK(C123),"",C123*30)</f>
        <v>60</v>
      </c>
      <c r="E123" s="600">
        <v>550</v>
      </c>
      <c r="F123" s="601">
        <f>E123*D123</f>
        <v>33000</v>
      </c>
      <c r="G123" s="602">
        <v>388645</v>
      </c>
      <c r="H123" s="603">
        <f>G123/F123</f>
        <v>11.777121212121212</v>
      </c>
      <c r="I123" s="598">
        <v>3</v>
      </c>
      <c r="J123" s="604">
        <f>IF(AND(H123&gt;0,I123&gt;0),H123-I123,"")</f>
        <v>8.7771212121212123</v>
      </c>
      <c r="K123" s="2"/>
      <c r="L123" s="20"/>
      <c r="M123" s="20"/>
      <c r="N123" s="20"/>
      <c r="O123" s="19"/>
      <c r="Q123" s="20"/>
      <c r="AF123"/>
      <c r="AI123" s="35"/>
    </row>
    <row r="124" spans="1:35">
      <c r="A124" s="800"/>
      <c r="B124" s="597" t="s">
        <v>39</v>
      </c>
      <c r="C124" s="598">
        <v>2</v>
      </c>
      <c r="D124" s="599">
        <f>IF(ISBLANK(C124),"",C124*30)</f>
        <v>60</v>
      </c>
      <c r="E124" s="600">
        <v>82</v>
      </c>
      <c r="F124" s="601">
        <f>E124*D124</f>
        <v>4920</v>
      </c>
      <c r="G124" s="602">
        <v>24782</v>
      </c>
      <c r="H124" s="603">
        <f>G124/F124</f>
        <v>5.0369918699186993</v>
      </c>
      <c r="I124" s="598">
        <v>3</v>
      </c>
      <c r="J124" s="604">
        <f>IF(AND(H124&gt;0,I124&gt;0),H124-I124,"")</f>
        <v>2.0369918699186993</v>
      </c>
      <c r="K124" s="2"/>
      <c r="L124" s="20"/>
      <c r="M124" s="20"/>
      <c r="N124" s="20"/>
      <c r="O124" s="19"/>
      <c r="Q124" s="20"/>
      <c r="AF124"/>
      <c r="AI124" s="35"/>
    </row>
    <row r="125" spans="1:35">
      <c r="A125" s="800"/>
      <c r="B125" s="605" t="s">
        <v>42</v>
      </c>
      <c r="C125" s="598">
        <v>2</v>
      </c>
      <c r="D125" s="599">
        <f>IF(ISBLANK(C125),"",C125*30)</f>
        <v>60</v>
      </c>
      <c r="E125" s="600">
        <v>3</v>
      </c>
      <c r="F125" s="601">
        <f>E125*D125</f>
        <v>180</v>
      </c>
      <c r="G125" s="602">
        <v>1013</v>
      </c>
      <c r="H125" s="603">
        <f>G125/F125</f>
        <v>5.6277777777777782</v>
      </c>
      <c r="I125" s="598">
        <v>3</v>
      </c>
      <c r="J125" s="604">
        <f>IF(AND(H125&gt;0,I125&gt;0),H125-I125,"")</f>
        <v>2.6277777777777782</v>
      </c>
      <c r="K125" s="2"/>
      <c r="L125" s="20"/>
      <c r="M125" s="20"/>
      <c r="N125" s="20"/>
      <c r="O125" s="19"/>
      <c r="Q125" s="20"/>
      <c r="AF125"/>
      <c r="AI125" s="35"/>
    </row>
    <row r="126" spans="1:35">
      <c r="A126" s="798" t="s">
        <v>246</v>
      </c>
      <c r="B126" s="606" t="s">
        <v>659</v>
      </c>
      <c r="C126" s="609">
        <v>1</v>
      </c>
      <c r="D126" s="610">
        <v>26</v>
      </c>
      <c r="E126" s="544">
        <v>534.84615384615381</v>
      </c>
      <c r="F126" s="543">
        <f>C126*D126*E126</f>
        <v>13906</v>
      </c>
      <c r="G126" s="544">
        <v>113975</v>
      </c>
      <c r="H126" s="603">
        <f t="shared" ref="H126:H141" si="2">G126/F126</f>
        <v>8.1961024018409319</v>
      </c>
      <c r="I126" s="542">
        <v>3</v>
      </c>
      <c r="J126" s="576">
        <f>H126-I126</f>
        <v>5.1961024018409319</v>
      </c>
      <c r="K126" s="2"/>
      <c r="L126" s="20"/>
      <c r="M126" s="20"/>
      <c r="N126" s="20"/>
      <c r="O126" s="19"/>
      <c r="Q126" s="20"/>
      <c r="AF126"/>
      <c r="AI126" s="35"/>
    </row>
    <row r="127" spans="1:35">
      <c r="A127" s="798"/>
      <c r="B127" s="457" t="s">
        <v>660</v>
      </c>
      <c r="C127" s="598">
        <v>1</v>
      </c>
      <c r="D127" s="599">
        <v>26</v>
      </c>
      <c r="E127" s="544">
        <v>187.65384615384616</v>
      </c>
      <c r="F127" s="543">
        <f t="shared" ref="F127:F140" si="3">C127*D127*E127</f>
        <v>4879</v>
      </c>
      <c r="G127" s="544">
        <v>46149</v>
      </c>
      <c r="H127" s="603">
        <f t="shared" si="2"/>
        <v>9.458700553392088</v>
      </c>
      <c r="I127" s="542">
        <v>3</v>
      </c>
      <c r="J127" s="576">
        <f t="shared" ref="J127:J141" si="4">H127-I127</f>
        <v>6.458700553392088</v>
      </c>
      <c r="K127" s="2"/>
      <c r="L127" s="20"/>
      <c r="M127" s="20"/>
      <c r="N127" s="20"/>
      <c r="O127" s="19"/>
      <c r="Q127" s="20"/>
      <c r="AF127"/>
      <c r="AI127" s="35"/>
    </row>
    <row r="128" spans="1:35">
      <c r="A128" s="798"/>
      <c r="B128" s="457" t="s">
        <v>661</v>
      </c>
      <c r="C128" s="598">
        <v>3</v>
      </c>
      <c r="D128" s="599">
        <v>30</v>
      </c>
      <c r="E128" s="544">
        <v>49</v>
      </c>
      <c r="F128" s="543">
        <f t="shared" si="3"/>
        <v>4410</v>
      </c>
      <c r="G128" s="544">
        <v>58383</v>
      </c>
      <c r="H128" s="603">
        <f t="shared" si="2"/>
        <v>13.238775510204082</v>
      </c>
      <c r="I128" s="542">
        <v>3</v>
      </c>
      <c r="J128" s="576">
        <f t="shared" si="4"/>
        <v>10.238775510204082</v>
      </c>
      <c r="K128" s="2"/>
      <c r="L128" s="20"/>
      <c r="M128" s="20"/>
      <c r="N128" s="20"/>
      <c r="O128" s="19"/>
      <c r="Q128" s="20"/>
      <c r="AF128"/>
      <c r="AI128" s="35"/>
    </row>
    <row r="129" spans="1:35">
      <c r="A129" s="798"/>
      <c r="B129" s="457" t="s">
        <v>662</v>
      </c>
      <c r="C129" s="598">
        <v>3</v>
      </c>
      <c r="D129" s="599">
        <v>30</v>
      </c>
      <c r="E129" s="544">
        <v>1095</v>
      </c>
      <c r="F129" s="543">
        <f t="shared" si="3"/>
        <v>98550</v>
      </c>
      <c r="G129" s="544">
        <v>781660</v>
      </c>
      <c r="H129" s="603">
        <f t="shared" si="2"/>
        <v>7.9316083206494161</v>
      </c>
      <c r="I129" s="542">
        <v>3</v>
      </c>
      <c r="J129" s="576">
        <f t="shared" si="4"/>
        <v>4.9316083206494161</v>
      </c>
      <c r="K129" s="2"/>
      <c r="L129" s="20"/>
      <c r="M129" s="20"/>
      <c r="N129" s="20"/>
      <c r="O129" s="19"/>
      <c r="Q129" s="20"/>
      <c r="AF129"/>
      <c r="AI129" s="35"/>
    </row>
    <row r="130" spans="1:35">
      <c r="A130" s="798"/>
      <c r="B130" s="457" t="s">
        <v>663</v>
      </c>
      <c r="C130" s="598">
        <v>4</v>
      </c>
      <c r="D130" s="599">
        <v>30</v>
      </c>
      <c r="E130" s="544">
        <v>409</v>
      </c>
      <c r="F130" s="543">
        <f t="shared" si="3"/>
        <v>49080</v>
      </c>
      <c r="G130" s="544">
        <v>309284</v>
      </c>
      <c r="H130" s="603">
        <f t="shared" si="2"/>
        <v>6.3016299918500405</v>
      </c>
      <c r="I130" s="542">
        <v>3</v>
      </c>
      <c r="J130" s="576">
        <f t="shared" si="4"/>
        <v>3.3016299918500405</v>
      </c>
      <c r="K130" s="2"/>
      <c r="L130" s="20"/>
      <c r="M130" s="20"/>
      <c r="N130" s="20"/>
      <c r="O130" s="19"/>
      <c r="Q130" s="20"/>
      <c r="AF130"/>
      <c r="AI130" s="35"/>
    </row>
    <row r="131" spans="1:35">
      <c r="A131" s="798"/>
      <c r="B131" s="457" t="s">
        <v>664</v>
      </c>
      <c r="C131" s="598">
        <v>2</v>
      </c>
      <c r="D131" s="599">
        <v>30</v>
      </c>
      <c r="E131" s="544">
        <v>122</v>
      </c>
      <c r="F131" s="543">
        <f t="shared" si="3"/>
        <v>7320</v>
      </c>
      <c r="G131" s="544">
        <v>92281</v>
      </c>
      <c r="H131" s="603">
        <f t="shared" si="2"/>
        <v>12.606693989071038</v>
      </c>
      <c r="I131" s="542">
        <v>3</v>
      </c>
      <c r="J131" s="576">
        <f t="shared" si="4"/>
        <v>9.6066939890710383</v>
      </c>
      <c r="K131" s="2"/>
      <c r="L131" s="20"/>
      <c r="M131" s="20"/>
      <c r="N131" s="20"/>
      <c r="O131" s="19"/>
      <c r="Q131" s="20"/>
      <c r="AF131"/>
      <c r="AI131" s="35"/>
    </row>
    <row r="132" spans="1:35">
      <c r="A132" s="798"/>
      <c r="B132" s="457" t="s">
        <v>665</v>
      </c>
      <c r="C132" s="598">
        <v>4</v>
      </c>
      <c r="D132" s="599">
        <v>30</v>
      </c>
      <c r="E132" s="544">
        <v>2083</v>
      </c>
      <c r="F132" s="543">
        <f t="shared" si="3"/>
        <v>249960</v>
      </c>
      <c r="G132" s="544">
        <v>430240</v>
      </c>
      <c r="H132" s="603">
        <f t="shared" si="2"/>
        <v>1.7212353976636261</v>
      </c>
      <c r="I132" s="542">
        <v>3</v>
      </c>
      <c r="J132" s="576">
        <f t="shared" si="4"/>
        <v>-1.2787646023363739</v>
      </c>
      <c r="K132" s="2"/>
      <c r="L132" s="20"/>
      <c r="M132" s="20"/>
      <c r="N132" s="20"/>
      <c r="O132" s="19"/>
      <c r="Q132" s="20"/>
      <c r="AF132"/>
      <c r="AI132" s="35"/>
    </row>
    <row r="133" spans="1:35">
      <c r="A133" s="798"/>
      <c r="B133" s="457" t="s">
        <v>666</v>
      </c>
      <c r="C133" s="598">
        <v>1</v>
      </c>
      <c r="D133" s="599">
        <v>30</v>
      </c>
      <c r="E133" s="544">
        <v>298</v>
      </c>
      <c r="F133" s="543">
        <f t="shared" si="3"/>
        <v>8940</v>
      </c>
      <c r="G133" s="544">
        <v>66108</v>
      </c>
      <c r="H133" s="603">
        <f t="shared" si="2"/>
        <v>7.394630872483221</v>
      </c>
      <c r="I133" s="542">
        <v>3</v>
      </c>
      <c r="J133" s="576">
        <f t="shared" si="4"/>
        <v>4.394630872483221</v>
      </c>
      <c r="K133" s="2"/>
      <c r="L133" s="20"/>
      <c r="M133" s="20"/>
      <c r="N133" s="20"/>
      <c r="O133" s="19"/>
      <c r="Q133" s="20"/>
      <c r="AF133"/>
      <c r="AI133" s="35"/>
    </row>
    <row r="134" spans="1:35">
      <c r="A134" s="798"/>
      <c r="B134" s="458" t="s">
        <v>667</v>
      </c>
      <c r="C134" s="598">
        <v>2</v>
      </c>
      <c r="D134" s="599">
        <v>30</v>
      </c>
      <c r="E134" s="544">
        <v>807</v>
      </c>
      <c r="F134" s="543">
        <f t="shared" si="3"/>
        <v>48420</v>
      </c>
      <c r="G134" s="544">
        <v>204591</v>
      </c>
      <c r="H134" s="603">
        <f t="shared" si="2"/>
        <v>4.2253407682775714</v>
      </c>
      <c r="I134" s="542">
        <v>3</v>
      </c>
      <c r="J134" s="576">
        <f t="shared" si="4"/>
        <v>1.2253407682775714</v>
      </c>
      <c r="K134" s="2"/>
      <c r="L134" s="20"/>
      <c r="M134" s="20"/>
      <c r="N134" s="20"/>
      <c r="O134" s="19"/>
      <c r="Q134" s="20"/>
      <c r="AF134"/>
      <c r="AI134" s="35"/>
    </row>
    <row r="135" spans="1:35">
      <c r="A135" s="798"/>
      <c r="B135" s="458" t="s">
        <v>668</v>
      </c>
      <c r="C135" s="598">
        <v>3</v>
      </c>
      <c r="D135" s="599">
        <v>30</v>
      </c>
      <c r="E135" s="544">
        <v>1252</v>
      </c>
      <c r="F135" s="543">
        <f t="shared" si="3"/>
        <v>112680</v>
      </c>
      <c r="G135" s="544">
        <v>293990</v>
      </c>
      <c r="H135" s="603">
        <f t="shared" si="2"/>
        <v>2.6090699325523605</v>
      </c>
      <c r="I135" s="542">
        <v>3</v>
      </c>
      <c r="J135" s="576">
        <f t="shared" si="4"/>
        <v>-0.39093006744763947</v>
      </c>
      <c r="K135" s="2"/>
      <c r="L135" s="20"/>
      <c r="M135" s="20"/>
      <c r="N135" s="20"/>
      <c r="O135" s="19"/>
      <c r="Q135" s="20"/>
      <c r="AF135"/>
      <c r="AI135" s="35"/>
    </row>
    <row r="136" spans="1:35">
      <c r="A136" s="798"/>
      <c r="B136" s="456" t="s">
        <v>669</v>
      </c>
      <c r="C136" s="598">
        <v>4</v>
      </c>
      <c r="D136" s="599">
        <v>30</v>
      </c>
      <c r="E136" s="544">
        <v>72</v>
      </c>
      <c r="F136" s="543">
        <f t="shared" si="3"/>
        <v>8640</v>
      </c>
      <c r="G136" s="544">
        <v>250816</v>
      </c>
      <c r="H136" s="603">
        <f t="shared" si="2"/>
        <v>29.029629629629628</v>
      </c>
      <c r="I136" s="542">
        <v>3</v>
      </c>
      <c r="J136" s="576">
        <f t="shared" si="4"/>
        <v>26.029629629629628</v>
      </c>
      <c r="K136" s="2"/>
      <c r="L136" s="20"/>
      <c r="M136" s="20"/>
      <c r="N136" s="20"/>
      <c r="O136" s="19"/>
      <c r="Q136" s="20"/>
      <c r="AF136"/>
      <c r="AI136" s="35"/>
    </row>
    <row r="137" spans="1:35">
      <c r="A137" s="798"/>
      <c r="B137" s="607" t="s">
        <v>670</v>
      </c>
      <c r="C137" s="611">
        <v>5</v>
      </c>
      <c r="D137" s="599">
        <v>30</v>
      </c>
      <c r="E137" s="544">
        <v>1160</v>
      </c>
      <c r="F137" s="543">
        <f t="shared" si="3"/>
        <v>174000</v>
      </c>
      <c r="G137" s="544">
        <v>940754</v>
      </c>
      <c r="H137" s="603">
        <f t="shared" si="2"/>
        <v>5.4066321839080462</v>
      </c>
      <c r="I137" s="542">
        <v>3</v>
      </c>
      <c r="J137" s="576">
        <f t="shared" si="4"/>
        <v>2.4066321839080462</v>
      </c>
      <c r="K137" s="2"/>
      <c r="L137" s="20"/>
      <c r="M137" s="20"/>
      <c r="N137" s="20"/>
      <c r="O137" s="19"/>
      <c r="Q137" s="20"/>
      <c r="AF137"/>
      <c r="AI137" s="35"/>
    </row>
    <row r="138" spans="1:35">
      <c r="A138" s="798"/>
      <c r="B138" s="607" t="s">
        <v>671</v>
      </c>
      <c r="C138" s="611">
        <v>2</v>
      </c>
      <c r="D138" s="599">
        <v>30</v>
      </c>
      <c r="E138" s="544">
        <v>193</v>
      </c>
      <c r="F138" s="543">
        <f t="shared" si="3"/>
        <v>11580</v>
      </c>
      <c r="G138" s="544">
        <v>76559</v>
      </c>
      <c r="H138" s="603">
        <f t="shared" si="2"/>
        <v>6.6113126079447326</v>
      </c>
      <c r="I138" s="542">
        <v>3</v>
      </c>
      <c r="J138" s="576">
        <f t="shared" si="4"/>
        <v>3.6113126079447326</v>
      </c>
      <c r="K138" s="2"/>
      <c r="L138" s="20"/>
      <c r="M138" s="20"/>
      <c r="N138" s="20"/>
      <c r="O138" s="19"/>
      <c r="Q138" s="20"/>
      <c r="AF138"/>
      <c r="AI138" s="35"/>
    </row>
    <row r="139" spans="1:35">
      <c r="A139" s="798"/>
      <c r="B139" s="607" t="s">
        <v>672</v>
      </c>
      <c r="C139" s="611">
        <v>4</v>
      </c>
      <c r="D139" s="599">
        <v>30</v>
      </c>
      <c r="E139" s="618">
        <v>15</v>
      </c>
      <c r="F139" s="543">
        <f t="shared" si="3"/>
        <v>1800</v>
      </c>
      <c r="G139" s="620">
        <v>31260</v>
      </c>
      <c r="H139" s="603">
        <f t="shared" si="2"/>
        <v>17.366666666666667</v>
      </c>
      <c r="I139" s="542">
        <v>3</v>
      </c>
      <c r="J139" s="576">
        <f t="shared" si="4"/>
        <v>14.366666666666667</v>
      </c>
      <c r="K139" s="2"/>
      <c r="L139" s="20"/>
      <c r="M139" s="20"/>
      <c r="N139" s="20"/>
      <c r="O139" s="19"/>
      <c r="Q139" s="20"/>
      <c r="AF139"/>
      <c r="AI139" s="35"/>
    </row>
    <row r="140" spans="1:35">
      <c r="A140" s="798"/>
      <c r="B140" s="607" t="s">
        <v>673</v>
      </c>
      <c r="C140" s="611">
        <v>1</v>
      </c>
      <c r="D140" s="599">
        <v>30</v>
      </c>
      <c r="E140" s="618">
        <v>144</v>
      </c>
      <c r="F140" s="543">
        <f t="shared" si="3"/>
        <v>4320</v>
      </c>
      <c r="G140" s="620">
        <v>59165</v>
      </c>
      <c r="H140" s="603">
        <f t="shared" si="2"/>
        <v>13.695601851851851</v>
      </c>
      <c r="I140" s="542">
        <v>3</v>
      </c>
      <c r="J140" s="576">
        <f t="shared" si="4"/>
        <v>10.695601851851851</v>
      </c>
      <c r="K140" s="2"/>
      <c r="L140" s="20"/>
      <c r="M140" s="20"/>
      <c r="N140" s="20"/>
      <c r="O140" s="19"/>
      <c r="Q140" s="20"/>
      <c r="AF140"/>
      <c r="AI140" s="35"/>
    </row>
    <row r="141" spans="1:35" ht="15.75" thickBot="1">
      <c r="A141" s="799"/>
      <c r="B141" s="608" t="s">
        <v>674</v>
      </c>
      <c r="C141" s="612">
        <v>1</v>
      </c>
      <c r="D141" s="613">
        <v>26</v>
      </c>
      <c r="E141" s="619">
        <v>123</v>
      </c>
      <c r="F141" s="614">
        <f>C141*D141*E141</f>
        <v>3198</v>
      </c>
      <c r="G141" s="621">
        <v>70115</v>
      </c>
      <c r="H141" s="615">
        <f t="shared" si="2"/>
        <v>21.924640400250155</v>
      </c>
      <c r="I141" s="616">
        <v>3</v>
      </c>
      <c r="J141" s="617">
        <f t="shared" si="4"/>
        <v>18.924640400250155</v>
      </c>
      <c r="K141" s="2"/>
      <c r="L141" s="20"/>
      <c r="M141" s="20"/>
      <c r="N141" s="20"/>
      <c r="O141" s="19"/>
      <c r="Q141" s="20"/>
      <c r="AF141"/>
      <c r="AI141" s="35"/>
    </row>
    <row r="142" spans="1:35">
      <c r="K142" s="2"/>
      <c r="L142" s="20"/>
      <c r="M142" s="20"/>
      <c r="N142" s="20"/>
      <c r="O142" s="19"/>
      <c r="Q142" s="20"/>
      <c r="AF142"/>
      <c r="AI142" s="35"/>
    </row>
    <row r="143" spans="1:35">
      <c r="K143" s="2"/>
      <c r="L143" s="20"/>
      <c r="M143" s="20"/>
      <c r="N143" s="20"/>
      <c r="O143" s="19"/>
      <c r="AF143"/>
      <c r="AI143" s="35"/>
    </row>
    <row r="144" spans="1:35">
      <c r="K144" s="2"/>
      <c r="L144" s="20"/>
      <c r="M144" s="20"/>
      <c r="N144" s="20"/>
      <c r="O144" s="19"/>
      <c r="Q144" s="20"/>
      <c r="AF144"/>
      <c r="AI144" s="35"/>
    </row>
    <row r="145" spans="1:35">
      <c r="K145" s="2"/>
      <c r="L145" s="20"/>
      <c r="M145" s="20"/>
      <c r="N145" s="20"/>
      <c r="O145" s="19"/>
      <c r="Q145" s="20"/>
      <c r="AF145"/>
      <c r="AI145" s="35"/>
    </row>
    <row r="146" spans="1:35">
      <c r="A146" s="3"/>
      <c r="B146" s="15"/>
      <c r="C146" s="15"/>
      <c r="D146" s="15"/>
      <c r="E146" s="15"/>
      <c r="F146" s="2"/>
      <c r="G146" s="2"/>
      <c r="H146" s="2"/>
      <c r="I146" s="15"/>
      <c r="J146" s="2"/>
      <c r="K146" s="15"/>
      <c r="L146" s="15"/>
      <c r="M146" s="20"/>
      <c r="N146" s="20"/>
      <c r="O146" s="20"/>
      <c r="P146" s="19"/>
    </row>
    <row r="147" spans="1:35" ht="15.75" thickBot="1">
      <c r="A147" s="3"/>
      <c r="B147" s="3"/>
      <c r="C147" s="3"/>
      <c r="D147" s="3"/>
      <c r="E147" s="3"/>
      <c r="F147" s="2"/>
      <c r="G147" s="2"/>
      <c r="H147" s="2" t="str">
        <f>IF(AND(F147&gt;0,G147&gt;0),G147/F147,"")</f>
        <v/>
      </c>
      <c r="I147" s="3"/>
      <c r="J147" s="3"/>
      <c r="K147" s="2"/>
      <c r="L147" s="2"/>
      <c r="M147" s="20"/>
      <c r="N147" s="20"/>
      <c r="O147" s="20"/>
      <c r="P147" s="19"/>
    </row>
    <row r="148" spans="1:35" ht="19.5" thickBot="1">
      <c r="A148" s="215" t="s">
        <v>605</v>
      </c>
      <c r="B148" s="114"/>
      <c r="C148" s="114"/>
      <c r="D148" s="115"/>
      <c r="E148" s="115"/>
      <c r="F148" s="115"/>
      <c r="G148" s="225"/>
      <c r="H148" s="216"/>
      <c r="I148" s="283"/>
      <c r="J148" s="494" t="s">
        <v>353</v>
      </c>
      <c r="K148" s="495"/>
      <c r="L148" s="496"/>
      <c r="M148" s="497"/>
      <c r="N148" s="496"/>
      <c r="O148" s="498"/>
      <c r="P148" s="35"/>
    </row>
    <row r="149" spans="1:35" ht="15.75" thickBot="1">
      <c r="A149" s="3"/>
      <c r="B149" s="3"/>
      <c r="C149" s="3"/>
      <c r="D149" s="3"/>
      <c r="E149" s="3"/>
      <c r="F149" s="3"/>
      <c r="G149" s="3"/>
      <c r="H149" s="3"/>
      <c r="I149" s="3"/>
      <c r="J149" s="3"/>
      <c r="K149" s="3"/>
      <c r="L149" s="3"/>
      <c r="M149"/>
      <c r="N149"/>
      <c r="O149" s="35"/>
      <c r="P149" s="35"/>
    </row>
    <row r="150" spans="1:35" ht="25.5">
      <c r="A150" s="815" t="s">
        <v>378</v>
      </c>
      <c r="B150" s="816"/>
      <c r="C150" s="817"/>
      <c r="D150" s="275" t="s">
        <v>270</v>
      </c>
      <c r="E150" s="346" t="s">
        <v>334</v>
      </c>
      <c r="F150" s="220"/>
      <c r="G150" s="313" t="s">
        <v>55</v>
      </c>
      <c r="H150" s="313" t="s">
        <v>56</v>
      </c>
      <c r="I150" s="313" t="s">
        <v>57</v>
      </c>
      <c r="J150" s="313" t="s">
        <v>58</v>
      </c>
      <c r="K150" s="313" t="s">
        <v>65</v>
      </c>
      <c r="L150" s="313" t="s">
        <v>66</v>
      </c>
      <c r="M150" s="313" t="s">
        <v>67</v>
      </c>
      <c r="N150" s="313" t="s">
        <v>68</v>
      </c>
      <c r="O150" s="313" t="s">
        <v>69</v>
      </c>
      <c r="P150" s="313" t="s">
        <v>70</v>
      </c>
      <c r="Q150" s="313" t="s">
        <v>71</v>
      </c>
      <c r="R150" s="63"/>
    </row>
    <row r="151" spans="1:35" ht="39.75" customHeight="1">
      <c r="A151" s="818" t="s">
        <v>562</v>
      </c>
      <c r="B151" s="819"/>
      <c r="C151" s="820"/>
      <c r="D151" s="768" t="s">
        <v>563</v>
      </c>
      <c r="E151" s="791" t="s">
        <v>564</v>
      </c>
      <c r="F151" s="499" t="s">
        <v>379</v>
      </c>
      <c r="G151" s="502">
        <v>13750</v>
      </c>
      <c r="H151" s="502">
        <v>14375</v>
      </c>
      <c r="I151" s="503">
        <v>15000</v>
      </c>
      <c r="J151" s="500"/>
      <c r="K151" s="500"/>
      <c r="L151" s="500"/>
      <c r="M151" s="500"/>
      <c r="N151" s="501"/>
      <c r="O151" s="502"/>
      <c r="P151" s="502"/>
      <c r="Q151" s="503"/>
      <c r="R151" s="63"/>
    </row>
    <row r="152" spans="1:35" ht="40.5" customHeight="1">
      <c r="A152" s="788"/>
      <c r="B152" s="789"/>
      <c r="C152" s="790"/>
      <c r="D152" s="768"/>
      <c r="E152" s="791"/>
      <c r="F152" s="499" t="s">
        <v>565</v>
      </c>
      <c r="G152" s="502">
        <v>14682</v>
      </c>
      <c r="H152" s="502">
        <v>15859</v>
      </c>
      <c r="I152" s="503">
        <v>16430</v>
      </c>
      <c r="J152" s="500"/>
      <c r="K152" s="500"/>
      <c r="L152" s="500"/>
      <c r="M152" s="500"/>
      <c r="N152" s="501"/>
      <c r="O152" s="502"/>
      <c r="P152" s="502"/>
      <c r="Q152" s="503"/>
      <c r="R152" s="63"/>
    </row>
    <row r="153" spans="1:35" ht="42" customHeight="1">
      <c r="A153" s="784" t="s">
        <v>566</v>
      </c>
      <c r="B153" s="785"/>
      <c r="C153" s="786"/>
      <c r="D153" s="787" t="s">
        <v>563</v>
      </c>
      <c r="E153" s="771" t="s">
        <v>564</v>
      </c>
      <c r="F153" s="504" t="s">
        <v>379</v>
      </c>
      <c r="G153" s="508">
        <v>2700</v>
      </c>
      <c r="H153" s="508">
        <v>3100</v>
      </c>
      <c r="I153" s="509">
        <v>3478</v>
      </c>
      <c r="J153" s="506"/>
      <c r="K153" s="506"/>
      <c r="L153" s="506"/>
      <c r="M153" s="506"/>
      <c r="N153" s="507"/>
      <c r="O153" s="508"/>
      <c r="P153" s="508"/>
      <c r="Q153" s="509"/>
      <c r="R153" s="63"/>
    </row>
    <row r="154" spans="1:35" ht="48" customHeight="1">
      <c r="A154" s="784"/>
      <c r="B154" s="785"/>
      <c r="C154" s="786"/>
      <c r="D154" s="787"/>
      <c r="E154" s="771"/>
      <c r="F154" s="504" t="s">
        <v>680</v>
      </c>
      <c r="G154" s="508">
        <v>2668</v>
      </c>
      <c r="H154" s="508">
        <v>2995</v>
      </c>
      <c r="I154" s="509">
        <v>3237</v>
      </c>
      <c r="J154" s="507"/>
      <c r="K154" s="507"/>
      <c r="L154" s="507"/>
      <c r="M154" s="507"/>
      <c r="N154" s="507"/>
      <c r="O154" s="508"/>
      <c r="P154" s="508"/>
      <c r="Q154" s="509"/>
      <c r="R154" s="63"/>
    </row>
    <row r="155" spans="1:35" ht="42" customHeight="1">
      <c r="A155" s="788" t="s">
        <v>498</v>
      </c>
      <c r="B155" s="789"/>
      <c r="C155" s="790"/>
      <c r="D155" s="768" t="s">
        <v>563</v>
      </c>
      <c r="E155" s="791" t="s">
        <v>564</v>
      </c>
      <c r="F155" s="499" t="s">
        <v>379</v>
      </c>
      <c r="G155" s="502">
        <v>1410</v>
      </c>
      <c r="H155" s="502">
        <v>1480</v>
      </c>
      <c r="I155" s="503">
        <v>1616</v>
      </c>
      <c r="J155" s="500"/>
      <c r="K155" s="510"/>
      <c r="L155" s="500"/>
      <c r="M155" s="500"/>
      <c r="N155" s="501"/>
      <c r="O155" s="502"/>
      <c r="P155" s="502"/>
      <c r="Q155" s="503"/>
      <c r="R155" s="63"/>
    </row>
    <row r="156" spans="1:35" ht="38.25" customHeight="1">
      <c r="A156" s="788"/>
      <c r="B156" s="789"/>
      <c r="C156" s="790"/>
      <c r="D156" s="768"/>
      <c r="E156" s="791"/>
      <c r="F156" s="499" t="s">
        <v>567</v>
      </c>
      <c r="G156" s="502">
        <v>2514</v>
      </c>
      <c r="H156" s="502">
        <v>2851</v>
      </c>
      <c r="I156" s="503">
        <v>3117</v>
      </c>
      <c r="J156" s="500"/>
      <c r="K156" s="510"/>
      <c r="L156" s="500"/>
      <c r="M156" s="500"/>
      <c r="N156" s="501"/>
      <c r="O156" s="502"/>
      <c r="P156" s="502"/>
      <c r="Q156" s="503"/>
      <c r="R156" s="63"/>
    </row>
    <row r="157" spans="1:35" ht="39.75" customHeight="1">
      <c r="A157" s="784" t="s">
        <v>510</v>
      </c>
      <c r="B157" s="785"/>
      <c r="C157" s="786"/>
      <c r="D157" s="787" t="s">
        <v>563</v>
      </c>
      <c r="E157" s="771" t="s">
        <v>564</v>
      </c>
      <c r="F157" s="504" t="s">
        <v>379</v>
      </c>
      <c r="G157" s="513" t="s">
        <v>568</v>
      </c>
      <c r="H157" s="513" t="s">
        <v>569</v>
      </c>
      <c r="I157" s="513" t="s">
        <v>621</v>
      </c>
      <c r="J157" s="511"/>
      <c r="K157" s="512"/>
      <c r="L157" s="511"/>
      <c r="M157" s="512"/>
      <c r="N157" s="512"/>
      <c r="O157" s="512"/>
      <c r="P157" s="513"/>
      <c r="Q157" s="514"/>
      <c r="R157" s="63"/>
    </row>
    <row r="158" spans="1:35" ht="39.75" customHeight="1">
      <c r="A158" s="784"/>
      <c r="B158" s="785"/>
      <c r="C158" s="786"/>
      <c r="D158" s="787"/>
      <c r="E158" s="771"/>
      <c r="F158" s="504" t="s">
        <v>681</v>
      </c>
      <c r="G158" s="513" t="s">
        <v>570</v>
      </c>
      <c r="H158" s="513" t="s">
        <v>571</v>
      </c>
      <c r="I158" s="513" t="s">
        <v>622</v>
      </c>
      <c r="J158" s="511"/>
      <c r="K158" s="512"/>
      <c r="L158" s="511"/>
      <c r="M158" s="511"/>
      <c r="N158" s="512"/>
      <c r="O158" s="512"/>
      <c r="P158" s="513"/>
      <c r="Q158" s="514"/>
      <c r="R158" s="63"/>
    </row>
    <row r="159" spans="1:35" ht="39.75" customHeight="1">
      <c r="A159" s="765" t="s">
        <v>516</v>
      </c>
      <c r="B159" s="766"/>
      <c r="C159" s="767"/>
      <c r="D159" s="768" t="s">
        <v>563</v>
      </c>
      <c r="E159" s="791" t="s">
        <v>564</v>
      </c>
      <c r="F159" s="499" t="s">
        <v>379</v>
      </c>
      <c r="G159" s="517" t="s">
        <v>572</v>
      </c>
      <c r="H159" s="517" t="s">
        <v>573</v>
      </c>
      <c r="I159" s="517" t="s">
        <v>573</v>
      </c>
      <c r="J159" s="515"/>
      <c r="K159" s="515"/>
      <c r="L159" s="515"/>
      <c r="M159" s="515"/>
      <c r="N159" s="516"/>
      <c r="O159" s="517"/>
      <c r="P159" s="517"/>
      <c r="Q159" s="518"/>
      <c r="R159" s="63"/>
    </row>
    <row r="160" spans="1:35" ht="35.25" customHeight="1">
      <c r="A160" s="765"/>
      <c r="B160" s="766"/>
      <c r="C160" s="767"/>
      <c r="D160" s="768"/>
      <c r="E160" s="791"/>
      <c r="F160" s="499" t="s">
        <v>682</v>
      </c>
      <c r="G160" s="517" t="s">
        <v>574</v>
      </c>
      <c r="H160" s="517" t="s">
        <v>575</v>
      </c>
      <c r="I160" s="517" t="s">
        <v>623</v>
      </c>
      <c r="J160" s="515"/>
      <c r="K160" s="515"/>
      <c r="L160" s="515"/>
      <c r="M160" s="515"/>
      <c r="N160" s="516"/>
      <c r="O160" s="517"/>
      <c r="P160" s="517"/>
      <c r="Q160" s="518"/>
      <c r="R160" s="63"/>
    </row>
    <row r="161" spans="1:34" ht="39" customHeight="1">
      <c r="A161" s="784" t="s">
        <v>520</v>
      </c>
      <c r="B161" s="785"/>
      <c r="C161" s="786"/>
      <c r="D161" s="787" t="s">
        <v>563</v>
      </c>
      <c r="E161" s="771" t="s">
        <v>564</v>
      </c>
      <c r="F161" s="504" t="s">
        <v>379</v>
      </c>
      <c r="G161" s="513" t="s">
        <v>576</v>
      </c>
      <c r="H161" s="513" t="s">
        <v>577</v>
      </c>
      <c r="I161" s="513" t="s">
        <v>624</v>
      </c>
      <c r="J161" s="511"/>
      <c r="K161" s="511"/>
      <c r="L161" s="511"/>
      <c r="M161" s="511"/>
      <c r="N161" s="511"/>
      <c r="O161" s="513"/>
      <c r="P161" s="513"/>
      <c r="Q161" s="519"/>
      <c r="R161" s="63"/>
    </row>
    <row r="162" spans="1:34" ht="43.5" customHeight="1">
      <c r="A162" s="784"/>
      <c r="B162" s="785"/>
      <c r="C162" s="786"/>
      <c r="D162" s="787"/>
      <c r="E162" s="771"/>
      <c r="F162" s="504" t="s">
        <v>683</v>
      </c>
      <c r="G162" s="513" t="s">
        <v>578</v>
      </c>
      <c r="H162" s="513" t="s">
        <v>579</v>
      </c>
      <c r="I162" s="513" t="s">
        <v>625</v>
      </c>
      <c r="J162" s="505"/>
      <c r="K162" s="505"/>
      <c r="L162" s="505"/>
      <c r="M162" s="505"/>
      <c r="N162" s="511"/>
      <c r="O162" s="513"/>
      <c r="P162" s="513"/>
      <c r="Q162" s="519"/>
      <c r="R162" s="63"/>
    </row>
    <row r="163" spans="1:34" ht="40.5" customHeight="1">
      <c r="A163" s="765" t="s">
        <v>527</v>
      </c>
      <c r="B163" s="766"/>
      <c r="C163" s="767"/>
      <c r="D163" s="768" t="s">
        <v>580</v>
      </c>
      <c r="E163" s="791" t="s">
        <v>564</v>
      </c>
      <c r="F163" s="499" t="s">
        <v>379</v>
      </c>
      <c r="G163" s="517" t="s">
        <v>581</v>
      </c>
      <c r="H163" s="517" t="s">
        <v>582</v>
      </c>
      <c r="I163" s="517" t="s">
        <v>626</v>
      </c>
      <c r="J163" s="515"/>
      <c r="K163" s="515"/>
      <c r="L163" s="515"/>
      <c r="M163" s="515"/>
      <c r="N163" s="516"/>
      <c r="O163" s="517"/>
      <c r="P163" s="517"/>
      <c r="Q163" s="518"/>
      <c r="R163" s="63"/>
    </row>
    <row r="164" spans="1:34" ht="36.75" customHeight="1">
      <c r="A164" s="765"/>
      <c r="B164" s="766"/>
      <c r="C164" s="767"/>
      <c r="D164" s="768"/>
      <c r="E164" s="791"/>
      <c r="F164" s="499" t="s">
        <v>567</v>
      </c>
      <c r="G164" s="517" t="s">
        <v>583</v>
      </c>
      <c r="H164" s="517" t="s">
        <v>584</v>
      </c>
      <c r="I164" s="517" t="s">
        <v>627</v>
      </c>
      <c r="J164" s="515"/>
      <c r="K164" s="515"/>
      <c r="L164" s="515"/>
      <c r="M164" s="515"/>
      <c r="N164" s="516"/>
      <c r="O164" s="517"/>
      <c r="P164" s="517"/>
      <c r="Q164" s="515"/>
      <c r="R164" s="63"/>
    </row>
    <row r="165" spans="1:34" ht="36" customHeight="1">
      <c r="A165" s="784" t="s">
        <v>513</v>
      </c>
      <c r="B165" s="785"/>
      <c r="C165" s="786"/>
      <c r="D165" s="787" t="s">
        <v>580</v>
      </c>
      <c r="E165" s="771" t="s">
        <v>564</v>
      </c>
      <c r="F165" s="504" t="s">
        <v>379</v>
      </c>
      <c r="G165" s="513" t="s">
        <v>585</v>
      </c>
      <c r="H165" s="513" t="s">
        <v>586</v>
      </c>
      <c r="I165" s="513" t="s">
        <v>586</v>
      </c>
      <c r="J165" s="511"/>
      <c r="K165" s="505"/>
      <c r="L165" s="511"/>
      <c r="M165" s="505"/>
      <c r="N165" s="511"/>
      <c r="O165" s="513"/>
      <c r="P165" s="513"/>
      <c r="Q165" s="505"/>
      <c r="R165" s="63"/>
    </row>
    <row r="166" spans="1:34" ht="35.25" customHeight="1">
      <c r="A166" s="784"/>
      <c r="B166" s="785"/>
      <c r="C166" s="786"/>
      <c r="D166" s="787"/>
      <c r="E166" s="771"/>
      <c r="F166" s="504" t="s">
        <v>684</v>
      </c>
      <c r="G166" s="513" t="s">
        <v>587</v>
      </c>
      <c r="H166" s="513" t="s">
        <v>588</v>
      </c>
      <c r="I166" s="513" t="s">
        <v>628</v>
      </c>
      <c r="J166" s="511"/>
      <c r="K166" s="511"/>
      <c r="L166" s="511"/>
      <c r="M166" s="511"/>
      <c r="N166" s="511"/>
      <c r="O166" s="513"/>
      <c r="P166" s="513"/>
      <c r="Q166" s="511"/>
      <c r="R166" s="63"/>
    </row>
    <row r="167" spans="1:34" ht="36.75" customHeight="1">
      <c r="A167" s="765" t="s">
        <v>524</v>
      </c>
      <c r="B167" s="766"/>
      <c r="C167" s="767"/>
      <c r="D167" s="768" t="s">
        <v>580</v>
      </c>
      <c r="E167" s="768" t="s">
        <v>564</v>
      </c>
      <c r="F167" s="499" t="s">
        <v>379</v>
      </c>
      <c r="G167" s="517" t="s">
        <v>589</v>
      </c>
      <c r="H167" s="517" t="s">
        <v>590</v>
      </c>
      <c r="I167" s="517" t="s">
        <v>590</v>
      </c>
      <c r="J167" s="515"/>
      <c r="K167" s="515"/>
      <c r="L167" s="515"/>
      <c r="M167" s="515"/>
      <c r="N167" s="516"/>
      <c r="O167" s="517"/>
      <c r="P167" s="517"/>
      <c r="Q167" s="515"/>
      <c r="R167" s="63"/>
    </row>
    <row r="168" spans="1:34" ht="38.25" customHeight="1">
      <c r="A168" s="765"/>
      <c r="B168" s="766"/>
      <c r="C168" s="767"/>
      <c r="D168" s="768"/>
      <c r="E168" s="768"/>
      <c r="F168" s="499" t="s">
        <v>685</v>
      </c>
      <c r="G168" s="517" t="s">
        <v>591</v>
      </c>
      <c r="H168" s="517" t="s">
        <v>592</v>
      </c>
      <c r="I168" s="517" t="s">
        <v>629</v>
      </c>
      <c r="J168" s="515"/>
      <c r="K168" s="515"/>
      <c r="L168" s="515"/>
      <c r="M168" s="515"/>
      <c r="N168" s="516"/>
      <c r="O168" s="517"/>
      <c r="P168" s="517"/>
      <c r="Q168" s="515"/>
      <c r="R168" s="63"/>
    </row>
    <row r="169" spans="1:34" ht="42.75" customHeight="1">
      <c r="A169" s="784" t="s">
        <v>530</v>
      </c>
      <c r="B169" s="785"/>
      <c r="C169" s="786"/>
      <c r="D169" s="787" t="s">
        <v>580</v>
      </c>
      <c r="E169" s="771" t="s">
        <v>564</v>
      </c>
      <c r="F169" s="504" t="s">
        <v>379</v>
      </c>
      <c r="G169" s="513" t="s">
        <v>593</v>
      </c>
      <c r="H169" s="513" t="s">
        <v>594</v>
      </c>
      <c r="I169" s="513" t="s">
        <v>594</v>
      </c>
      <c r="J169" s="511"/>
      <c r="K169" s="511"/>
      <c r="L169" s="511"/>
      <c r="M169" s="511"/>
      <c r="N169" s="511"/>
      <c r="O169" s="513"/>
      <c r="P169" s="513"/>
      <c r="Q169" s="511"/>
      <c r="R169" s="63"/>
    </row>
    <row r="170" spans="1:34" ht="39.75" customHeight="1">
      <c r="A170" s="784"/>
      <c r="B170" s="785"/>
      <c r="C170" s="786"/>
      <c r="D170" s="787"/>
      <c r="E170" s="771"/>
      <c r="F170" s="504" t="s">
        <v>567</v>
      </c>
      <c r="G170" s="513" t="s">
        <v>596</v>
      </c>
      <c r="H170" s="513" t="s">
        <v>597</v>
      </c>
      <c r="I170" s="513" t="s">
        <v>630</v>
      </c>
      <c r="J170" s="511"/>
      <c r="K170" s="511"/>
      <c r="L170" s="511"/>
      <c r="M170" s="511"/>
      <c r="N170" s="511"/>
      <c r="O170" s="513"/>
      <c r="P170" s="513"/>
      <c r="Q170" s="511"/>
      <c r="R170" s="63"/>
    </row>
    <row r="171" spans="1:34" ht="18.75" customHeight="1">
      <c r="A171" s="765" t="s">
        <v>598</v>
      </c>
      <c r="B171" s="766"/>
      <c r="C171" s="767"/>
      <c r="D171" s="768" t="s">
        <v>563</v>
      </c>
      <c r="E171" s="768" t="s">
        <v>599</v>
      </c>
      <c r="F171" s="499" t="s">
        <v>379</v>
      </c>
      <c r="G171" s="520">
        <v>0.93</v>
      </c>
      <c r="H171" s="520">
        <v>0.93</v>
      </c>
      <c r="I171" s="520">
        <v>0.93</v>
      </c>
      <c r="J171" s="515"/>
      <c r="K171" s="515"/>
      <c r="L171" s="515"/>
      <c r="M171" s="515"/>
      <c r="N171" s="516"/>
      <c r="O171" s="520"/>
      <c r="P171" s="520"/>
      <c r="Q171" s="515"/>
      <c r="R171" s="63"/>
    </row>
    <row r="172" spans="1:34" ht="21" customHeight="1">
      <c r="A172" s="765"/>
      <c r="B172" s="766"/>
      <c r="C172" s="767"/>
      <c r="D172" s="768"/>
      <c r="E172" s="768"/>
      <c r="F172" s="499" t="s">
        <v>595</v>
      </c>
      <c r="G172" s="516" t="s">
        <v>600</v>
      </c>
      <c r="H172" s="520">
        <v>0.98</v>
      </c>
      <c r="I172" s="520">
        <v>0.96</v>
      </c>
      <c r="J172" s="515"/>
      <c r="K172" s="515"/>
      <c r="L172" s="515"/>
      <c r="M172" s="515"/>
      <c r="N172" s="516"/>
      <c r="O172" s="520"/>
      <c r="P172" s="516"/>
      <c r="Q172" s="515"/>
      <c r="R172" s="63"/>
    </row>
    <row r="173" spans="1:34" ht="19.5" customHeight="1">
      <c r="A173" s="784" t="s">
        <v>537</v>
      </c>
      <c r="B173" s="785"/>
      <c r="C173" s="786"/>
      <c r="D173" s="787" t="s">
        <v>580</v>
      </c>
      <c r="E173" s="771" t="s">
        <v>564</v>
      </c>
      <c r="F173" s="504" t="s">
        <v>379</v>
      </c>
      <c r="G173" s="512">
        <v>0.85</v>
      </c>
      <c r="H173" s="512">
        <v>0.88</v>
      </c>
      <c r="I173" s="512">
        <v>0.9</v>
      </c>
      <c r="J173" s="511"/>
      <c r="K173" s="511"/>
      <c r="L173" s="511"/>
      <c r="M173" s="511"/>
      <c r="N173" s="511"/>
      <c r="O173" s="512"/>
      <c r="P173" s="512"/>
      <c r="Q173" s="511"/>
      <c r="R173" s="63"/>
    </row>
    <row r="174" spans="1:34" ht="21" customHeight="1">
      <c r="A174" s="784"/>
      <c r="B174" s="785"/>
      <c r="C174" s="786"/>
      <c r="D174" s="787"/>
      <c r="E174" s="771"/>
      <c r="F174" s="504" t="s">
        <v>686</v>
      </c>
      <c r="G174" s="511" t="s">
        <v>601</v>
      </c>
      <c r="H174" s="512">
        <v>0.95</v>
      </c>
      <c r="I174" s="512">
        <v>0.94</v>
      </c>
      <c r="J174" s="511"/>
      <c r="K174" s="511"/>
      <c r="L174" s="511"/>
      <c r="M174" s="511"/>
      <c r="N174" s="511"/>
      <c r="O174" s="511"/>
      <c r="P174" s="511"/>
      <c r="Q174" s="511"/>
      <c r="R174" s="63"/>
    </row>
    <row r="175" spans="1:34" s="19" customFormat="1" ht="21" customHeight="1">
      <c r="A175" s="765" t="s">
        <v>541</v>
      </c>
      <c r="B175" s="766"/>
      <c r="C175" s="767"/>
      <c r="D175" s="768" t="s">
        <v>563</v>
      </c>
      <c r="E175" s="771" t="s">
        <v>564</v>
      </c>
      <c r="F175" s="499" t="s">
        <v>379</v>
      </c>
      <c r="G175" s="520">
        <v>0.75</v>
      </c>
      <c r="H175" s="520">
        <v>0.8</v>
      </c>
      <c r="I175" s="520">
        <v>0.9</v>
      </c>
      <c r="J175" s="515"/>
      <c r="K175" s="515"/>
      <c r="L175" s="515"/>
      <c r="M175" s="516"/>
      <c r="N175" s="520"/>
      <c r="O175" s="520"/>
      <c r="P175" s="520"/>
      <c r="Q175" s="515"/>
      <c r="AF175" s="20"/>
      <c r="AG175" s="20"/>
      <c r="AH175" s="20"/>
    </row>
    <row r="176" spans="1:34" ht="20.25" customHeight="1">
      <c r="A176" s="765"/>
      <c r="B176" s="766"/>
      <c r="C176" s="767"/>
      <c r="D176" s="768"/>
      <c r="E176" s="771"/>
      <c r="F176" s="499" t="s">
        <v>687</v>
      </c>
      <c r="G176" s="520" t="s">
        <v>602</v>
      </c>
      <c r="H176" s="520">
        <v>0.69</v>
      </c>
      <c r="I176" s="520">
        <v>0.83</v>
      </c>
      <c r="J176" s="515"/>
      <c r="K176" s="515"/>
      <c r="L176" s="515"/>
      <c r="M176" s="516"/>
      <c r="N176" s="520"/>
      <c r="O176" s="520"/>
      <c r="P176" s="520"/>
      <c r="Q176" s="515"/>
    </row>
    <row r="177" spans="1:34">
      <c r="A177" s="3"/>
      <c r="B177" s="3"/>
      <c r="C177" s="3"/>
      <c r="D177" s="3"/>
      <c r="E177" s="3"/>
      <c r="F177" s="2"/>
      <c r="G177" s="3"/>
      <c r="H177" s="3"/>
      <c r="I177" s="3"/>
      <c r="J177" s="3"/>
      <c r="K177" s="3"/>
      <c r="L177" s="3"/>
      <c r="M177" s="3"/>
      <c r="N177"/>
      <c r="P177" s="35"/>
      <c r="Q177" s="35"/>
    </row>
    <row r="178" spans="1:34" ht="16.5" thickBot="1">
      <c r="A178" s="276"/>
      <c r="B178" s="3"/>
      <c r="C178" s="3"/>
      <c r="D178" s="3"/>
      <c r="E178" s="3"/>
      <c r="F178" s="2"/>
      <c r="G178" s="3"/>
      <c r="H178" s="3"/>
      <c r="I178" s="3"/>
      <c r="J178" s="3"/>
      <c r="K178" s="3"/>
      <c r="L178" s="3"/>
      <c r="M178" s="3"/>
      <c r="N178"/>
      <c r="P178" s="35"/>
      <c r="Q178" s="35"/>
    </row>
    <row r="179" spans="1:34" ht="25.5">
      <c r="A179" s="3" t="s">
        <v>380</v>
      </c>
      <c r="B179" s="3"/>
      <c r="C179" s="3"/>
      <c r="D179" s="275" t="s">
        <v>270</v>
      </c>
      <c r="E179" s="346" t="s">
        <v>334</v>
      </c>
      <c r="F179" s="220"/>
      <c r="G179" s="313" t="s">
        <v>55</v>
      </c>
      <c r="H179" s="313" t="s">
        <v>56</v>
      </c>
      <c r="I179" s="313" t="s">
        <v>57</v>
      </c>
      <c r="J179" s="313" t="s">
        <v>58</v>
      </c>
      <c r="K179" s="313" t="s">
        <v>65</v>
      </c>
      <c r="L179" s="313" t="s">
        <v>66</v>
      </c>
      <c r="M179" s="313" t="s">
        <v>67</v>
      </c>
      <c r="N179" s="313" t="s">
        <v>68</v>
      </c>
      <c r="O179" s="313" t="s">
        <v>69</v>
      </c>
      <c r="P179" s="313" t="s">
        <v>70</v>
      </c>
      <c r="Q179" s="313" t="s">
        <v>71</v>
      </c>
      <c r="R179" s="35"/>
      <c r="S179" s="35"/>
    </row>
    <row r="180" spans="1:34">
      <c r="A180" s="772" t="str">
        <f>IF(ISBLANK(A151),"",(A151))</f>
        <v>Процент ЛУИН, охваченных программами по  профилактике ВИЧ</v>
      </c>
      <c r="B180" s="773"/>
      <c r="C180" s="774"/>
      <c r="D180" s="778" t="str">
        <f>IF(ISBLANK(D151),"",(D151))</f>
        <v>Топ 10</v>
      </c>
      <c r="E180" s="782" t="str">
        <f>IF(ISBLANK(E151),"",(E151))</f>
        <v>с текущим грантом</v>
      </c>
      <c r="F180" s="499" t="s">
        <v>379</v>
      </c>
      <c r="G180" s="521">
        <f>G151</f>
        <v>13750</v>
      </c>
      <c r="H180" s="521">
        <v>14375</v>
      </c>
      <c r="I180" s="521">
        <f t="shared" ref="I180:I185" si="5">I151</f>
        <v>15000</v>
      </c>
      <c r="J180" s="521">
        <f t="shared" ref="J180:N182" si="6">J151</f>
        <v>0</v>
      </c>
      <c r="K180" s="521">
        <f t="shared" si="6"/>
        <v>0</v>
      </c>
      <c r="L180" s="521">
        <f t="shared" si="6"/>
        <v>0</v>
      </c>
      <c r="M180" s="521">
        <f t="shared" si="6"/>
        <v>0</v>
      </c>
      <c r="N180" s="522">
        <f t="shared" si="6"/>
        <v>0</v>
      </c>
      <c r="O180" s="522">
        <f t="shared" ref="O180:Q180" si="7">O151</f>
        <v>0</v>
      </c>
      <c r="P180" s="522">
        <f t="shared" si="7"/>
        <v>0</v>
      </c>
      <c r="Q180" s="522">
        <f t="shared" si="7"/>
        <v>0</v>
      </c>
      <c r="R180" s="35"/>
      <c r="S180" s="35"/>
    </row>
    <row r="181" spans="1:34" ht="15.75" thickBot="1">
      <c r="A181" s="775"/>
      <c r="B181" s="776"/>
      <c r="C181" s="777"/>
      <c r="D181" s="778"/>
      <c r="E181" s="782"/>
      <c r="F181" s="499" t="s">
        <v>565</v>
      </c>
      <c r="G181" s="521">
        <f t="shared" ref="G181:G185" si="8">G152</f>
        <v>14682</v>
      </c>
      <c r="H181" s="521">
        <v>15859</v>
      </c>
      <c r="I181" s="521">
        <f t="shared" si="5"/>
        <v>16430</v>
      </c>
      <c r="J181" s="521">
        <f t="shared" si="6"/>
        <v>0</v>
      </c>
      <c r="K181" s="521">
        <f t="shared" si="6"/>
        <v>0</v>
      </c>
      <c r="L181" s="521">
        <f t="shared" si="6"/>
        <v>0</v>
      </c>
      <c r="M181" s="521">
        <f t="shared" si="6"/>
        <v>0</v>
      </c>
      <c r="N181" s="522">
        <f t="shared" si="6"/>
        <v>0</v>
      </c>
      <c r="O181" s="522">
        <f t="shared" ref="O181:Q181" si="9">O152</f>
        <v>0</v>
      </c>
      <c r="P181" s="522">
        <f t="shared" si="9"/>
        <v>0</v>
      </c>
      <c r="Q181" s="522">
        <f t="shared" si="9"/>
        <v>0</v>
      </c>
      <c r="R181" s="35"/>
      <c r="S181" s="35"/>
    </row>
    <row r="182" spans="1:34">
      <c r="A182" s="792" t="str">
        <f>IF(ISBLANK(A153),"",(A153))</f>
        <v xml:space="preserve">Процент взрослых и детей с известным ВИЧ статусом, получающих антиретровирусную терапию на данный момент </v>
      </c>
      <c r="B182" s="793"/>
      <c r="C182" s="794"/>
      <c r="D182" s="779" t="str">
        <f>IF(ISBLANK(D153),"",(D153))</f>
        <v>Топ 10</v>
      </c>
      <c r="E182" s="780" t="str">
        <f>IF(ISBLANK(E153),"",(E153))</f>
        <v>с текущим грантом</v>
      </c>
      <c r="F182" s="504" t="s">
        <v>379</v>
      </c>
      <c r="G182" s="523">
        <f t="shared" si="8"/>
        <v>2700</v>
      </c>
      <c r="H182" s="523">
        <v>3100</v>
      </c>
      <c r="I182" s="523">
        <f t="shared" si="5"/>
        <v>3478</v>
      </c>
      <c r="J182" s="523">
        <f t="shared" si="6"/>
        <v>0</v>
      </c>
      <c r="K182" s="523">
        <f t="shared" si="6"/>
        <v>0</v>
      </c>
      <c r="L182" s="523">
        <f t="shared" si="6"/>
        <v>0</v>
      </c>
      <c r="M182" s="523">
        <f t="shared" si="6"/>
        <v>0</v>
      </c>
      <c r="N182" s="524">
        <f t="shared" si="6"/>
        <v>0</v>
      </c>
      <c r="O182" s="524">
        <f t="shared" ref="O182:Q182" si="10">O153</f>
        <v>0</v>
      </c>
      <c r="P182" s="524">
        <f t="shared" si="10"/>
        <v>0</v>
      </c>
      <c r="Q182" s="524">
        <f t="shared" si="10"/>
        <v>0</v>
      </c>
      <c r="R182" s="35"/>
      <c r="S182" s="35"/>
    </row>
    <row r="183" spans="1:34" ht="15.75" thickBot="1">
      <c r="A183" s="795"/>
      <c r="B183" s="796"/>
      <c r="C183" s="797"/>
      <c r="D183" s="779"/>
      <c r="E183" s="780"/>
      <c r="F183" s="504" t="s">
        <v>680</v>
      </c>
      <c r="G183" s="523">
        <f t="shared" si="8"/>
        <v>2668</v>
      </c>
      <c r="H183" s="523">
        <v>2995</v>
      </c>
      <c r="I183" s="523">
        <f t="shared" si="5"/>
        <v>3237</v>
      </c>
      <c r="J183" s="523">
        <f t="shared" ref="J183:N185" si="11">J154</f>
        <v>0</v>
      </c>
      <c r="K183" s="523">
        <f t="shared" si="11"/>
        <v>0</v>
      </c>
      <c r="L183" s="523">
        <f t="shared" si="11"/>
        <v>0</v>
      </c>
      <c r="M183" s="523">
        <f t="shared" si="11"/>
        <v>0</v>
      </c>
      <c r="N183" s="524">
        <f t="shared" si="11"/>
        <v>0</v>
      </c>
      <c r="O183" s="524">
        <f t="shared" ref="O183:Q183" si="12">O154</f>
        <v>0</v>
      </c>
      <c r="P183" s="524">
        <f t="shared" si="12"/>
        <v>0</v>
      </c>
      <c r="Q183" s="524">
        <f t="shared" si="12"/>
        <v>0</v>
      </c>
      <c r="R183" s="35"/>
      <c r="S183" s="35"/>
    </row>
    <row r="184" spans="1:34">
      <c r="A184" s="772" t="str">
        <f>IF(ISBLANK(A155),"",(A155))</f>
        <v xml:space="preserve">Количество ЛЖВ, находящихся на попечении общинных организаций и участвующих в программах поддержки </v>
      </c>
      <c r="B184" s="773"/>
      <c r="C184" s="774"/>
      <c r="D184" s="778" t="str">
        <f>IF(ISBLANK(D155),"",(D155))</f>
        <v>Топ 10</v>
      </c>
      <c r="E184" s="782" t="str">
        <f>IF(ISBLANK(E155),"",(E155))</f>
        <v>с текущим грантом</v>
      </c>
      <c r="F184" s="525" t="s">
        <v>379</v>
      </c>
      <c r="G184" s="521">
        <f t="shared" si="8"/>
        <v>1410</v>
      </c>
      <c r="H184" s="521">
        <v>1480</v>
      </c>
      <c r="I184" s="521">
        <f t="shared" si="5"/>
        <v>1616</v>
      </c>
      <c r="J184" s="521">
        <f t="shared" si="11"/>
        <v>0</v>
      </c>
      <c r="K184" s="521">
        <f t="shared" si="11"/>
        <v>0</v>
      </c>
      <c r="L184" s="521">
        <f t="shared" si="11"/>
        <v>0</v>
      </c>
      <c r="M184" s="521">
        <f t="shared" si="11"/>
        <v>0</v>
      </c>
      <c r="N184" s="522">
        <f t="shared" si="11"/>
        <v>0</v>
      </c>
      <c r="O184" s="522">
        <f t="shared" ref="O184:Q184" si="13">O155</f>
        <v>0</v>
      </c>
      <c r="P184" s="522">
        <f t="shared" si="13"/>
        <v>0</v>
      </c>
      <c r="Q184" s="522">
        <f t="shared" si="13"/>
        <v>0</v>
      </c>
      <c r="R184" s="35"/>
      <c r="S184" s="35"/>
    </row>
    <row r="185" spans="1:34" ht="15.75" thickBot="1">
      <c r="A185" s="775"/>
      <c r="B185" s="776"/>
      <c r="C185" s="777"/>
      <c r="D185" s="781"/>
      <c r="E185" s="783"/>
      <c r="F185" s="499" t="s">
        <v>567</v>
      </c>
      <c r="G185" s="521">
        <f t="shared" si="8"/>
        <v>2514</v>
      </c>
      <c r="H185" s="521">
        <v>2851</v>
      </c>
      <c r="I185" s="521">
        <f t="shared" si="5"/>
        <v>3117</v>
      </c>
      <c r="J185" s="521">
        <f t="shared" si="11"/>
        <v>0</v>
      </c>
      <c r="K185" s="521">
        <f t="shared" si="11"/>
        <v>0</v>
      </c>
      <c r="L185" s="521">
        <f t="shared" si="11"/>
        <v>0</v>
      </c>
      <c r="M185" s="521">
        <f t="shared" si="11"/>
        <v>0</v>
      </c>
      <c r="N185" s="522">
        <f t="shared" si="11"/>
        <v>0</v>
      </c>
      <c r="O185" s="522">
        <f t="shared" ref="O185:Q185" si="14">O156</f>
        <v>0</v>
      </c>
      <c r="P185" s="522">
        <f t="shared" si="14"/>
        <v>0</v>
      </c>
      <c r="Q185" s="522">
        <f t="shared" si="14"/>
        <v>0</v>
      </c>
      <c r="R185" s="35"/>
      <c r="S185" s="35"/>
    </row>
    <row r="186" spans="1:34">
      <c r="A186" s="3"/>
      <c r="B186" s="3"/>
      <c r="C186" s="3"/>
      <c r="D186" s="3"/>
      <c r="E186" s="3"/>
      <c r="F186" s="3"/>
      <c r="I186" s="3"/>
      <c r="J186" s="3"/>
      <c r="K186" s="3"/>
      <c r="M186"/>
      <c r="O186" s="35"/>
      <c r="P186" s="35"/>
      <c r="Q186" s="35"/>
    </row>
    <row r="187" spans="1:34" s="19" customFormat="1" ht="15" customHeight="1">
      <c r="A187" s="765" t="s">
        <v>603</v>
      </c>
      <c r="B187" s="766"/>
      <c r="C187" s="767"/>
      <c r="D187" s="768" t="s">
        <v>563</v>
      </c>
      <c r="E187" s="769" t="s">
        <v>564</v>
      </c>
      <c r="F187" s="499" t="s">
        <v>379</v>
      </c>
      <c r="G187" s="515">
        <v>350</v>
      </c>
      <c r="H187" s="515">
        <v>350</v>
      </c>
      <c r="I187" s="515">
        <v>350</v>
      </c>
      <c r="J187" s="515"/>
      <c r="K187" s="515"/>
      <c r="L187" s="515"/>
      <c r="M187" s="516"/>
      <c r="N187" s="520"/>
      <c r="O187" s="520"/>
      <c r="P187" s="520"/>
      <c r="Q187" s="520"/>
      <c r="AF187" s="20"/>
      <c r="AG187" s="20"/>
      <c r="AH187" s="20"/>
    </row>
    <row r="188" spans="1:34">
      <c r="A188" s="765"/>
      <c r="B188" s="766"/>
      <c r="C188" s="767"/>
      <c r="D188" s="768"/>
      <c r="E188" s="770"/>
      <c r="F188" s="499" t="s">
        <v>567</v>
      </c>
      <c r="G188" s="515">
        <v>437</v>
      </c>
      <c r="H188" s="515">
        <v>509</v>
      </c>
      <c r="I188" s="515">
        <v>510</v>
      </c>
      <c r="J188" s="515"/>
      <c r="K188" s="515"/>
      <c r="L188" s="515"/>
      <c r="M188" s="516"/>
      <c r="N188" s="520"/>
      <c r="O188" s="520"/>
      <c r="P188" s="520"/>
      <c r="Q188" s="520"/>
    </row>
    <row r="189" spans="1:34" ht="14.25" customHeight="1">
      <c r="A189" s="784" t="s">
        <v>555</v>
      </c>
      <c r="B189" s="785"/>
      <c r="C189" s="786"/>
      <c r="D189" s="787" t="s">
        <v>580</v>
      </c>
      <c r="E189" s="771" t="s">
        <v>564</v>
      </c>
      <c r="F189" s="504" t="s">
        <v>379</v>
      </c>
      <c r="G189" s="511">
        <v>20</v>
      </c>
      <c r="H189" s="511">
        <v>22</v>
      </c>
      <c r="I189" s="511">
        <v>24</v>
      </c>
      <c r="J189" s="511"/>
      <c r="K189" s="511"/>
      <c r="L189" s="511"/>
      <c r="M189" s="511"/>
      <c r="N189" s="511"/>
      <c r="O189" s="511"/>
      <c r="P189" s="511"/>
      <c r="Q189" s="511"/>
      <c r="R189" s="63"/>
    </row>
    <row r="190" spans="1:34">
      <c r="A190" s="784"/>
      <c r="B190" s="785"/>
      <c r="C190" s="786"/>
      <c r="D190" s="787"/>
      <c r="E190" s="771"/>
      <c r="F190" s="504" t="s">
        <v>688</v>
      </c>
      <c r="G190" s="511">
        <v>28</v>
      </c>
      <c r="H190" s="511">
        <v>26</v>
      </c>
      <c r="I190" s="511">
        <v>24</v>
      </c>
      <c r="J190" s="511"/>
      <c r="K190" s="511"/>
      <c r="L190" s="511"/>
      <c r="M190" s="511"/>
      <c r="N190" s="511"/>
      <c r="O190" s="511"/>
      <c r="P190" s="511"/>
      <c r="Q190" s="511"/>
      <c r="R190" s="63"/>
    </row>
    <row r="191" spans="1:34" s="19" customFormat="1" ht="15" customHeight="1">
      <c r="A191" s="765" t="s">
        <v>726</v>
      </c>
      <c r="B191" s="766"/>
      <c r="C191" s="767"/>
      <c r="D191" s="768" t="s">
        <v>563</v>
      </c>
      <c r="E191" s="769" t="s">
        <v>564</v>
      </c>
      <c r="F191" s="499"/>
      <c r="G191" s="515"/>
      <c r="H191" s="515"/>
      <c r="I191" s="515"/>
      <c r="J191" s="515"/>
      <c r="K191" s="515"/>
      <c r="L191" s="515"/>
      <c r="M191" s="516"/>
      <c r="N191" s="520"/>
      <c r="O191" s="520"/>
      <c r="P191" s="520"/>
      <c r="Q191" s="520"/>
      <c r="AF191" s="20"/>
      <c r="AG191" s="20"/>
      <c r="AH191" s="20"/>
    </row>
    <row r="192" spans="1:34" ht="45" customHeight="1">
      <c r="A192" s="765"/>
      <c r="B192" s="766"/>
      <c r="C192" s="767"/>
      <c r="D192" s="768"/>
      <c r="E192" s="770"/>
      <c r="F192" s="499"/>
      <c r="G192" s="517" t="s">
        <v>727</v>
      </c>
      <c r="H192" s="517"/>
      <c r="I192" s="515"/>
      <c r="J192" s="515"/>
      <c r="K192" s="515"/>
      <c r="L192" s="515"/>
      <c r="M192" s="516"/>
      <c r="N192" s="520"/>
      <c r="O192" s="520"/>
      <c r="P192" s="520"/>
      <c r="Q192" s="520"/>
    </row>
    <row r="193" spans="1:35" ht="36" customHeight="1">
      <c r="A193" s="784" t="s">
        <v>729</v>
      </c>
      <c r="B193" s="785"/>
      <c r="C193" s="786"/>
      <c r="D193" s="787" t="s">
        <v>563</v>
      </c>
      <c r="E193" s="771" t="s">
        <v>564</v>
      </c>
      <c r="F193" s="504" t="s">
        <v>379</v>
      </c>
      <c r="G193" s="513">
        <v>110</v>
      </c>
      <c r="H193" s="513"/>
      <c r="I193" s="513">
        <v>240</v>
      </c>
      <c r="J193" s="511"/>
      <c r="K193" s="511"/>
      <c r="L193" s="511"/>
      <c r="M193" s="511"/>
      <c r="N193" s="511"/>
      <c r="O193" s="511"/>
      <c r="P193" s="513"/>
      <c r="Q193" s="513"/>
      <c r="S193" s="63"/>
      <c r="AF193"/>
      <c r="AI193" s="35"/>
    </row>
    <row r="194" spans="1:35" ht="37.5" customHeight="1">
      <c r="A194" s="784"/>
      <c r="B194" s="785"/>
      <c r="C194" s="786"/>
      <c r="D194" s="787"/>
      <c r="E194" s="771"/>
      <c r="F194" s="504" t="s">
        <v>687</v>
      </c>
      <c r="G194" s="513">
        <v>150</v>
      </c>
      <c r="H194" s="513"/>
      <c r="I194" s="513">
        <v>220</v>
      </c>
      <c r="J194" s="511"/>
      <c r="K194" s="511"/>
      <c r="L194" s="511"/>
      <c r="M194" s="511"/>
      <c r="N194" s="511"/>
      <c r="O194" s="511"/>
      <c r="P194" s="513"/>
      <c r="Q194" s="513"/>
      <c r="R194" s="19"/>
      <c r="S194" s="63"/>
      <c r="AF194"/>
      <c r="AI194" s="35"/>
    </row>
    <row r="195" spans="1:35" s="19" customFormat="1" ht="40.5" customHeight="1">
      <c r="A195" s="765" t="s">
        <v>504</v>
      </c>
      <c r="B195" s="766"/>
      <c r="C195" s="767"/>
      <c r="D195" s="768" t="s">
        <v>580</v>
      </c>
      <c r="E195" s="791" t="s">
        <v>564</v>
      </c>
      <c r="F195" s="499" t="s">
        <v>379</v>
      </c>
      <c r="G195" s="517" t="s">
        <v>690</v>
      </c>
      <c r="H195" s="517" t="s">
        <v>691</v>
      </c>
      <c r="I195" s="517" t="s">
        <v>692</v>
      </c>
      <c r="J195" s="515"/>
      <c r="K195" s="515"/>
      <c r="L195" s="515"/>
      <c r="M195" s="516"/>
      <c r="N195" s="520"/>
      <c r="O195" s="520"/>
      <c r="P195" s="520"/>
      <c r="Q195" s="520"/>
      <c r="R195"/>
      <c r="AF195" s="20"/>
      <c r="AG195" s="20"/>
      <c r="AH195" s="20"/>
    </row>
    <row r="196" spans="1:35" ht="44.25" customHeight="1">
      <c r="A196" s="765"/>
      <c r="B196" s="766"/>
      <c r="C196" s="767"/>
      <c r="D196" s="768"/>
      <c r="E196" s="791"/>
      <c r="F196" s="499" t="s">
        <v>689</v>
      </c>
      <c r="G196" s="517" t="s">
        <v>693</v>
      </c>
      <c r="H196" s="517" t="s">
        <v>694</v>
      </c>
      <c r="I196" s="517" t="s">
        <v>695</v>
      </c>
      <c r="J196" s="515"/>
      <c r="K196" s="515"/>
      <c r="L196" s="515"/>
      <c r="M196" s="516"/>
      <c r="N196" s="520"/>
      <c r="O196" s="520"/>
      <c r="P196" s="520"/>
      <c r="Q196" s="520"/>
      <c r="R196" s="63"/>
    </row>
    <row r="197" spans="1:35" ht="14.25" customHeight="1">
      <c r="A197" s="784" t="s">
        <v>548</v>
      </c>
      <c r="B197" s="785"/>
      <c r="C197" s="786"/>
      <c r="D197" s="787" t="s">
        <v>563</v>
      </c>
      <c r="E197" s="771" t="s">
        <v>564</v>
      </c>
      <c r="F197" s="504" t="s">
        <v>379</v>
      </c>
      <c r="G197" s="512">
        <v>0.85</v>
      </c>
      <c r="H197" s="512"/>
      <c r="I197" s="512">
        <v>0.95</v>
      </c>
      <c r="J197" s="511"/>
      <c r="K197" s="511"/>
      <c r="L197" s="511"/>
      <c r="M197" s="511"/>
      <c r="N197" s="511"/>
      <c r="O197" s="511"/>
      <c r="P197" s="511"/>
      <c r="Q197" s="511"/>
      <c r="R197" s="63"/>
    </row>
    <row r="198" spans="1:35" ht="32.25" customHeight="1">
      <c r="A198" s="784"/>
      <c r="B198" s="785"/>
      <c r="C198" s="786"/>
      <c r="D198" s="787"/>
      <c r="E198" s="771"/>
      <c r="F198" s="504" t="s">
        <v>688</v>
      </c>
      <c r="G198" s="512">
        <v>0.72</v>
      </c>
      <c r="H198" s="512"/>
      <c r="I198" s="512" t="s">
        <v>696</v>
      </c>
      <c r="J198" s="511"/>
      <c r="K198" s="511"/>
      <c r="L198" s="511"/>
      <c r="M198" s="511"/>
      <c r="N198" s="511"/>
      <c r="O198" s="511"/>
      <c r="P198" s="511"/>
      <c r="Q198" s="511"/>
      <c r="R198" s="63"/>
    </row>
    <row r="199" spans="1:35" s="19" customFormat="1" ht="15" customHeight="1">
      <c r="A199" s="765" t="s">
        <v>544</v>
      </c>
      <c r="B199" s="766"/>
      <c r="C199" s="767"/>
      <c r="D199" s="768" t="s">
        <v>580</v>
      </c>
      <c r="E199" s="769" t="s">
        <v>564</v>
      </c>
      <c r="F199" s="499" t="s">
        <v>379</v>
      </c>
      <c r="G199" s="520">
        <v>0.9</v>
      </c>
      <c r="H199" s="520"/>
      <c r="I199" s="520">
        <v>0.9</v>
      </c>
      <c r="J199" s="515"/>
      <c r="K199" s="515"/>
      <c r="L199" s="515"/>
      <c r="M199" s="516"/>
      <c r="N199" s="520"/>
      <c r="O199" s="520"/>
      <c r="P199" s="520"/>
      <c r="Q199" s="520"/>
      <c r="AF199" s="20"/>
      <c r="AG199" s="20"/>
      <c r="AH199" s="20"/>
    </row>
    <row r="200" spans="1:35">
      <c r="A200" s="765"/>
      <c r="B200" s="766"/>
      <c r="C200" s="767"/>
      <c r="D200" s="768"/>
      <c r="E200" s="770"/>
      <c r="F200" s="499" t="s">
        <v>688</v>
      </c>
      <c r="G200" s="520">
        <v>1.05</v>
      </c>
      <c r="H200" s="520"/>
      <c r="I200" s="520" t="s">
        <v>728</v>
      </c>
      <c r="J200" s="515"/>
      <c r="K200" s="515"/>
      <c r="L200" s="515"/>
      <c r="M200" s="516"/>
      <c r="N200" s="520"/>
      <c r="O200" s="520"/>
      <c r="P200" s="520"/>
      <c r="Q200" s="520"/>
    </row>
    <row r="201" spans="1:35" ht="15.75" thickBot="1">
      <c r="A201" s="3"/>
      <c r="B201" s="3"/>
      <c r="C201" s="3"/>
      <c r="D201" s="3"/>
      <c r="E201" s="3"/>
      <c r="F201" s="3"/>
      <c r="G201" s="3"/>
      <c r="H201" s="2" t="str">
        <f>IF(AND(F201&gt;0,G201&gt;0),G201/F201,"")</f>
        <v/>
      </c>
      <c r="I201" s="102"/>
      <c r="J201" s="102"/>
      <c r="K201" s="3"/>
      <c r="L201" s="3"/>
    </row>
    <row r="202" spans="1:35" ht="19.5" thickBot="1">
      <c r="A202" s="549" t="s">
        <v>604</v>
      </c>
      <c r="B202" s="114"/>
      <c r="C202" s="114"/>
      <c r="D202" s="115"/>
      <c r="E202" s="115"/>
      <c r="F202" s="115"/>
      <c r="G202" s="225"/>
      <c r="H202" s="216"/>
      <c r="I202" s="283"/>
      <c r="J202" s="382" t="s">
        <v>353</v>
      </c>
      <c r="K202" s="375"/>
      <c r="L202" s="376"/>
      <c r="M202" s="377"/>
      <c r="N202" s="376"/>
      <c r="O202" s="397"/>
      <c r="P202" s="35"/>
    </row>
    <row r="203" spans="1:35" ht="15.75" thickBot="1">
      <c r="A203" s="3"/>
      <c r="B203" s="3"/>
      <c r="C203" s="3"/>
      <c r="D203" s="3"/>
      <c r="E203" s="3"/>
      <c r="F203" s="3"/>
      <c r="G203" s="3"/>
      <c r="H203" s="3"/>
      <c r="I203" s="3"/>
      <c r="J203" s="3"/>
      <c r="K203" s="3"/>
      <c r="L203" s="3"/>
      <c r="M203"/>
      <c r="N203"/>
      <c r="O203" s="35"/>
      <c r="P203" s="35"/>
    </row>
    <row r="204" spans="1:35" ht="39.75" customHeight="1">
      <c r="A204" s="815" t="s">
        <v>378</v>
      </c>
      <c r="B204" s="816"/>
      <c r="C204" s="817"/>
      <c r="D204" s="275" t="s">
        <v>270</v>
      </c>
      <c r="E204" s="346" t="s">
        <v>334</v>
      </c>
      <c r="F204" s="220"/>
      <c r="G204" s="313" t="s">
        <v>461</v>
      </c>
      <c r="H204" s="313" t="s">
        <v>469</v>
      </c>
      <c r="I204" s="313" t="s">
        <v>57</v>
      </c>
      <c r="J204" s="313" t="s">
        <v>58</v>
      </c>
      <c r="K204" s="313" t="s">
        <v>65</v>
      </c>
      <c r="L204" s="313" t="s">
        <v>66</v>
      </c>
      <c r="M204" s="313" t="s">
        <v>67</v>
      </c>
      <c r="N204" s="313" t="s">
        <v>68</v>
      </c>
      <c r="O204" s="313" t="s">
        <v>69</v>
      </c>
      <c r="P204" s="313" t="s">
        <v>70</v>
      </c>
      <c r="Q204" s="313" t="s">
        <v>71</v>
      </c>
      <c r="R204" s="63"/>
    </row>
    <row r="205" spans="1:35" ht="40.5" customHeight="1">
      <c r="A205" s="876" t="s">
        <v>465</v>
      </c>
      <c r="B205" s="877"/>
      <c r="C205" s="878"/>
      <c r="D205" s="768" t="s">
        <v>580</v>
      </c>
      <c r="E205" s="808" t="s">
        <v>431</v>
      </c>
      <c r="F205" s="221" t="s">
        <v>379</v>
      </c>
      <c r="G205" s="242">
        <v>1939</v>
      </c>
      <c r="H205" s="116">
        <v>2254</v>
      </c>
      <c r="I205" s="242">
        <v>2413</v>
      </c>
      <c r="J205" s="242"/>
      <c r="K205" s="116"/>
      <c r="L205" s="116"/>
      <c r="M205" s="116"/>
      <c r="N205" s="116"/>
      <c r="O205" s="116"/>
      <c r="P205" s="116"/>
      <c r="Q205" s="116"/>
      <c r="R205" s="63"/>
    </row>
    <row r="206" spans="1:35" ht="23.25" customHeight="1">
      <c r="A206" s="879"/>
      <c r="B206" s="880"/>
      <c r="C206" s="881"/>
      <c r="D206" s="768"/>
      <c r="E206" s="809"/>
      <c r="F206" s="221" t="s">
        <v>271</v>
      </c>
      <c r="G206" s="242">
        <v>1476</v>
      </c>
      <c r="H206" s="116">
        <v>1689</v>
      </c>
      <c r="I206" s="242">
        <v>1684</v>
      </c>
      <c r="J206" s="242"/>
      <c r="K206" s="116"/>
      <c r="L206" s="116"/>
      <c r="M206" s="116"/>
      <c r="N206" s="116"/>
      <c r="O206" s="116"/>
      <c r="P206" s="116"/>
      <c r="Q206" s="116"/>
      <c r="R206" s="63"/>
    </row>
    <row r="207" spans="1:35" ht="48" customHeight="1">
      <c r="A207" s="856" t="s">
        <v>460</v>
      </c>
      <c r="B207" s="857"/>
      <c r="C207" s="858"/>
      <c r="D207" s="787" t="s">
        <v>563</v>
      </c>
      <c r="E207" s="810" t="s">
        <v>431</v>
      </c>
      <c r="F207" s="221" t="s">
        <v>379</v>
      </c>
      <c r="G207" s="389">
        <v>1677</v>
      </c>
      <c r="H207" s="387">
        <v>1677</v>
      </c>
      <c r="I207" s="243">
        <v>1677</v>
      </c>
      <c r="J207" s="243"/>
      <c r="K207" s="454"/>
      <c r="L207" s="217"/>
      <c r="M207" s="217"/>
      <c r="N207" s="217"/>
      <c r="O207" s="217"/>
      <c r="P207" s="217"/>
      <c r="Q207" s="217"/>
      <c r="R207" s="63"/>
    </row>
    <row r="208" spans="1:35" ht="15.75" customHeight="1">
      <c r="A208" s="859"/>
      <c r="B208" s="860"/>
      <c r="C208" s="861"/>
      <c r="D208" s="787"/>
      <c r="E208" s="811"/>
      <c r="F208" s="222" t="s">
        <v>271</v>
      </c>
      <c r="G208" s="389">
        <v>1628</v>
      </c>
      <c r="H208" s="387">
        <v>2087</v>
      </c>
      <c r="I208" s="274">
        <v>2034</v>
      </c>
      <c r="J208" s="274"/>
      <c r="K208" s="273"/>
      <c r="L208" s="273"/>
      <c r="M208" s="273"/>
      <c r="N208" s="273"/>
      <c r="O208" s="217"/>
      <c r="P208" s="217"/>
      <c r="Q208" s="217"/>
      <c r="R208" s="63"/>
    </row>
    <row r="209" spans="1:19" ht="38.25" customHeight="1">
      <c r="A209" s="876" t="s">
        <v>462</v>
      </c>
      <c r="B209" s="877"/>
      <c r="C209" s="878"/>
      <c r="D209" s="768" t="s">
        <v>580</v>
      </c>
      <c r="E209" s="808" t="s">
        <v>431</v>
      </c>
      <c r="F209" s="221" t="s">
        <v>379</v>
      </c>
      <c r="G209" s="478">
        <v>0.85</v>
      </c>
      <c r="H209" s="480">
        <v>0.9</v>
      </c>
      <c r="I209" s="478">
        <v>0.95</v>
      </c>
      <c r="J209" s="116"/>
      <c r="K209" s="455"/>
      <c r="L209" s="116"/>
      <c r="M209" s="116"/>
      <c r="N209" s="116"/>
      <c r="O209" s="116"/>
      <c r="P209" s="116"/>
      <c r="Q209" s="116"/>
      <c r="R209" s="63"/>
    </row>
    <row r="210" spans="1:19" ht="39.75" customHeight="1">
      <c r="A210" s="879"/>
      <c r="B210" s="880"/>
      <c r="C210" s="881"/>
      <c r="D210" s="768"/>
      <c r="E210" s="809"/>
      <c r="F210" s="221" t="s">
        <v>271</v>
      </c>
      <c r="G210" s="478">
        <v>0.96</v>
      </c>
      <c r="H210" s="480">
        <v>0.95</v>
      </c>
      <c r="I210" s="478">
        <v>0.96</v>
      </c>
      <c r="J210" s="116"/>
      <c r="K210" s="116"/>
      <c r="L210" s="116"/>
      <c r="M210" s="116"/>
      <c r="N210" s="116"/>
      <c r="O210" s="116"/>
      <c r="P210" s="116"/>
      <c r="Q210" s="116"/>
      <c r="R210" s="63"/>
    </row>
    <row r="211" spans="1:19" ht="39.75" customHeight="1">
      <c r="A211" s="856" t="s">
        <v>463</v>
      </c>
      <c r="B211" s="857"/>
      <c r="C211" s="858"/>
      <c r="D211" s="787" t="s">
        <v>563</v>
      </c>
      <c r="E211" s="810" t="s">
        <v>431</v>
      </c>
      <c r="F211" s="221" t="s">
        <v>379</v>
      </c>
      <c r="G211" s="392">
        <v>800</v>
      </c>
      <c r="H211" s="388">
        <v>712</v>
      </c>
      <c r="I211" s="389">
        <v>712</v>
      </c>
      <c r="J211" s="389"/>
      <c r="K211" s="387"/>
      <c r="L211" s="387"/>
      <c r="M211" s="387"/>
      <c r="N211" s="387"/>
      <c r="O211" s="387"/>
      <c r="P211" s="387"/>
      <c r="Q211" s="387"/>
      <c r="R211" s="63"/>
    </row>
    <row r="212" spans="1:19" ht="39.75" customHeight="1">
      <c r="A212" s="859"/>
      <c r="B212" s="860"/>
      <c r="C212" s="861"/>
      <c r="D212" s="787"/>
      <c r="E212" s="811"/>
      <c r="F212" s="221" t="s">
        <v>271</v>
      </c>
      <c r="G212" s="392">
        <v>626</v>
      </c>
      <c r="H212" s="388">
        <v>697</v>
      </c>
      <c r="I212" s="389">
        <v>736</v>
      </c>
      <c r="J212" s="389"/>
      <c r="K212" s="387"/>
      <c r="L212" s="387"/>
      <c r="M212" s="387"/>
      <c r="N212" s="387"/>
      <c r="O212" s="387"/>
      <c r="P212" s="387"/>
      <c r="Q212" s="387"/>
      <c r="R212" s="63"/>
    </row>
    <row r="213" spans="1:19" ht="35.25" customHeight="1">
      <c r="A213" s="823" t="s">
        <v>464</v>
      </c>
      <c r="B213" s="824"/>
      <c r="C213" s="825"/>
      <c r="D213" s="768" t="s">
        <v>580</v>
      </c>
      <c r="E213" s="821" t="s">
        <v>431</v>
      </c>
      <c r="F213" s="221" t="s">
        <v>379</v>
      </c>
      <c r="G213" s="391">
        <v>795</v>
      </c>
      <c r="H213" s="390">
        <v>663</v>
      </c>
      <c r="I213" s="391">
        <v>662</v>
      </c>
      <c r="J213" s="391"/>
      <c r="K213" s="390"/>
      <c r="L213" s="390"/>
      <c r="M213" s="390"/>
      <c r="N213" s="390"/>
      <c r="O213" s="390"/>
      <c r="P213" s="390"/>
      <c r="Q213" s="390"/>
      <c r="R213" s="63"/>
    </row>
    <row r="214" spans="1:19" ht="39" customHeight="1">
      <c r="A214" s="826"/>
      <c r="B214" s="827"/>
      <c r="C214" s="828"/>
      <c r="D214" s="768"/>
      <c r="E214" s="822"/>
      <c r="F214" s="222" t="s">
        <v>271</v>
      </c>
      <c r="G214" s="391">
        <v>601</v>
      </c>
      <c r="H214" s="390">
        <v>702</v>
      </c>
      <c r="I214" s="391">
        <v>686</v>
      </c>
      <c r="J214" s="391"/>
      <c r="K214" s="390"/>
      <c r="L214" s="390"/>
      <c r="M214" s="390"/>
      <c r="N214" s="390"/>
      <c r="O214" s="390"/>
      <c r="P214" s="390"/>
      <c r="Q214" s="390"/>
      <c r="R214" s="63"/>
    </row>
    <row r="215" spans="1:19" ht="43.5" customHeight="1">
      <c r="A215" s="856" t="s">
        <v>466</v>
      </c>
      <c r="B215" s="857"/>
      <c r="C215" s="858"/>
      <c r="D215" s="787" t="s">
        <v>563</v>
      </c>
      <c r="E215" s="829" t="s">
        <v>431</v>
      </c>
      <c r="F215" s="221" t="s">
        <v>379</v>
      </c>
      <c r="G215" s="391"/>
      <c r="H215" s="481">
        <v>0.08</v>
      </c>
      <c r="I215" s="547">
        <v>0.08</v>
      </c>
      <c r="J215" s="392"/>
      <c r="K215" s="388"/>
      <c r="L215" s="388"/>
      <c r="M215" s="388"/>
      <c r="N215" s="388"/>
      <c r="O215" s="388"/>
      <c r="P215" s="388"/>
      <c r="Q215" s="469"/>
      <c r="R215" s="63"/>
    </row>
    <row r="216" spans="1:19" ht="40.5" customHeight="1">
      <c r="A216" s="859"/>
      <c r="B216" s="860"/>
      <c r="C216" s="861"/>
      <c r="D216" s="787"/>
      <c r="E216" s="830"/>
      <c r="F216" s="221" t="s">
        <v>271</v>
      </c>
      <c r="G216" s="453" t="s">
        <v>467</v>
      </c>
      <c r="H216" s="482">
        <v>0.19</v>
      </c>
      <c r="I216" s="548">
        <v>0.13</v>
      </c>
      <c r="J216" s="389"/>
      <c r="K216" s="387"/>
      <c r="L216" s="387"/>
      <c r="M216" s="387"/>
      <c r="N216" s="387"/>
      <c r="O216" s="388"/>
      <c r="P216" s="388"/>
      <c r="Q216" s="388"/>
      <c r="R216" s="63"/>
    </row>
    <row r="217" spans="1:19" ht="20.25" customHeight="1">
      <c r="A217" s="3"/>
      <c r="B217" s="3"/>
      <c r="C217" s="3"/>
      <c r="D217" s="3"/>
      <c r="E217" s="3"/>
      <c r="F217" s="2"/>
      <c r="G217" s="3"/>
      <c r="H217" s="3"/>
      <c r="I217" s="3"/>
      <c r="J217" s="3"/>
      <c r="K217" s="3"/>
      <c r="L217" s="3"/>
      <c r="M217" s="3"/>
      <c r="N217" s="3"/>
      <c r="Q217" s="35"/>
    </row>
    <row r="218" spans="1:19">
      <c r="A218" s="3"/>
      <c r="B218" s="3"/>
      <c r="C218" s="3"/>
      <c r="D218" s="3"/>
      <c r="E218" s="3"/>
      <c r="F218" s="2"/>
      <c r="G218" s="3"/>
      <c r="H218" s="3"/>
      <c r="I218" s="3"/>
      <c r="J218" s="3"/>
      <c r="K218" s="3"/>
      <c r="L218" s="3"/>
      <c r="M218" s="3"/>
      <c r="N218" s="3"/>
      <c r="Q218" s="35"/>
    </row>
    <row r="219" spans="1:19" ht="4.5" customHeight="1" thickBot="1">
      <c r="A219" s="3"/>
      <c r="B219" s="3"/>
      <c r="C219" s="3"/>
      <c r="D219" s="3"/>
      <c r="E219" s="3"/>
      <c r="F219" s="2"/>
      <c r="G219" s="3"/>
      <c r="H219" s="3"/>
      <c r="I219" s="3"/>
      <c r="J219" s="3"/>
      <c r="K219" s="3"/>
      <c r="L219" s="3"/>
      <c r="M219" s="3"/>
      <c r="N219" s="3"/>
      <c r="Q219" s="35"/>
    </row>
    <row r="220" spans="1:19" ht="16.5" hidden="1" thickBot="1">
      <c r="A220" s="276"/>
      <c r="B220" s="3"/>
      <c r="C220" s="3"/>
      <c r="D220" s="3"/>
      <c r="E220" s="3"/>
      <c r="F220" s="2"/>
      <c r="G220" s="3"/>
      <c r="H220" s="3"/>
      <c r="I220" s="3"/>
      <c r="J220" s="3"/>
      <c r="K220" s="3"/>
      <c r="L220" s="3"/>
      <c r="M220" s="3"/>
      <c r="N220" s="3"/>
      <c r="Q220" s="35"/>
    </row>
    <row r="221" spans="1:19" ht="25.5">
      <c r="A221" s="3" t="s">
        <v>380</v>
      </c>
      <c r="B221" s="3"/>
      <c r="C221" s="3"/>
      <c r="D221" s="275" t="s">
        <v>270</v>
      </c>
      <c r="E221" s="346" t="s">
        <v>334</v>
      </c>
      <c r="F221" s="220"/>
      <c r="G221" s="313" t="str">
        <f t="shared" ref="G221:Q221" si="15">B30</f>
        <v>P1</v>
      </c>
      <c r="H221" s="313" t="str">
        <f t="shared" si="15"/>
        <v>P2</v>
      </c>
      <c r="I221" s="313" t="str">
        <f t="shared" si="15"/>
        <v>P3</v>
      </c>
      <c r="J221" s="313" t="str">
        <f t="shared" si="15"/>
        <v>P4</v>
      </c>
      <c r="K221" s="313" t="str">
        <f t="shared" si="15"/>
        <v>P5</v>
      </c>
      <c r="L221" s="313" t="str">
        <f t="shared" si="15"/>
        <v>P6</v>
      </c>
      <c r="M221" s="313" t="str">
        <f t="shared" si="15"/>
        <v>P7</v>
      </c>
      <c r="N221" s="313" t="str">
        <f t="shared" si="15"/>
        <v>P8</v>
      </c>
      <c r="O221" s="313" t="str">
        <f t="shared" si="15"/>
        <v>P9</v>
      </c>
      <c r="P221" s="313" t="str">
        <f t="shared" si="15"/>
        <v>P10</v>
      </c>
      <c r="Q221" s="313" t="str">
        <f t="shared" si="15"/>
        <v>P11</v>
      </c>
      <c r="R221" s="35"/>
      <c r="S221" s="35"/>
    </row>
    <row r="222" spans="1:19">
      <c r="A222" s="841" t="str">
        <f>IF(ISBLANK(A205),"",(A205))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B222" s="842"/>
      <c r="C222" s="843"/>
      <c r="D222" s="839" t="str">
        <f>IF(ISBLANK(D205),"",(D205))</f>
        <v xml:space="preserve"> Топ 10</v>
      </c>
      <c r="E222" s="850" t="str">
        <f>IF(ISBLANK(E205),"",(E205))</f>
        <v>да</v>
      </c>
      <c r="F222" s="221" t="s">
        <v>379</v>
      </c>
      <c r="G222" s="326">
        <f t="shared" ref="G222:Q222" si="16">G205</f>
        <v>1939</v>
      </c>
      <c r="H222" s="326">
        <f t="shared" si="16"/>
        <v>2254</v>
      </c>
      <c r="I222" s="326">
        <f t="shared" si="16"/>
        <v>2413</v>
      </c>
      <c r="J222" s="326">
        <f t="shared" si="16"/>
        <v>0</v>
      </c>
      <c r="K222" s="326">
        <f t="shared" si="16"/>
        <v>0</v>
      </c>
      <c r="L222" s="326">
        <f t="shared" si="16"/>
        <v>0</v>
      </c>
      <c r="M222" s="326">
        <f t="shared" si="16"/>
        <v>0</v>
      </c>
      <c r="N222" s="326">
        <f t="shared" si="16"/>
        <v>0</v>
      </c>
      <c r="O222" s="326">
        <f t="shared" si="16"/>
        <v>0</v>
      </c>
      <c r="P222" s="326">
        <f t="shared" si="16"/>
        <v>0</v>
      </c>
      <c r="Q222" s="326">
        <f t="shared" si="16"/>
        <v>0</v>
      </c>
      <c r="R222" s="35"/>
      <c r="S222" s="35"/>
    </row>
    <row r="223" spans="1:19" ht="15" customHeight="1" thickBot="1">
      <c r="A223" s="834"/>
      <c r="B223" s="835"/>
      <c r="C223" s="836"/>
      <c r="D223" s="854"/>
      <c r="E223" s="855"/>
      <c r="F223" s="394" t="s">
        <v>271</v>
      </c>
      <c r="G223" s="326">
        <f t="shared" ref="G223:J227" si="17">G206</f>
        <v>1476</v>
      </c>
      <c r="H223" s="326">
        <f t="shared" si="17"/>
        <v>1689</v>
      </c>
      <c r="I223" s="326">
        <f t="shared" si="17"/>
        <v>1684</v>
      </c>
      <c r="J223" s="326">
        <f t="shared" si="17"/>
        <v>0</v>
      </c>
      <c r="K223" s="326">
        <f t="shared" ref="K223:Q227" si="18">K206</f>
        <v>0</v>
      </c>
      <c r="L223" s="326">
        <f t="shared" si="18"/>
        <v>0</v>
      </c>
      <c r="M223" s="326">
        <f t="shared" si="18"/>
        <v>0</v>
      </c>
      <c r="N223" s="326">
        <f t="shared" si="18"/>
        <v>0</v>
      </c>
      <c r="O223" s="326">
        <f t="shared" si="18"/>
        <v>0</v>
      </c>
      <c r="P223" s="326">
        <f t="shared" si="18"/>
        <v>0</v>
      </c>
      <c r="Q223" s="326">
        <f t="shared" si="18"/>
        <v>0</v>
      </c>
      <c r="R223" s="35"/>
      <c r="S223" s="35"/>
    </row>
    <row r="224" spans="1:19">
      <c r="A224" s="844" t="str">
        <f>IF(ISBLANK(A207),"",(A207))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B224" s="845"/>
      <c r="C224" s="846"/>
      <c r="D224" s="837" t="str">
        <f>IF(ISBLANK(D207),"",(D207))</f>
        <v>Топ 10</v>
      </c>
      <c r="E224" s="852" t="str">
        <f>IF(ISBLANK(E207),"",(E207))</f>
        <v>да</v>
      </c>
      <c r="F224" s="222" t="s">
        <v>379</v>
      </c>
      <c r="G224" s="393">
        <f t="shared" si="17"/>
        <v>1677</v>
      </c>
      <c r="H224" s="393">
        <f>H207</f>
        <v>1677</v>
      </c>
      <c r="I224" s="393">
        <f t="shared" si="17"/>
        <v>1677</v>
      </c>
      <c r="J224" s="393">
        <f>J207</f>
        <v>0</v>
      </c>
      <c r="K224" s="393">
        <f t="shared" si="18"/>
        <v>0</v>
      </c>
      <c r="L224" s="393">
        <f t="shared" si="18"/>
        <v>0</v>
      </c>
      <c r="M224" s="393">
        <f t="shared" si="18"/>
        <v>0</v>
      </c>
      <c r="N224" s="393">
        <f t="shared" si="18"/>
        <v>0</v>
      </c>
      <c r="O224" s="393">
        <f t="shared" si="18"/>
        <v>0</v>
      </c>
      <c r="P224" s="393">
        <f t="shared" si="18"/>
        <v>0</v>
      </c>
      <c r="Q224" s="393">
        <f t="shared" si="18"/>
        <v>0</v>
      </c>
      <c r="R224" s="35"/>
      <c r="S224" s="35"/>
    </row>
    <row r="225" spans="1:19" ht="15" customHeight="1" thickBot="1">
      <c r="A225" s="847"/>
      <c r="B225" s="848"/>
      <c r="C225" s="849"/>
      <c r="D225" s="838"/>
      <c r="E225" s="853"/>
      <c r="F225" s="222" t="s">
        <v>271</v>
      </c>
      <c r="G225" s="393">
        <f t="shared" si="17"/>
        <v>1628</v>
      </c>
      <c r="H225" s="393">
        <f t="shared" si="17"/>
        <v>2087</v>
      </c>
      <c r="I225" s="393">
        <f t="shared" si="17"/>
        <v>2034</v>
      </c>
      <c r="J225" s="393">
        <f t="shared" si="17"/>
        <v>0</v>
      </c>
      <c r="K225" s="393">
        <f t="shared" si="18"/>
        <v>0</v>
      </c>
      <c r="L225" s="393">
        <f t="shared" si="18"/>
        <v>0</v>
      </c>
      <c r="M225" s="393">
        <f t="shared" si="18"/>
        <v>0</v>
      </c>
      <c r="N225" s="393">
        <f t="shared" si="18"/>
        <v>0</v>
      </c>
      <c r="O225" s="393">
        <f t="shared" si="18"/>
        <v>0</v>
      </c>
      <c r="P225" s="393">
        <f t="shared" si="18"/>
        <v>0</v>
      </c>
      <c r="Q225" s="393">
        <f t="shared" si="18"/>
        <v>0</v>
      </c>
      <c r="R225" s="35"/>
      <c r="S225" s="35"/>
    </row>
    <row r="226" spans="1:19">
      <c r="A226" s="831" t="str">
        <f>IF(ISBLANK(A209),"",(A209))</f>
        <v xml:space="preserve">MDR TB-1: Процент ранее излеченных ТБ пациентов, прошедших ТЛЧ (только бактериологически положительные случаи) </v>
      </c>
      <c r="B226" s="832"/>
      <c r="C226" s="833"/>
      <c r="D226" s="839" t="str">
        <f>IF(ISBLANK(D209),"",(D209))</f>
        <v xml:space="preserve"> Топ 10</v>
      </c>
      <c r="E226" s="850" t="str">
        <f>IF(ISBLANK(E209),"",(E209))</f>
        <v>да</v>
      </c>
      <c r="F226" s="395" t="s">
        <v>379</v>
      </c>
      <c r="G226" s="326">
        <f t="shared" si="17"/>
        <v>0.85</v>
      </c>
      <c r="H226" s="326">
        <f t="shared" si="17"/>
        <v>0.9</v>
      </c>
      <c r="I226" s="326">
        <f t="shared" si="17"/>
        <v>0.95</v>
      </c>
      <c r="J226" s="326">
        <f t="shared" si="17"/>
        <v>0</v>
      </c>
      <c r="K226" s="326">
        <f t="shared" si="18"/>
        <v>0</v>
      </c>
      <c r="L226" s="326">
        <f t="shared" si="18"/>
        <v>0</v>
      </c>
      <c r="M226" s="326">
        <f t="shared" si="18"/>
        <v>0</v>
      </c>
      <c r="N226" s="326">
        <f t="shared" si="18"/>
        <v>0</v>
      </c>
      <c r="O226" s="326">
        <f t="shared" si="18"/>
        <v>0</v>
      </c>
      <c r="P226" s="326">
        <f t="shared" si="18"/>
        <v>0</v>
      </c>
      <c r="Q226" s="326">
        <f t="shared" si="18"/>
        <v>0</v>
      </c>
      <c r="R226" s="35"/>
      <c r="S226" s="35"/>
    </row>
    <row r="227" spans="1:19" ht="15.75" thickBot="1">
      <c r="A227" s="834"/>
      <c r="B227" s="835"/>
      <c r="C227" s="836"/>
      <c r="D227" s="840"/>
      <c r="E227" s="851"/>
      <c r="F227" s="272" t="s">
        <v>271</v>
      </c>
      <c r="G227" s="327">
        <f t="shared" si="17"/>
        <v>0.96</v>
      </c>
      <c r="H227" s="327">
        <f t="shared" si="17"/>
        <v>0.95</v>
      </c>
      <c r="I227" s="327">
        <f t="shared" si="17"/>
        <v>0.96</v>
      </c>
      <c r="J227" s="327">
        <f t="shared" si="17"/>
        <v>0</v>
      </c>
      <c r="K227" s="326">
        <f t="shared" si="18"/>
        <v>0</v>
      </c>
      <c r="L227" s="326">
        <f t="shared" si="18"/>
        <v>0</v>
      </c>
      <c r="M227" s="326">
        <f t="shared" si="18"/>
        <v>0</v>
      </c>
      <c r="N227" s="326">
        <f t="shared" si="18"/>
        <v>0</v>
      </c>
      <c r="O227" s="326">
        <f t="shared" si="18"/>
        <v>0</v>
      </c>
      <c r="P227" s="326">
        <f t="shared" si="18"/>
        <v>0</v>
      </c>
      <c r="Q227" s="326">
        <f t="shared" si="18"/>
        <v>0</v>
      </c>
      <c r="R227" s="35"/>
      <c r="S227" s="35"/>
    </row>
    <row r="228" spans="1:19">
      <c r="A228" s="3"/>
      <c r="B228" s="3"/>
      <c r="C228" s="3"/>
      <c r="D228" s="3"/>
      <c r="E228" s="3"/>
      <c r="F228" s="3"/>
      <c r="G228" s="3"/>
      <c r="H228" s="3"/>
      <c r="I228" s="3"/>
      <c r="J228" s="3"/>
      <c r="K228" s="3"/>
      <c r="L228" s="3"/>
      <c r="M228"/>
      <c r="N228"/>
      <c r="O228" s="35"/>
      <c r="P228" s="35"/>
    </row>
    <row r="229" spans="1:19">
      <c r="M229"/>
      <c r="N229"/>
      <c r="O229" s="35"/>
      <c r="P229" s="35"/>
    </row>
    <row r="230" spans="1:19" ht="14.25" customHeight="1">
      <c r="M230"/>
      <c r="N230"/>
      <c r="O230" s="35"/>
      <c r="P230" s="35"/>
    </row>
    <row r="231" spans="1:19">
      <c r="M231"/>
      <c r="N231"/>
      <c r="O231" s="35"/>
      <c r="P231" s="35"/>
    </row>
  </sheetData>
  <mergeCells count="133">
    <mergeCell ref="B1:C1"/>
    <mergeCell ref="B8:C8"/>
    <mergeCell ref="A14:I14"/>
    <mergeCell ref="B6:C6"/>
    <mergeCell ref="D6:E6"/>
    <mergeCell ref="H6:I6"/>
    <mergeCell ref="H8:I8"/>
    <mergeCell ref="B10:C10"/>
    <mergeCell ref="D12:E12"/>
    <mergeCell ref="F12:I12"/>
    <mergeCell ref="A2:I2"/>
    <mergeCell ref="B4:C4"/>
    <mergeCell ref="D4:E4"/>
    <mergeCell ref="F10:I10"/>
    <mergeCell ref="A18:B18"/>
    <mergeCell ref="D10:E10"/>
    <mergeCell ref="B12:C12"/>
    <mergeCell ref="E211:E212"/>
    <mergeCell ref="A211:C212"/>
    <mergeCell ref="A26:B26"/>
    <mergeCell ref="A80:B80"/>
    <mergeCell ref="A69:C69"/>
    <mergeCell ref="A83:B83"/>
    <mergeCell ref="A29:M29"/>
    <mergeCell ref="A207:C208"/>
    <mergeCell ref="A209:C210"/>
    <mergeCell ref="A84:B84"/>
    <mergeCell ref="G16:H16"/>
    <mergeCell ref="C24:D24"/>
    <mergeCell ref="F24:G24"/>
    <mergeCell ref="H24:I24"/>
    <mergeCell ref="C18:E18"/>
    <mergeCell ref="A21:I21"/>
    <mergeCell ref="D209:D210"/>
    <mergeCell ref="A204:C204"/>
    <mergeCell ref="A205:C206"/>
    <mergeCell ref="E209:E210"/>
    <mergeCell ref="D211:D212"/>
    <mergeCell ref="E213:E214"/>
    <mergeCell ref="A213:C214"/>
    <mergeCell ref="E215:E216"/>
    <mergeCell ref="D215:D216"/>
    <mergeCell ref="D213:D214"/>
    <mergeCell ref="A226:C227"/>
    <mergeCell ref="D224:D225"/>
    <mergeCell ref="D226:D227"/>
    <mergeCell ref="A222:C223"/>
    <mergeCell ref="A224:C225"/>
    <mergeCell ref="E226:E227"/>
    <mergeCell ref="E224:E225"/>
    <mergeCell ref="D222:D223"/>
    <mergeCell ref="E222:E223"/>
    <mergeCell ref="A215:C216"/>
    <mergeCell ref="A126:A141"/>
    <mergeCell ref="A122:A125"/>
    <mergeCell ref="A81:B81"/>
    <mergeCell ref="A82:B82"/>
    <mergeCell ref="N31:N34"/>
    <mergeCell ref="D205:D206"/>
    <mergeCell ref="E205:E206"/>
    <mergeCell ref="E207:E208"/>
    <mergeCell ref="D207:D208"/>
    <mergeCell ref="E56:H56"/>
    <mergeCell ref="E159:E160"/>
    <mergeCell ref="A161:C162"/>
    <mergeCell ref="D161:D162"/>
    <mergeCell ref="E161:E162"/>
    <mergeCell ref="A163:C164"/>
    <mergeCell ref="D163:D164"/>
    <mergeCell ref="E163:E164"/>
    <mergeCell ref="A150:C150"/>
    <mergeCell ref="A151:C152"/>
    <mergeCell ref="D151:D152"/>
    <mergeCell ref="E151:E152"/>
    <mergeCell ref="A169:C170"/>
    <mergeCell ref="D169:D170"/>
    <mergeCell ref="E169:E170"/>
    <mergeCell ref="A171:C172"/>
    <mergeCell ref="D171:D172"/>
    <mergeCell ref="E171:E172"/>
    <mergeCell ref="A165:C166"/>
    <mergeCell ref="D165:D166"/>
    <mergeCell ref="E165:E166"/>
    <mergeCell ref="A167:C168"/>
    <mergeCell ref="D167:D168"/>
    <mergeCell ref="E167:E168"/>
    <mergeCell ref="A159:C160"/>
    <mergeCell ref="D159:D160"/>
    <mergeCell ref="A173:C174"/>
    <mergeCell ref="D173:D174"/>
    <mergeCell ref="A195:C196"/>
    <mergeCell ref="D195:D196"/>
    <mergeCell ref="E195:E196"/>
    <mergeCell ref="A197:C198"/>
    <mergeCell ref="D197:D198"/>
    <mergeCell ref="E197:E198"/>
    <mergeCell ref="A191:C192"/>
    <mergeCell ref="D191:D192"/>
    <mergeCell ref="E191:E192"/>
    <mergeCell ref="A193:C194"/>
    <mergeCell ref="D193:D194"/>
    <mergeCell ref="E193:E194"/>
    <mergeCell ref="A187:C188"/>
    <mergeCell ref="D187:D188"/>
    <mergeCell ref="E187:E188"/>
    <mergeCell ref="A189:C190"/>
    <mergeCell ref="D189:D190"/>
    <mergeCell ref="E189:E190"/>
    <mergeCell ref="E180:E181"/>
    <mergeCell ref="A182:C183"/>
    <mergeCell ref="A153:C154"/>
    <mergeCell ref="D153:D154"/>
    <mergeCell ref="E153:E154"/>
    <mergeCell ref="A155:C156"/>
    <mergeCell ref="D155:D156"/>
    <mergeCell ref="E155:E156"/>
    <mergeCell ref="A157:C158"/>
    <mergeCell ref="D157:D158"/>
    <mergeCell ref="E157:E158"/>
    <mergeCell ref="A199:C200"/>
    <mergeCell ref="D199:D200"/>
    <mergeCell ref="E199:E200"/>
    <mergeCell ref="E173:E174"/>
    <mergeCell ref="A175:C176"/>
    <mergeCell ref="D175:D176"/>
    <mergeCell ref="E175:E176"/>
    <mergeCell ref="A180:C181"/>
    <mergeCell ref="D180:D181"/>
    <mergeCell ref="D182:D183"/>
    <mergeCell ref="E182:E183"/>
    <mergeCell ref="A184:C185"/>
    <mergeCell ref="D184:D185"/>
    <mergeCell ref="E184:E185"/>
  </mergeCells>
  <phoneticPr fontId="30" type="noConversion"/>
  <conditionalFormatting sqref="A34 E32:G32 A32 L33:M33">
    <cfRule type="expression" dxfId="106" priority="28" stopIfTrue="1">
      <formula>+AND(A31&gt;=#REF!,A31&lt;=#REF!)</formula>
    </cfRule>
  </conditionalFormatting>
  <conditionalFormatting sqref="L34:M34">
    <cfRule type="expression" dxfId="105" priority="29" stopIfTrue="1">
      <formula>+AND(L32&gt;=#REF!,L32&lt;=#REF!)</formula>
    </cfRule>
  </conditionalFormatting>
  <conditionalFormatting sqref="B109:M109 B30:M30">
    <cfRule type="cellIs" dxfId="104" priority="32" stopIfTrue="1" operator="equal">
      <formula>$B$16</formula>
    </cfRule>
  </conditionalFormatting>
  <conditionalFormatting sqref="B12:C12">
    <cfRule type="cellIs" dxfId="103" priority="34" stopIfTrue="1" operator="equal">
      <formula>"C"</formula>
    </cfRule>
    <cfRule type="cellIs" dxfId="102" priority="35" stopIfTrue="1" operator="equal">
      <formula>"B2"</formula>
    </cfRule>
    <cfRule type="cellIs" dxfId="101" priority="36" stopIfTrue="1" operator="equal">
      <formula>"B1"</formula>
    </cfRule>
  </conditionalFormatting>
  <conditionalFormatting sqref="G221:Q221 G204:H204">
    <cfRule type="cellIs" dxfId="100" priority="43" stopIfTrue="1" operator="equal">
      <formula>$B$16</formula>
    </cfRule>
  </conditionalFormatting>
  <conditionalFormatting sqref="E33:K33">
    <cfRule type="expression" dxfId="99" priority="21" stopIfTrue="1">
      <formula>+AND(E32&gt;=#REF!,E32&lt;=#REF!)</formula>
    </cfRule>
  </conditionalFormatting>
  <conditionalFormatting sqref="E34:K34">
    <cfRule type="expression" dxfId="98" priority="20" stopIfTrue="1">
      <formula>+AND(E32&gt;=#REF!,E32&lt;=#REF!)</formula>
    </cfRule>
  </conditionalFormatting>
  <conditionalFormatting sqref="E56:H56">
    <cfRule type="expression" dxfId="97" priority="17" stopIfTrue="1">
      <formula>LEFT($E$56,3)="Все"</formula>
    </cfRule>
  </conditionalFormatting>
  <conditionalFormatting sqref="B33:C33 B31:B32">
    <cfRule type="expression" dxfId="96" priority="12" stopIfTrue="1">
      <formula>+AND(B30&gt;=#REF!,B30&lt;=#REF!)</formula>
    </cfRule>
  </conditionalFormatting>
  <conditionalFormatting sqref="B34:D34">
    <cfRule type="expression" dxfId="95" priority="13" stopIfTrue="1">
      <formula>+AND(B32&gt;=#REF!,B32&lt;=#REF!)</formula>
    </cfRule>
  </conditionalFormatting>
  <conditionalFormatting sqref="G150:Q150">
    <cfRule type="cellIs" dxfId="94" priority="11" stopIfTrue="1" operator="equal">
      <formula>$B$16</formula>
    </cfRule>
  </conditionalFormatting>
  <conditionalFormatting sqref="H179">
    <cfRule type="cellIs" dxfId="93" priority="6" stopIfTrue="1" operator="equal">
      <formula>$B$16</formula>
    </cfRule>
  </conditionalFormatting>
  <conditionalFormatting sqref="G179">
    <cfRule type="cellIs" dxfId="92" priority="9" stopIfTrue="1" operator="equal">
      <formula>$B$16</formula>
    </cfRule>
  </conditionalFormatting>
  <conditionalFormatting sqref="D32:D33">
    <cfRule type="expression" dxfId="91" priority="3" stopIfTrue="1">
      <formula>+AND(D31&gt;=#REF!,D31&lt;=#REF!)</formula>
    </cfRule>
  </conditionalFormatting>
  <conditionalFormatting sqref="I179:Q179">
    <cfRule type="cellIs" dxfId="90" priority="2" stopIfTrue="1" operator="equal">
      <formula>$B$16</formula>
    </cfRule>
  </conditionalFormatting>
  <conditionalFormatting sqref="I204:Q204">
    <cfRule type="cellIs" dxfId="89" priority="1" stopIfTrue="1" operator="equal">
      <formula>$B$16</formula>
    </cfRule>
  </conditionalFormatting>
  <dataValidations count="9">
    <dataValidation type="list" allowBlank="1" showInputMessage="1" showErrorMessage="1" sqref="F6 A122 IW142 SS142 ACO142 AMK142 AWG142 BGC142 BPY142 BZU142 CJQ142 CTM142 DDI142 DNE142 DXA142 EGW142 EQS142 FAO142 FKK142 FUG142 GEC142 GNY142 GXU142 HHQ142 HRM142 IBI142 ILE142 IVA142 JEW142 JOS142 JYO142 KIK142 KSG142 LCC142 LLY142 LVU142 MFQ142 MPM142 MZI142 NJE142 NTA142 OCW142 OMS142 OWO142 PGK142 PQG142 QAC142 QJY142 QTU142 RDQ142 RNM142 RXI142 SHE142 SRA142 TAW142 TKS142 TUO142 UEK142 UOG142 UYC142 VHY142 VRU142 WBQ142 WLM142 WVI142">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WVJ122:WVJ141 WLN122:WLN141 WBR122:WBR141 VRV122:VRV141 VHZ122:VHZ141 UYD122:UYD141 UOH122:UOH141 UEL122:UEL141 TUP122:TUP141 TKT122:TKT141 TAX122:TAX141 SRB122:SRB141 SHF122:SHF141 RXJ122:RXJ141 RNN122:RNN141 RDR122:RDR141 QTV122:QTV141 QJZ122:QJZ141 QAD122:QAD141 PQH122:PQH141 PGL122:PGL141 OWP122:OWP141 OMT122:OMT141 OCX122:OCX141 NTB122:NTB141 NJF122:NJF141 MZJ122:MZJ141 MPN122:MPN141 MFR122:MFR141 LVV122:LVV141 LLZ122:LLZ141 LCD122:LCD141 KSH122:KSH141 KIL122:KIL141 JYP122:JYP141 JOT122:JOT141 JEX122:JEX141 IVB122:IVB141 ILF122:ILF141 IBJ122:IBJ141 HRN122:HRN141 HHR122:HHR141 GXV122:GXV141 GNZ122:GNZ141 GED122:GED141 FUH122:FUH141 FKL122:FKL141 FAP122:FAP141 EQT122:EQT141 EGX122:EGX141 DXB122:DXB141 DNF122:DNF141 DDJ122:DDJ141 CTN122:CTN141 CJR122:CJR141 BZV122:BZV141 BPZ122:BPZ141 BGD122:BGD141 AWH122:AWH141 AML122:AML141 ACP122:ACP141 ST122:ST141 IX122:IX141 B126:B141">
      <formula1>мва</formula1>
    </dataValidation>
    <dataValidation type="list" allowBlank="1" showInputMessage="1" showErrorMessage="1" sqref="B122:B125 IX142:IX145 ST142:ST145 ACP142:ACP145 AML142:AML145 AWH142:AWH145 BGD142:BGD145 BPZ142:BPZ145 BZV142:BZV145 CJR142:CJR145 CTN142:CTN145 DDJ142:DDJ145 DNF142:DNF145 DXB142:DXB145 EGX142:EGX145 EQT142:EQT145 FAP142:FAP145 FKL142:FKL145 FUH142:FUH145 GED142:GED145 GNZ142:GNZ145 GXV142:GXV145 HHR142:HHR145 HRN142:HRN145 IBJ142:IBJ145 ILF142:ILF145 IVB142:IVB145 JEX142:JEX145 JOT142:JOT145 JYP142:JYP145 KIL142:KIL145 KSH142:KSH145 LCD142:LCD145 LLZ142:LLZ145 LVV142:LVV145 MFR142:MFR145 MPN142:MPN145 MZJ142:MZJ145 NJF142:NJF145 NTB142:NTB145 OCX142:OCX145 OMT142:OMT145 OWP142:OWP145 PGL142:PGL145 PQH142:PQH145 QAD142:QAD145 QJZ142:QJZ145 QTV142:QTV145 RDR142:RDR145 RNN142:RNN145 RXJ142:RXJ145 SHF142:SHF145 SRB142:SRB145 TAX142:TAX145 TKT142:TKT145 TUP142:TUP145 UEL142:UEL145 UOH142:UOH145 UYD142:UYD145 VHZ142:VHZ145 VRV142:VRV145 WBR142:WBR145 WLN142:WLN145 WVJ142:WVJ145">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21:Q221 D22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B11" sqref="B11"/>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37"/>
      <c r="H1" s="2"/>
      <c r="I1" s="2"/>
      <c r="J1" s="2"/>
    </row>
    <row r="2" spans="1:24" ht="25.5" customHeight="1"/>
    <row r="3" spans="1:24" ht="36">
      <c r="B3" s="903" t="str">
        <f>+"Панель показателей: "&amp;" "&amp;+IF('Ввод данных'!B4="Выберите","",'Ввод данных'!B4&amp;" - ")&amp;+IF('Ввод данных'!F6="Выберите","",'Ввод данных'!F6)</f>
        <v>Панель показателей:  Кыргызстан - ВИЧ/СПИД/ТБ</v>
      </c>
      <c r="C3" s="903"/>
      <c r="D3" s="903"/>
      <c r="E3" s="903"/>
      <c r="F3" s="903"/>
      <c r="G3" s="903"/>
      <c r="H3" s="903"/>
      <c r="I3" s="903"/>
      <c r="J3" s="903"/>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33" t="s">
        <v>92</v>
      </c>
      <c r="B6" s="904" t="str">
        <f>+IF('Ввод данных'!B4="Выберите","",'Ввод данных'!B4)</f>
        <v>Кыргызстан</v>
      </c>
      <c r="C6" s="904"/>
      <c r="D6" s="907" t="s">
        <v>317</v>
      </c>
      <c r="E6" s="907"/>
      <c r="F6" s="908" t="str">
        <f>+'Ввод данных'!F4</f>
        <v>«Эффективный контроль за туберкулезом и ВИЧ-инфекцией в Кыргызской Республике»</v>
      </c>
      <c r="G6" s="908"/>
      <c r="H6" s="908"/>
      <c r="I6" s="908"/>
      <c r="J6" s="908"/>
      <c r="K6" s="49"/>
      <c r="L6" s="80"/>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15.75">
      <c r="A9" s="307" t="s">
        <v>249</v>
      </c>
      <c r="B9" s="348" t="str">
        <f>+IF('Ввод данных'!F6="Please Select","",'Ввод данных'!F6)</f>
        <v>ВИЧ/СПИД/ТБ</v>
      </c>
      <c r="C9" s="200" t="s">
        <v>335</v>
      </c>
      <c r="D9" s="285" t="str">
        <f>+'Ввод данных'!B6</f>
        <v>KGZ-C-UNDP</v>
      </c>
      <c r="E9" s="906" t="s">
        <v>274</v>
      </c>
      <c r="F9" s="906"/>
      <c r="G9" s="286">
        <f>+IF(ISBLANK('Ввод данных'!B10),"",'Ввод данных'!B10)</f>
        <v>42552</v>
      </c>
      <c r="H9" s="366" t="s">
        <v>4</v>
      </c>
      <c r="I9" s="905">
        <f>+IF(ISBLANK('Ввод данных'!H6),"",'Ввод данных'!H6)</f>
        <v>24341578.491344798</v>
      </c>
      <c r="J9" s="905"/>
      <c r="K9" s="49"/>
      <c r="L9" s="49"/>
      <c r="M9" s="49"/>
      <c r="N9" s="49"/>
      <c r="O9" s="51"/>
      <c r="P9" s="50"/>
      <c r="Q9" s="51"/>
      <c r="R9" s="52"/>
      <c r="S9" s="17"/>
      <c r="T9" s="11"/>
      <c r="U9" s="11"/>
      <c r="V9" s="10"/>
      <c r="W9" s="10"/>
      <c r="X9" s="10"/>
    </row>
    <row r="10" spans="1:24" ht="15.75" customHeight="1">
      <c r="A10" s="307" t="s">
        <v>250</v>
      </c>
      <c r="B10" s="349">
        <f>+IF('Ввод данных'!F8="Please Select","",'Ввод данных'!F8)</f>
        <v>0</v>
      </c>
      <c r="C10" s="200" t="s">
        <v>256</v>
      </c>
      <c r="D10" s="347">
        <f>+IF('Ввод данных'!H8="Please Select","",'Ввод данных'!H8)</f>
        <v>0</v>
      </c>
      <c r="E10" s="897" t="s">
        <v>315</v>
      </c>
      <c r="F10" s="898"/>
      <c r="G10" s="896" t="str">
        <f>+'Ввод данных'!B8</f>
        <v>ПРООН</v>
      </c>
      <c r="H10" s="896"/>
      <c r="I10" s="896"/>
      <c r="J10" s="896"/>
      <c r="K10" s="53"/>
      <c r="L10" s="53"/>
      <c r="M10" s="49"/>
      <c r="N10" s="53"/>
      <c r="O10" s="51"/>
      <c r="P10" s="50"/>
      <c r="Q10" s="11"/>
      <c r="R10" s="52"/>
      <c r="S10" s="17"/>
      <c r="T10" s="11"/>
      <c r="U10" s="11"/>
    </row>
    <row r="11" spans="1:24" ht="31.5" customHeight="1">
      <c r="A11" s="307" t="s">
        <v>336</v>
      </c>
      <c r="B11" s="287" t="str">
        <f>+'Ввод данных'!B16</f>
        <v>P3</v>
      </c>
      <c r="C11" s="279" t="s">
        <v>272</v>
      </c>
      <c r="D11" s="288">
        <f>+IF(ISBLANK('Ввод данных'!D16),"",'Ввод данных'!D16)</f>
        <v>42917</v>
      </c>
      <c r="E11" s="906" t="s">
        <v>273</v>
      </c>
      <c r="F11" s="906"/>
      <c r="G11" s="288">
        <f>+IF(ISBLANK('Ввод данных'!F16),"",'Ввод данных'!F16)</f>
        <v>43100</v>
      </c>
      <c r="H11" s="365" t="s">
        <v>395</v>
      </c>
      <c r="I11" s="899" t="str">
        <f>+IF('Ввод данных'!B12="Пожалуйста Выберите","",'Ввод данных'!B12)</f>
        <v>A1</v>
      </c>
      <c r="J11" s="899"/>
      <c r="K11" s="236"/>
      <c r="L11" s="53"/>
      <c r="M11" s="49"/>
      <c r="N11" s="53"/>
      <c r="O11" s="53"/>
      <c r="P11" s="50"/>
      <c r="Q11" s="11"/>
      <c r="R11" s="52"/>
      <c r="S11" s="17"/>
      <c r="T11" s="12"/>
      <c r="U11" s="11"/>
    </row>
    <row r="12" spans="1:24" ht="31.5" customHeight="1">
      <c r="A12" s="351" t="s">
        <v>318</v>
      </c>
      <c r="B12" s="896" t="str">
        <f>+IF('Ввод данных'!F10="Пожалуйста Выберите","",'Ввод данных'!F10)</f>
        <v>UNOPS</v>
      </c>
      <c r="C12" s="896"/>
      <c r="D12" s="896"/>
      <c r="E12" s="900" t="s">
        <v>394</v>
      </c>
      <c r="F12" s="900"/>
      <c r="G12" s="896" t="str">
        <f>+'Ввод данных'!F12</f>
        <v>Арташес Мирзоян</v>
      </c>
      <c r="H12" s="896"/>
      <c r="I12" s="896"/>
      <c r="J12" s="896"/>
      <c r="K12" s="53"/>
      <c r="L12" s="53"/>
      <c r="M12" s="49"/>
      <c r="N12" s="53"/>
      <c r="O12" s="17"/>
      <c r="P12" s="50"/>
      <c r="Q12" s="11"/>
      <c r="R12" s="52"/>
      <c r="S12" s="17"/>
      <c r="T12" s="11"/>
      <c r="U12" s="54"/>
      <c r="V12" s="11"/>
      <c r="W12" s="12"/>
      <c r="X12" s="11"/>
    </row>
    <row r="13" spans="1:24" ht="27.75" customHeight="1">
      <c r="A13" s="350" t="s">
        <v>393</v>
      </c>
      <c r="B13" s="896" t="str">
        <f>+'Ввод данных'!C18</f>
        <v>ПРООН</v>
      </c>
      <c r="C13" s="896"/>
      <c r="D13" s="896"/>
      <c r="E13" s="900" t="s">
        <v>275</v>
      </c>
      <c r="F13" s="900"/>
      <c r="G13" s="901">
        <f>+IF(ISBLANK('Ввод данных'!I16),"",'Ввод данных'!I16)</f>
        <v>43202</v>
      </c>
      <c r="H13" s="902"/>
      <c r="I13" s="902"/>
      <c r="J13" s="902"/>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9"/>
      <c r="D16" s="16"/>
      <c r="E16" s="30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88" priority="1" stopIfTrue="1" operator="equal">
      <formula>"C"</formula>
    </cfRule>
    <cfRule type="cellIs" dxfId="87" priority="2" stopIfTrue="1" operator="equal">
      <formula>"B2"</formula>
    </cfRule>
    <cfRule type="cellIs" dxfId="86"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10" zoomScale="130" zoomScaleNormal="130" workbookViewId="0">
      <selection activeCell="O20" sqref="O20"/>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425781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c r="M2" s="918"/>
      <c r="N2" s="1"/>
      <c r="O2" s="1"/>
      <c r="P2" s="1"/>
      <c r="Q2" s="1"/>
    </row>
    <row r="3" spans="2:17">
      <c r="B3" s="352">
        <f>+IF('Ввод данных'!F8="Выберите","",'Ввод данных'!F8)</f>
        <v>0</v>
      </c>
      <c r="C3" s="923"/>
      <c r="D3" s="923"/>
      <c r="E3" s="922"/>
      <c r="F3" s="922"/>
      <c r="G3" s="922"/>
      <c r="H3" s="922"/>
      <c r="I3" s="922"/>
      <c r="J3" s="922"/>
      <c r="K3" s="920" t="str">
        <f>+'Ввод данных'!A16</f>
        <v>Отчетный период</v>
      </c>
      <c r="L3" s="920"/>
      <c r="M3" s="180" t="str">
        <f>+'Ввод данных'!B16</f>
        <v>P3</v>
      </c>
      <c r="N3" s="81"/>
    </row>
    <row r="4" spans="2:17" ht="23.25">
      <c r="B4" s="367" t="str">
        <f>+'Ввод данных'!A12</f>
        <v>Последняя оценка:</v>
      </c>
      <c r="C4" s="924" t="str">
        <f>+IF('Ввод данных'!B12="Выберите","",'Ввод данных'!B12)</f>
        <v>A1</v>
      </c>
      <c r="D4" s="924"/>
      <c r="E4" s="922" t="str">
        <f>+'Ввод данных'!B8</f>
        <v>ПРООН</v>
      </c>
      <c r="F4" s="922"/>
      <c r="G4" s="922"/>
      <c r="H4" s="922"/>
      <c r="I4" s="922"/>
      <c r="J4" s="922"/>
      <c r="K4" s="920" t="str">
        <f>+'Ввод данных'!C16</f>
        <v>с:</v>
      </c>
      <c r="L4" s="921"/>
      <c r="M4" s="182">
        <f>+IF(ISBLANK('Ввод данных'!D16),"",'Ввод данных'!D16)</f>
        <v>42917</v>
      </c>
    </row>
    <row r="5" spans="2:17" ht="18.75" customHeight="1">
      <c r="B5" s="117"/>
      <c r="C5" s="117"/>
      <c r="D5" s="919" t="str">
        <f>+'Ввод данных'!F4</f>
        <v>«Эффективный контроль за туберкулезом и ВИЧ-инфекцией в Кыргызской Республике»</v>
      </c>
      <c r="E5" s="919"/>
      <c r="F5" s="919"/>
      <c r="G5" s="919"/>
      <c r="H5" s="919"/>
      <c r="I5" s="919"/>
      <c r="J5" s="919"/>
      <c r="K5" s="919"/>
      <c r="L5" s="117" t="str">
        <f>+'Ввод данных'!E16</f>
        <v>до:</v>
      </c>
      <c r="M5" s="182">
        <f>+IF(ISBLANK('Ввод данных'!F16),"",'Ввод данных'!F16)</f>
        <v>43100</v>
      </c>
    </row>
    <row r="6" spans="2:17" ht="18.75">
      <c r="B6" s="121"/>
      <c r="C6" s="117"/>
      <c r="D6" s="118"/>
      <c r="E6" s="925" t="s">
        <v>381</v>
      </c>
      <c r="F6" s="925"/>
      <c r="G6" s="925"/>
      <c r="H6" s="925"/>
      <c r="I6" s="925"/>
      <c r="J6" s="925"/>
      <c r="K6" s="3"/>
      <c r="L6" s="3"/>
      <c r="M6" s="3"/>
    </row>
    <row r="7" spans="2:17" ht="10.5" customHeight="1">
      <c r="B7" s="122"/>
      <c r="C7" s="123"/>
      <c r="D7" s="124"/>
      <c r="E7" s="125"/>
      <c r="F7" s="125"/>
      <c r="G7" s="126"/>
      <c r="H7" s="126"/>
      <c r="I7" s="126"/>
      <c r="J7" s="126"/>
      <c r="K7" s="120"/>
      <c r="L7" s="120"/>
      <c r="M7" s="119"/>
    </row>
    <row r="8" spans="2:17">
      <c r="B8" s="185" t="str">
        <f>+'Ввод данных'!A27&amp; " - в ("&amp;'Ввод данных'!C26&amp;")  "&amp;+K3&amp;" "&amp;+M3</f>
        <v>F1: Бюджет и выплаты Глобальным фондом - в ($)  Отчетный период P3</v>
      </c>
      <c r="C8" s="127"/>
      <c r="D8" s="2"/>
      <c r="E8" s="2"/>
      <c r="F8" s="2"/>
      <c r="J8" s="185" t="str">
        <f>+'Ввод данных'!A58&amp; " - в ("&amp;'Ввод данных'!C26&amp;")         "&amp;+K3&amp;" "&amp;+M3</f>
        <v>F3: Выплаты и расходы - в ($)         Отчетный период P3</v>
      </c>
      <c r="K8" s="3"/>
      <c r="L8" s="3"/>
      <c r="M8" s="3"/>
    </row>
    <row r="9" spans="2:17" ht="21.75" customHeight="1">
      <c r="B9" s="290" t="s">
        <v>435</v>
      </c>
      <c r="C9" s="931" t="s">
        <v>490</v>
      </c>
      <c r="D9" s="912"/>
      <c r="E9" s="912"/>
      <c r="F9" s="913"/>
      <c r="J9" s="291" t="s">
        <v>435</v>
      </c>
      <c r="K9" s="909" t="s">
        <v>491</v>
      </c>
      <c r="L9" s="912"/>
      <c r="M9" s="913"/>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86" t="str">
        <f>+'Ввод данных'!A36&amp; " - в ("&amp;'Ввод данных'!C26&amp;")  "&amp;+K3&amp;" "&amp;+M3</f>
        <v>F2: Бюджет и фактические расходы согласно задачам гранта - в ($)  Отчетный период P3</v>
      </c>
      <c r="C22" s="2"/>
      <c r="D22" s="2"/>
      <c r="E22" s="2"/>
      <c r="F22" s="2"/>
      <c r="J22" s="186" t="str">
        <f>+'Ввод данных'!A67&amp;"      "&amp;+K3&amp;" "&amp;+M3</f>
        <v>F4: Последний отчетный и платежный цикл ОР      Отчетный период P3</v>
      </c>
      <c r="L22" s="3"/>
      <c r="M22" s="3"/>
    </row>
    <row r="23" spans="1:13" ht="25.5" customHeight="1">
      <c r="B23" s="290" t="s">
        <v>435</v>
      </c>
      <c r="C23" s="909" t="s">
        <v>492</v>
      </c>
      <c r="D23" s="912"/>
      <c r="E23" s="912"/>
      <c r="F23" s="913"/>
      <c r="G23" s="304"/>
      <c r="H23" s="304"/>
      <c r="I23" s="304"/>
      <c r="J23" s="290" t="s">
        <v>435</v>
      </c>
      <c r="K23" s="909" t="s">
        <v>493</v>
      </c>
      <c r="L23" s="910"/>
      <c r="M23" s="911"/>
    </row>
    <row r="24" spans="1:13" ht="15.75" thickBot="1">
      <c r="B24" s="194"/>
      <c r="C24" s="194"/>
      <c r="D24" s="194"/>
      <c r="E24" s="194"/>
      <c r="F24" s="194"/>
      <c r="G24" s="194"/>
      <c r="H24" s="194"/>
      <c r="I24" s="194"/>
      <c r="J24" s="195"/>
      <c r="K24" s="195"/>
      <c r="L24" s="194"/>
      <c r="M24" s="194"/>
    </row>
    <row r="25" spans="1:13" ht="29.25" customHeight="1" thickBot="1">
      <c r="B25" s="3"/>
      <c r="C25" s="3"/>
      <c r="D25" s="3"/>
      <c r="E25" s="3"/>
      <c r="F25" s="3"/>
      <c r="G25" s="277"/>
      <c r="H25" s="277"/>
      <c r="I25" s="277"/>
      <c r="J25" s="926" t="s">
        <v>364</v>
      </c>
      <c r="K25" s="927"/>
      <c r="L25" s="927"/>
      <c r="M25" s="928"/>
    </row>
    <row r="26" spans="1:13" ht="24.75">
      <c r="B26" s="3"/>
      <c r="C26" s="3"/>
      <c r="D26" s="3"/>
      <c r="E26" s="3"/>
      <c r="F26" s="3"/>
      <c r="G26" s="252"/>
      <c r="H26" s="252"/>
      <c r="I26" s="252"/>
      <c r="J26" s="929"/>
      <c r="K26" s="930"/>
      <c r="L26" s="262" t="s">
        <v>356</v>
      </c>
      <c r="M26" s="263" t="s">
        <v>357</v>
      </c>
    </row>
    <row r="27" spans="1:13" ht="23.25" customHeight="1">
      <c r="B27" s="3"/>
      <c r="C27" s="3"/>
      <c r="D27" s="3"/>
      <c r="E27" s="3"/>
      <c r="F27" s="3"/>
      <c r="G27" s="278"/>
      <c r="H27" s="278"/>
      <c r="I27" s="278"/>
      <c r="J27" s="914" t="str">
        <f>'Ввод данных'!A71</f>
        <v xml:space="preserve">Сколько дней понадобилось для подачи ИОР/ЗПС в офис МАФ </v>
      </c>
      <c r="K27" s="915"/>
      <c r="L27" s="264">
        <f>+'Ввод данных'!C71</f>
        <v>94</v>
      </c>
      <c r="M27" s="261">
        <f>+'Ввод данных'!D71</f>
        <v>94</v>
      </c>
    </row>
    <row r="28" spans="1:13" ht="21" customHeight="1">
      <c r="B28" s="3"/>
      <c r="C28" s="3"/>
      <c r="D28" s="3"/>
      <c r="E28" s="3"/>
      <c r="F28" s="3"/>
      <c r="G28" s="278"/>
      <c r="H28" s="278"/>
      <c r="I28" s="278"/>
      <c r="J28" s="914" t="str">
        <f>'Ввод данных'!A72</f>
        <v xml:space="preserve">Спустя сколько дней ОР получил платеж </v>
      </c>
      <c r="K28" s="915"/>
      <c r="L28" s="264">
        <f>+'Ввод данных'!C72</f>
        <v>60</v>
      </c>
      <c r="M28" s="261" t="str">
        <f>+'Ввод данных'!D72</f>
        <v>н/п</v>
      </c>
    </row>
    <row r="29" spans="1:13" ht="21" customHeight="1" thickBot="1">
      <c r="B29" s="3"/>
      <c r="C29" s="3"/>
      <c r="D29" s="3"/>
      <c r="E29" s="3"/>
      <c r="F29" s="3"/>
      <c r="G29" s="278"/>
      <c r="H29" s="278"/>
      <c r="I29" s="278"/>
      <c r="J29" s="916" t="str">
        <f>'Ввод данных'!A73</f>
        <v>Спустя сколько дней суб-реципиенты получили платежи</v>
      </c>
      <c r="K29" s="917"/>
      <c r="L29" s="265">
        <f>+'Ввод данных'!C73</f>
        <v>10</v>
      </c>
      <c r="M29" s="266" t="str">
        <f>+'Ввод данных'!D73</f>
        <v>н/п</v>
      </c>
    </row>
    <row r="30" spans="1:13">
      <c r="B30" s="3"/>
      <c r="C30" s="3"/>
      <c r="D30" s="3"/>
      <c r="E30" s="3"/>
      <c r="F30" s="3"/>
      <c r="G30" s="3"/>
      <c r="H30" s="3"/>
      <c r="I30" s="3"/>
      <c r="J30" s="3"/>
      <c r="K30" s="3"/>
      <c r="L30" s="3"/>
      <c r="M30" s="3"/>
    </row>
    <row r="31" spans="1:13">
      <c r="B31" s="3"/>
      <c r="C31" s="15"/>
      <c r="D31" s="210"/>
      <c r="E31" s="3"/>
      <c r="F31" s="3"/>
      <c r="G31" s="3"/>
      <c r="H31" s="3"/>
      <c r="I31" s="3"/>
      <c r="J31" s="3"/>
      <c r="K31" s="3"/>
      <c r="L31" s="3"/>
      <c r="M31" s="3"/>
    </row>
    <row r="32" spans="1:13">
      <c r="B32" s="3"/>
      <c r="C32" s="15"/>
      <c r="D32" s="210"/>
      <c r="E32" s="3"/>
      <c r="F32" s="3"/>
      <c r="G32" s="3"/>
      <c r="H32" s="3"/>
      <c r="I32" s="3"/>
      <c r="J32" s="3"/>
      <c r="K32" s="3"/>
      <c r="L32" s="3"/>
      <c r="M32" s="3"/>
    </row>
    <row r="34" spans="2:5">
      <c r="B34" s="386" t="s">
        <v>406</v>
      </c>
      <c r="E34" s="19"/>
    </row>
    <row r="35" spans="2:5">
      <c r="B35" s="385"/>
    </row>
    <row r="36" spans="2:5">
      <c r="B36" s="386" t="s">
        <v>407</v>
      </c>
    </row>
  </sheetData>
  <sheetProtection password="CFC9" sheet="1"/>
  <mergeCells count="18">
    <mergeCell ref="E6:J6"/>
    <mergeCell ref="J25:M25"/>
    <mergeCell ref="J26:K26"/>
    <mergeCell ref="J27:K27"/>
    <mergeCell ref="C9:F9"/>
    <mergeCell ref="B2:M2"/>
    <mergeCell ref="D5:K5"/>
    <mergeCell ref="K4:L4"/>
    <mergeCell ref="K3:L3"/>
    <mergeCell ref="E3:J3"/>
    <mergeCell ref="C3:D3"/>
    <mergeCell ref="C4:D4"/>
    <mergeCell ref="E4:J4"/>
    <mergeCell ref="K23:M23"/>
    <mergeCell ref="C23:F23"/>
    <mergeCell ref="K9:M9"/>
    <mergeCell ref="J28:K28"/>
    <mergeCell ref="J29:K29"/>
  </mergeCells>
  <phoneticPr fontId="30" type="noConversion"/>
  <conditionalFormatting sqref="C4:D4">
    <cfRule type="cellIs" dxfId="85" priority="3" stopIfTrue="1" operator="equal">
      <formula>"C"</formula>
    </cfRule>
    <cfRule type="cellIs" dxfId="84" priority="4" stopIfTrue="1" operator="equal">
      <formula>"B2"</formula>
    </cfRule>
    <cfRule type="cellIs" dxfId="83" priority="5" stopIfTrue="1" operator="equal">
      <formula>"B1"</formula>
    </cfRule>
  </conditionalFormatting>
  <conditionalFormatting sqref="M27:M29">
    <cfRule type="expression" dxfId="82" priority="1" stopIfTrue="1">
      <formula>$M27&gt;$L27</formula>
    </cfRule>
    <cfRule type="expression" dxfId="81"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52"/>
  <sheetViews>
    <sheetView showGridLines="0" topLeftCell="A34" zoomScaleNormal="100" workbookViewId="0">
      <selection activeCell="F58" sqref="F58"/>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18.42578125" customWidth="1"/>
    <col min="11" max="11" width="13.7109375" customWidth="1"/>
    <col min="12" max="12" width="13.5703125" customWidth="1"/>
    <col min="13" max="13" width="14.140625" customWidth="1"/>
  </cols>
  <sheetData>
    <row r="1" spans="1:17" ht="28.5" customHeight="1">
      <c r="C1" s="206"/>
      <c r="E1" s="207"/>
    </row>
    <row r="2" spans="1:17"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c r="M2" s="918"/>
      <c r="N2" s="25"/>
      <c r="O2" s="25"/>
      <c r="P2" s="25"/>
      <c r="Q2" s="25"/>
    </row>
    <row r="3" spans="1:17" ht="22.5" customHeight="1">
      <c r="A3" s="357"/>
      <c r="B3" s="358">
        <f>+IF('Ввод данных'!F8="Пожалуйста выберите","",'Ввод данных'!F8)</f>
        <v>0</v>
      </c>
      <c r="C3" s="939">
        <f>+IF('Ввод данных'!H8="Пожалуйста выберите","",'Ввод данных'!H8)</f>
        <v>0</v>
      </c>
      <c r="D3" s="939"/>
      <c r="E3" s="933"/>
      <c r="F3" s="933"/>
      <c r="G3" s="933"/>
      <c r="H3" s="933"/>
      <c r="I3" s="933"/>
      <c r="J3" s="933"/>
      <c r="K3" s="934" t="str">
        <f>+'Ввод данных'!A16</f>
        <v>Отчетный период</v>
      </c>
      <c r="L3" s="934"/>
      <c r="M3" s="180" t="str">
        <f>+'Ввод данных'!B16</f>
        <v>P3</v>
      </c>
    </row>
    <row r="4" spans="1:17" ht="25.5" customHeight="1">
      <c r="A4" s="357"/>
      <c r="B4" s="370" t="str">
        <f>+'Ввод данных'!A12</f>
        <v>Последняя оценка:</v>
      </c>
      <c r="C4" s="932" t="str">
        <f>+IF('Ввод данных'!B12="Выберите","",'Ввод данных'!B12)</f>
        <v>A1</v>
      </c>
      <c r="D4" s="932"/>
      <c r="E4" s="933" t="str">
        <f>+'Ввод данных'!B8</f>
        <v>ПРООН</v>
      </c>
      <c r="F4" s="933"/>
      <c r="G4" s="933"/>
      <c r="H4" s="933"/>
      <c r="I4" s="933"/>
      <c r="J4" s="933"/>
      <c r="K4" s="934" t="str">
        <f>+'Ввод данных'!C16</f>
        <v>с:</v>
      </c>
      <c r="L4" s="934"/>
      <c r="M4" s="182">
        <f>+IF(ISBLANK('Ввод данных'!D16),"",'Ввод данных'!D16)</f>
        <v>42917</v>
      </c>
    </row>
    <row r="5" spans="1:17" ht="18.75" customHeight="1">
      <c r="B5" s="23"/>
      <c r="C5" s="23"/>
      <c r="D5" s="933" t="str">
        <f>+'Ввод данных'!F4</f>
        <v>«Эффективный контроль за туберкулезом и ВИЧ-инфекцией в Кыргызской Республике»</v>
      </c>
      <c r="E5" s="933"/>
      <c r="F5" s="933"/>
      <c r="G5" s="933"/>
      <c r="H5" s="933"/>
      <c r="I5" s="933"/>
      <c r="J5" s="933"/>
      <c r="K5" s="933"/>
      <c r="L5" s="23" t="str">
        <f>+'Ввод данных'!E16</f>
        <v>до:</v>
      </c>
      <c r="M5" s="182">
        <f>+IF(ISBLANK('Ввод данных'!F16),"",'Ввод данных'!F16)</f>
        <v>43100</v>
      </c>
    </row>
    <row r="6" spans="1:17" ht="18.75">
      <c r="B6" s="22"/>
      <c r="C6" s="23"/>
      <c r="D6" s="24"/>
      <c r="E6" s="361" t="s">
        <v>392</v>
      </c>
      <c r="F6" s="361"/>
      <c r="G6" s="361"/>
      <c r="H6" s="361"/>
      <c r="I6" s="361"/>
      <c r="J6" s="361"/>
    </row>
    <row r="7" spans="1:17" ht="22.5" customHeight="1" thickBot="1">
      <c r="B7" s="937" t="str">
        <f>+'Ввод данных'!A78&amp;" "&amp;+K3&amp;"   "&amp;+M3</f>
        <v>M1: Статус Предварительных условий (ПУ) и Действий с установленным сроком исполнения (ДУС) Отчетный период   P3</v>
      </c>
      <c r="C7" s="937"/>
      <c r="D7" s="937"/>
      <c r="E7" s="937"/>
      <c r="F7" s="937"/>
      <c r="G7" s="360"/>
      <c r="I7" s="305" t="str">
        <f>+'Ввод данных'!A87&amp;"                                       "&amp;+K3&amp;"  "&amp;+M3</f>
        <v>M2: Статус ключевых руководящих должностей в структуре ОР                                       Отчетный период  P3</v>
      </c>
    </row>
    <row r="8" spans="1:17" ht="24.75" customHeight="1" thickBot="1">
      <c r="B8" s="591" t="s">
        <v>435</v>
      </c>
      <c r="C8" s="935" t="s">
        <v>645</v>
      </c>
      <c r="D8" s="935"/>
      <c r="E8" s="935"/>
      <c r="F8" s="936"/>
      <c r="G8" s="592"/>
      <c r="H8" s="593"/>
      <c r="I8" s="591" t="s">
        <v>435</v>
      </c>
      <c r="J8" s="935" t="s">
        <v>646</v>
      </c>
      <c r="K8" s="935"/>
      <c r="L8" s="935"/>
      <c r="M8" s="936"/>
    </row>
    <row r="9" spans="1:17">
      <c r="B9" s="19"/>
      <c r="C9" s="19"/>
      <c r="D9" s="19"/>
      <c r="E9" s="19"/>
      <c r="F9" s="19"/>
      <c r="G9" s="19"/>
      <c r="H9" s="19"/>
      <c r="I9" s="19"/>
    </row>
    <row r="10" spans="1:17">
      <c r="A10" s="46"/>
      <c r="B10" s="19"/>
      <c r="C10" s="19"/>
      <c r="D10" s="938"/>
      <c r="E10" s="686"/>
      <c r="F10" s="686"/>
      <c r="G10" s="343"/>
      <c r="H10" s="343"/>
      <c r="I10" s="19"/>
      <c r="O10" s="48"/>
      <c r="P10" s="48"/>
      <c r="Q10" s="47"/>
    </row>
    <row r="11" spans="1:17">
      <c r="B11" s="19"/>
      <c r="C11" s="27"/>
      <c r="D11" s="938"/>
      <c r="E11" s="27"/>
      <c r="F11" s="27"/>
      <c r="G11" s="27"/>
      <c r="H11" s="27"/>
      <c r="I11" s="27"/>
      <c r="O11" s="19"/>
      <c r="P11" s="19"/>
    </row>
    <row r="12" spans="1:17">
      <c r="B12" s="19"/>
      <c r="C12" s="584"/>
      <c r="D12" s="584"/>
      <c r="E12" s="584"/>
      <c r="F12" s="584"/>
      <c r="G12" s="584"/>
      <c r="H12" s="584"/>
      <c r="I12" s="584"/>
      <c r="O12" s="19"/>
      <c r="P12" s="19"/>
    </row>
    <row r="13" spans="1:17">
      <c r="B13" s="19"/>
      <c r="C13" s="584"/>
      <c r="D13" s="584"/>
      <c r="E13" s="584"/>
      <c r="F13" s="584"/>
      <c r="G13" s="584"/>
      <c r="H13" s="584"/>
      <c r="I13" s="584"/>
      <c r="O13" s="19"/>
      <c r="P13" s="19"/>
    </row>
    <row r="14" spans="1:17">
      <c r="B14" s="19"/>
      <c r="C14" s="584"/>
      <c r="D14" s="584"/>
      <c r="E14" s="584"/>
      <c r="F14" s="584"/>
      <c r="G14" s="584"/>
      <c r="H14" s="584"/>
      <c r="I14" s="584"/>
      <c r="O14" s="19"/>
      <c r="P14" s="19"/>
    </row>
    <row r="15" spans="1:17">
      <c r="B15" s="27"/>
      <c r="C15" s="77"/>
      <c r="D15" s="78"/>
      <c r="E15" s="78"/>
      <c r="F15" s="78"/>
      <c r="G15" s="78"/>
      <c r="H15" s="78"/>
      <c r="I15" s="79"/>
    </row>
    <row r="16" spans="1:17">
      <c r="B16" s="27"/>
      <c r="C16" s="77"/>
      <c r="D16" s="78"/>
      <c r="E16" s="78"/>
      <c r="F16" s="78"/>
      <c r="G16" s="78"/>
      <c r="H16" s="78"/>
      <c r="I16" s="79"/>
    </row>
    <row r="17" spans="2:14" ht="40.5" customHeight="1"/>
    <row r="18" spans="2:14" ht="27.75" customHeight="1" thickBot="1">
      <c r="B18" s="305" t="str">
        <f>+'Ввод данных'!A93&amp;"                                                                                                  "&amp;+K3&amp;" "&amp;+M3</f>
        <v>M3: Контрактные соглашения (СР)                                                                                                   Отчетный период P3</v>
      </c>
      <c r="I18" s="305" t="str">
        <f>+'Ввод данных'!A99&amp;"                                       "&amp;+K3&amp;" "&amp;+M3</f>
        <v>M4: Количество полных отчетов, полученных к установленному сроку                                       Отчетный период P3</v>
      </c>
    </row>
    <row r="19" spans="2:14" ht="79.5" customHeight="1" thickBot="1">
      <c r="B19" s="590" t="s">
        <v>435</v>
      </c>
      <c r="C19" s="935" t="s">
        <v>647</v>
      </c>
      <c r="D19" s="935"/>
      <c r="E19" s="935"/>
      <c r="F19" s="936"/>
      <c r="I19" s="590" t="s">
        <v>616</v>
      </c>
      <c r="J19" s="935" t="s">
        <v>648</v>
      </c>
      <c r="K19" s="935"/>
      <c r="L19" s="935"/>
      <c r="M19" s="936"/>
    </row>
    <row r="20" spans="2:14" ht="27.75" customHeight="1">
      <c r="B20" s="305"/>
    </row>
    <row r="21" spans="2:14" ht="27.75" customHeight="1">
      <c r="B21" s="305"/>
      <c r="I21" s="305"/>
    </row>
    <row r="22" spans="2:14" ht="27.75" customHeight="1">
      <c r="B22" s="305"/>
      <c r="I22" s="305"/>
    </row>
    <row r="23" spans="2:14" ht="27.75" customHeight="1">
      <c r="B23" s="305"/>
    </row>
    <row r="24" spans="2:14">
      <c r="B24" s="28"/>
      <c r="I24" s="29"/>
    </row>
    <row r="25" spans="2:14">
      <c r="N25" s="81"/>
    </row>
    <row r="28" spans="2:14" ht="24.75" customHeight="1">
      <c r="B28" s="940"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8" s="940"/>
      <c r="D28" s="940"/>
      <c r="E28" s="940"/>
      <c r="F28" s="940"/>
      <c r="I28" s="941" t="str">
        <f>+'Ввод данных'!A120&amp;"                    "&amp;+K3&amp;"  "&amp;+M3</f>
        <v>M6: Разница между текущим и резервным запасами                    Отчетный период  P3</v>
      </c>
      <c r="J28" s="941"/>
      <c r="K28" s="941"/>
      <c r="L28" s="941"/>
      <c r="M28" s="941"/>
    </row>
    <row r="29" spans="2:14" ht="55.5" customHeight="1">
      <c r="B29" s="290" t="s">
        <v>435</v>
      </c>
      <c r="C29" s="943" t="s">
        <v>677</v>
      </c>
      <c r="D29" s="943"/>
      <c r="E29" s="943"/>
      <c r="F29" s="943"/>
      <c r="G29" s="363"/>
      <c r="H29" s="306"/>
      <c r="I29" s="585" t="s">
        <v>617</v>
      </c>
      <c r="J29" s="944" t="s">
        <v>676</v>
      </c>
      <c r="K29" s="944"/>
      <c r="L29" s="944"/>
      <c r="M29" s="944"/>
    </row>
    <row r="30" spans="2:14" ht="82.5" customHeight="1" thickBot="1">
      <c r="I30" s="585" t="s">
        <v>616</v>
      </c>
      <c r="J30" s="944" t="s">
        <v>678</v>
      </c>
      <c r="K30" s="944"/>
      <c r="L30" s="944"/>
      <c r="M30" s="944"/>
    </row>
    <row r="31" spans="2:14" ht="102.75">
      <c r="F31" s="280"/>
      <c r="G31" s="280"/>
      <c r="H31" s="280"/>
      <c r="I31" s="586" t="s">
        <v>269</v>
      </c>
      <c r="J31" s="587" t="s">
        <v>384</v>
      </c>
      <c r="K31" s="588" t="s">
        <v>382</v>
      </c>
      <c r="L31" s="588" t="s">
        <v>383</v>
      </c>
      <c r="M31" s="589" t="s">
        <v>337</v>
      </c>
    </row>
    <row r="32" spans="2:14" ht="15" customHeight="1">
      <c r="F32" s="280"/>
      <c r="G32" s="280"/>
      <c r="H32" s="280"/>
      <c r="I32" s="945" t="str">
        <f>+'Ввод данных'!A122</f>
        <v>ВИЧ / СПИД</v>
      </c>
      <c r="J32" s="625" t="s">
        <v>44</v>
      </c>
      <c r="K32" s="626">
        <v>4.8219326818675352</v>
      </c>
      <c r="L32" s="626">
        <v>3</v>
      </c>
      <c r="M32" s="627">
        <v>1.8219326818675352</v>
      </c>
    </row>
    <row r="33" spans="2:13">
      <c r="F33" s="280"/>
      <c r="G33" s="280"/>
      <c r="H33" s="280"/>
      <c r="I33" s="945"/>
      <c r="J33" s="625" t="s">
        <v>429</v>
      </c>
      <c r="K33" s="626">
        <v>11.777121212121212</v>
      </c>
      <c r="L33" s="626">
        <v>3</v>
      </c>
      <c r="M33" s="627">
        <v>8.7771212121212123</v>
      </c>
    </row>
    <row r="34" spans="2:13">
      <c r="F34" s="280"/>
      <c r="G34" s="280"/>
      <c r="H34" s="280"/>
      <c r="I34" s="945"/>
      <c r="J34" s="625" t="s">
        <v>39</v>
      </c>
      <c r="K34" s="626">
        <v>5.0369918699186993</v>
      </c>
      <c r="L34" s="626">
        <v>3</v>
      </c>
      <c r="M34" s="627">
        <v>2.0369918699186993</v>
      </c>
    </row>
    <row r="35" spans="2:13">
      <c r="F35" s="280"/>
      <c r="G35" s="280"/>
      <c r="H35" s="280"/>
      <c r="I35" s="945"/>
      <c r="J35" s="625" t="s">
        <v>42</v>
      </c>
      <c r="K35" s="626">
        <v>5.6277777777777782</v>
      </c>
      <c r="L35" s="626">
        <v>3</v>
      </c>
      <c r="M35" s="627">
        <v>2.6277777777777782</v>
      </c>
    </row>
    <row r="36" spans="2:13">
      <c r="F36" s="280"/>
      <c r="G36" s="280"/>
      <c r="H36" s="280"/>
      <c r="I36" s="945"/>
      <c r="J36" s="625" t="s">
        <v>675</v>
      </c>
      <c r="K36" s="626">
        <v>4</v>
      </c>
      <c r="L36" s="626">
        <v>3</v>
      </c>
      <c r="M36" s="627">
        <v>1</v>
      </c>
    </row>
    <row r="37" spans="2:13">
      <c r="F37" s="19"/>
      <c r="G37" s="19"/>
      <c r="H37" s="19"/>
      <c r="I37" s="946" t="str">
        <f>+'Ввод данных'!A126</f>
        <v>ТБ</v>
      </c>
      <c r="J37" s="622" t="s">
        <v>659</v>
      </c>
      <c r="K37" s="623">
        <v>8.1961024018409319</v>
      </c>
      <c r="L37" s="623">
        <v>3</v>
      </c>
      <c r="M37" s="624">
        <v>5.1961024018409319</v>
      </c>
    </row>
    <row r="38" spans="2:13">
      <c r="F38" s="19"/>
      <c r="G38" s="19"/>
      <c r="H38" s="19"/>
      <c r="I38" s="946"/>
      <c r="J38" s="622" t="s">
        <v>660</v>
      </c>
      <c r="K38" s="623">
        <v>9.458700553392088</v>
      </c>
      <c r="L38" s="623">
        <v>3</v>
      </c>
      <c r="M38" s="624">
        <v>6.458700553392088</v>
      </c>
    </row>
    <row r="39" spans="2:13">
      <c r="B39" s="942" t="str">
        <f>+'Ввод данных'!A117</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39" s="942"/>
      <c r="D39" s="942"/>
      <c r="E39" s="942"/>
      <c r="F39" s="19"/>
      <c r="G39" s="19"/>
      <c r="H39" s="19"/>
      <c r="I39" s="946"/>
      <c r="J39" s="622" t="s">
        <v>661</v>
      </c>
      <c r="K39" s="623">
        <v>13.238775510204082</v>
      </c>
      <c r="L39" s="623">
        <v>3</v>
      </c>
      <c r="M39" s="624">
        <v>10.238775510204082</v>
      </c>
    </row>
    <row r="40" spans="2:13">
      <c r="F40" s="19"/>
      <c r="G40" s="19"/>
      <c r="H40" s="19"/>
      <c r="I40" s="946"/>
      <c r="J40" s="622" t="s">
        <v>662</v>
      </c>
      <c r="K40" s="623">
        <v>7.9316083206494161</v>
      </c>
      <c r="L40" s="623">
        <v>3</v>
      </c>
      <c r="M40" s="624">
        <v>4.9316083206494161</v>
      </c>
    </row>
    <row r="41" spans="2:13">
      <c r="F41" s="19"/>
      <c r="G41" s="19"/>
      <c r="H41" s="19"/>
      <c r="I41" s="946"/>
      <c r="J41" s="622" t="s">
        <v>663</v>
      </c>
      <c r="K41" s="623">
        <v>6.3016299918500405</v>
      </c>
      <c r="L41" s="623">
        <v>3</v>
      </c>
      <c r="M41" s="624">
        <v>3.3016299918500405</v>
      </c>
    </row>
    <row r="42" spans="2:13">
      <c r="F42" s="19"/>
      <c r="G42" s="19"/>
      <c r="H42" s="19"/>
      <c r="I42" s="946"/>
      <c r="J42" s="622" t="s">
        <v>664</v>
      </c>
      <c r="K42" s="623">
        <v>12.606693989071038</v>
      </c>
      <c r="L42" s="623">
        <v>3</v>
      </c>
      <c r="M42" s="624">
        <v>9.6066939890710383</v>
      </c>
    </row>
    <row r="43" spans="2:13">
      <c r="F43" s="19"/>
      <c r="G43" s="19"/>
      <c r="H43" s="19"/>
      <c r="I43" s="946"/>
      <c r="J43" s="622" t="s">
        <v>665</v>
      </c>
      <c r="K43" s="623">
        <v>1.7212353976636261</v>
      </c>
      <c r="L43" s="623">
        <v>3</v>
      </c>
      <c r="M43" s="624">
        <v>-1.2787646023363739</v>
      </c>
    </row>
    <row r="44" spans="2:13">
      <c r="F44" s="19"/>
      <c r="G44" s="19"/>
      <c r="H44" s="19"/>
      <c r="I44" s="946"/>
      <c r="J44" s="622" t="s">
        <v>666</v>
      </c>
      <c r="K44" s="623">
        <v>7.394630872483221</v>
      </c>
      <c r="L44" s="623">
        <v>3</v>
      </c>
      <c r="M44" s="624">
        <v>4.394630872483221</v>
      </c>
    </row>
    <row r="45" spans="2:13">
      <c r="F45" s="19"/>
      <c r="G45" s="19"/>
      <c r="H45" s="19"/>
      <c r="I45" s="946"/>
      <c r="J45" s="622" t="s">
        <v>667</v>
      </c>
      <c r="K45" s="623">
        <v>4.2253407682775714</v>
      </c>
      <c r="L45" s="623">
        <v>3</v>
      </c>
      <c r="M45" s="624">
        <v>1.2253407682775714</v>
      </c>
    </row>
    <row r="46" spans="2:13">
      <c r="F46" s="19"/>
      <c r="G46" s="19"/>
      <c r="H46" s="19"/>
      <c r="I46" s="946"/>
      <c r="J46" s="622" t="s">
        <v>668</v>
      </c>
      <c r="K46" s="623">
        <v>2.6090699325523605</v>
      </c>
      <c r="L46" s="623">
        <v>3</v>
      </c>
      <c r="M46" s="624">
        <v>-0.39093006744763947</v>
      </c>
    </row>
    <row r="47" spans="2:13">
      <c r="F47" s="19"/>
      <c r="G47" s="19"/>
      <c r="H47" s="19"/>
      <c r="I47" s="946"/>
      <c r="J47" s="622" t="s">
        <v>669</v>
      </c>
      <c r="K47" s="623">
        <v>29.029629629629628</v>
      </c>
      <c r="L47" s="623">
        <v>3</v>
      </c>
      <c r="M47" s="624">
        <v>26.029629629629628</v>
      </c>
    </row>
    <row r="48" spans="2:13">
      <c r="F48" s="19"/>
      <c r="G48" s="19"/>
      <c r="H48" s="19"/>
      <c r="I48" s="946"/>
      <c r="J48" s="622" t="s">
        <v>670</v>
      </c>
      <c r="K48" s="623">
        <v>5.4066321839080462</v>
      </c>
      <c r="L48" s="623">
        <v>3</v>
      </c>
      <c r="M48" s="624">
        <v>2.4066321839080462</v>
      </c>
    </row>
    <row r="49" spans="6:13">
      <c r="F49" s="19"/>
      <c r="G49" s="19"/>
      <c r="H49" s="19"/>
      <c r="I49" s="946"/>
      <c r="J49" s="622" t="s">
        <v>671</v>
      </c>
      <c r="K49" s="623">
        <v>6.6113126079447326</v>
      </c>
      <c r="L49" s="623">
        <v>3</v>
      </c>
      <c r="M49" s="624">
        <v>3.6113126079447326</v>
      </c>
    </row>
    <row r="50" spans="6:13">
      <c r="I50" s="946"/>
      <c r="J50" s="622" t="s">
        <v>672</v>
      </c>
      <c r="K50" s="623">
        <v>17.366666666666667</v>
      </c>
      <c r="L50" s="623">
        <v>3</v>
      </c>
      <c r="M50" s="624">
        <v>14.366666666666667</v>
      </c>
    </row>
    <row r="51" spans="6:13">
      <c r="I51" s="946"/>
      <c r="J51" s="622" t="s">
        <v>673</v>
      </c>
      <c r="K51" s="623">
        <v>13.695601851851851</v>
      </c>
      <c r="L51" s="623">
        <v>3</v>
      </c>
      <c r="M51" s="624">
        <v>10.695601851851851</v>
      </c>
    </row>
    <row r="52" spans="6:13" ht="15.75" thickBot="1">
      <c r="I52" s="947"/>
      <c r="J52" s="628" t="s">
        <v>674</v>
      </c>
      <c r="K52" s="629">
        <v>21.924640400250155</v>
      </c>
      <c r="L52" s="629">
        <v>3</v>
      </c>
      <c r="M52" s="630">
        <v>18.924640400250155</v>
      </c>
    </row>
  </sheetData>
  <mergeCells count="23">
    <mergeCell ref="J19:M19"/>
    <mergeCell ref="B28:F28"/>
    <mergeCell ref="I28:M28"/>
    <mergeCell ref="B39:E39"/>
    <mergeCell ref="C29:F29"/>
    <mergeCell ref="J29:M29"/>
    <mergeCell ref="I32:I36"/>
    <mergeCell ref="I37:I52"/>
    <mergeCell ref="J30:M30"/>
    <mergeCell ref="C19:F19"/>
    <mergeCell ref="B2:M2"/>
    <mergeCell ref="C4:D4"/>
    <mergeCell ref="E3:J3"/>
    <mergeCell ref="K3:L3"/>
    <mergeCell ref="E10:F10"/>
    <mergeCell ref="C8:F8"/>
    <mergeCell ref="B7:F7"/>
    <mergeCell ref="D10:D11"/>
    <mergeCell ref="C3:D3"/>
    <mergeCell ref="E4:J4"/>
    <mergeCell ref="K4:L4"/>
    <mergeCell ref="J8:M8"/>
    <mergeCell ref="D5:K5"/>
  </mergeCells>
  <phoneticPr fontId="30" type="noConversion"/>
  <conditionalFormatting sqref="D15:D16">
    <cfRule type="cellIs" dxfId="80" priority="1" stopIfTrue="1" operator="greaterThan">
      <formula>0</formula>
    </cfRule>
  </conditionalFormatting>
  <conditionalFormatting sqref="E15:E16">
    <cfRule type="cellIs" dxfId="79" priority="2" stopIfTrue="1" operator="greaterThan">
      <formula>0</formula>
    </cfRule>
  </conditionalFormatting>
  <conditionalFormatting sqref="F15:H16">
    <cfRule type="cellIs" dxfId="78" priority="3" stopIfTrue="1" operator="greaterThan">
      <formula>0</formula>
    </cfRule>
  </conditionalFormatting>
  <conditionalFormatting sqref="C4:D4">
    <cfRule type="cellIs" dxfId="77" priority="4" stopIfTrue="1" operator="equal">
      <formula>"C"</formula>
    </cfRule>
    <cfRule type="cellIs" dxfId="76" priority="5" stopIfTrue="1" operator="equal">
      <formula>"B2"</formula>
    </cfRule>
    <cfRule type="cellIs" dxfId="75" priority="6" stopIfTrue="1" operator="equal">
      <formula>"B1"</formula>
    </cfRule>
  </conditionalFormatting>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9"/>
  <sheetViews>
    <sheetView showGridLines="0" tabSelected="1" zoomScaleNormal="100" workbookViewId="0">
      <selection activeCell="B62" sqref="B62:D62"/>
    </sheetView>
  </sheetViews>
  <sheetFormatPr defaultColWidth="11" defaultRowHeight="15"/>
  <cols>
    <col min="1" max="1" width="3.42578125" customWidth="1"/>
    <col min="2" max="2" width="11.28515625" customWidth="1"/>
    <col min="3" max="3" width="16.140625" customWidth="1"/>
    <col min="4" max="4" width="26.140625" customWidth="1"/>
    <col min="5" max="5" width="9.42578125" customWidth="1"/>
    <col min="6" max="6" width="13" customWidth="1"/>
    <col min="7" max="7" width="5.7109375" customWidth="1"/>
    <col min="8" max="8" width="6.28515625" customWidth="1"/>
    <col min="9" max="9" width="6" customWidth="1"/>
    <col min="10" max="10" width="4.140625" customWidth="1"/>
    <col min="11" max="11" width="17.85546875" customWidth="1"/>
    <col min="12" max="12" width="12" customWidth="1"/>
    <col min="13" max="13" width="5" customWidth="1"/>
    <col min="14" max="14" width="6.5703125" customWidth="1"/>
    <col min="15" max="15" width="4.140625" customWidth="1"/>
    <col min="16" max="16" width="10.7109375" customWidth="1"/>
    <col min="17" max="17" width="23.2851562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966" t="str">
        <f>+"Панель показателей:  "&amp;"  "&amp;IF(+'Ввод данных'!B4="Выберите","",'Ввод данных'!B4&amp;" - ")&amp;IF('Ввод данных'!F6="Выберите","",'Ввод данных'!F6)</f>
        <v>Панель показателей:    Кыргызстан - ВИЧ/СПИД/ТБ</v>
      </c>
      <c r="C2" s="966"/>
      <c r="D2" s="966"/>
      <c r="E2" s="966"/>
      <c r="F2" s="966"/>
      <c r="G2" s="966"/>
      <c r="H2" s="966"/>
      <c r="I2" s="966"/>
      <c r="J2" s="966"/>
      <c r="K2" s="966"/>
      <c r="L2" s="966"/>
      <c r="M2" s="966"/>
      <c r="N2" s="966"/>
      <c r="O2" s="966"/>
      <c r="P2" s="966"/>
      <c r="Q2" s="966"/>
    </row>
    <row r="3" spans="1:35" ht="18.75">
      <c r="A3" s="3"/>
      <c r="B3" s="117">
        <f>+IF('Ввод данных'!F8="Выберите","",'Ввод данных'!F8)</f>
        <v>0</v>
      </c>
      <c r="C3" s="923">
        <f>+IF('Ввод данных'!H8="Выберите","",'Ввод данных'!H8)</f>
        <v>0</v>
      </c>
      <c r="D3" s="923"/>
      <c r="E3" s="922"/>
      <c r="F3" s="922"/>
      <c r="G3" s="922"/>
      <c r="H3" s="922"/>
      <c r="I3" s="968"/>
      <c r="J3" s="968"/>
      <c r="K3" s="968"/>
      <c r="L3" s="3"/>
      <c r="M3" s="3"/>
      <c r="O3" s="920" t="str">
        <f>+'Ввод данных'!A16</f>
        <v>Отчетный период</v>
      </c>
      <c r="P3" s="920"/>
      <c r="Q3" s="181" t="str">
        <f>+'Ввод данных'!B16</f>
        <v>P3</v>
      </c>
    </row>
    <row r="4" spans="1:35" ht="23.25">
      <c r="A4" s="3"/>
      <c r="B4" s="371" t="str">
        <f>+'Ввод данных'!A12</f>
        <v>Последняя оценка:</v>
      </c>
      <c r="C4" s="969" t="str">
        <f>+IF('Ввод данных'!B12="Выберите","",'Ввод данных'!B12)</f>
        <v>A1</v>
      </c>
      <c r="D4" s="969"/>
      <c r="E4" s="922" t="str">
        <f>+'Ввод данных'!B8</f>
        <v>ПРООН</v>
      </c>
      <c r="F4" s="922"/>
      <c r="G4" s="922"/>
      <c r="H4" s="922"/>
      <c r="I4" s="922"/>
      <c r="J4" s="922"/>
      <c r="K4" s="922"/>
      <c r="L4" s="922"/>
      <c r="M4" s="3"/>
      <c r="O4" s="281"/>
      <c r="P4" s="117" t="str">
        <f>+'Ввод данных'!C16</f>
        <v>с:</v>
      </c>
      <c r="Q4" s="282">
        <f>+IF(ISBLANK('Ввод данных'!D16),"",'Ввод данных'!D16)</f>
        <v>42917</v>
      </c>
      <c r="Y4" s="70"/>
      <c r="Z4" s="70"/>
      <c r="AA4" s="70"/>
      <c r="AB4" s="70"/>
      <c r="AC4" s="70"/>
    </row>
    <row r="5" spans="1:35" ht="15.75" customHeight="1">
      <c r="A5" s="3"/>
      <c r="B5" s="117"/>
      <c r="C5" s="117"/>
      <c r="D5" s="922" t="str">
        <f>+'Ввод данных'!F4</f>
        <v>«Эффективный контроль за туберкулезом и ВИЧ-инфекцией в Кыргызской Республике»</v>
      </c>
      <c r="E5" s="922"/>
      <c r="F5" s="922"/>
      <c r="G5" s="922"/>
      <c r="H5" s="922"/>
      <c r="I5" s="922"/>
      <c r="J5" s="922"/>
      <c r="K5" s="922"/>
      <c r="L5" s="922"/>
      <c r="M5" s="922"/>
      <c r="N5" s="922"/>
      <c r="P5" s="117" t="str">
        <f>+'Ввод данных'!E16</f>
        <v>до:</v>
      </c>
      <c r="Q5" s="282">
        <f>+IF(ISBLANK('Ввод данных'!F16),"",'Ввод данных'!F16)</f>
        <v>43100</v>
      </c>
      <c r="S5" s="201"/>
      <c r="T5" s="201"/>
      <c r="U5" s="201"/>
      <c r="V5" s="201"/>
      <c r="W5" s="201"/>
      <c r="X5" s="201"/>
      <c r="Y5" s="70"/>
      <c r="Z5" s="70"/>
      <c r="AA5" s="70" t="s">
        <v>23</v>
      </c>
      <c r="AB5" s="70"/>
      <c r="AC5" s="70" t="s">
        <v>74</v>
      </c>
      <c r="AD5" s="201"/>
      <c r="AE5" s="201"/>
      <c r="AF5" s="201"/>
      <c r="AG5" s="201"/>
      <c r="AH5" s="201"/>
      <c r="AI5" s="201"/>
    </row>
    <row r="6" spans="1:35" ht="15.75" customHeight="1">
      <c r="A6" s="3"/>
      <c r="B6" s="483"/>
      <c r="C6" s="483"/>
      <c r="D6" s="484"/>
      <c r="E6" s="970" t="s">
        <v>632</v>
      </c>
      <c r="F6" s="971"/>
      <c r="G6" s="971"/>
      <c r="H6" s="971"/>
      <c r="I6" s="971"/>
      <c r="J6" s="971"/>
      <c r="K6" s="971"/>
      <c r="L6" s="971"/>
      <c r="M6" s="3"/>
      <c r="N6" s="3"/>
      <c r="O6" s="183"/>
      <c r="P6" s="529"/>
      <c r="S6" s="201"/>
      <c r="T6" s="201"/>
      <c r="U6" s="201"/>
      <c r="V6" s="201"/>
      <c r="W6" s="201"/>
      <c r="X6" s="201"/>
      <c r="Y6" s="70"/>
      <c r="Z6" s="70"/>
      <c r="AA6" s="70"/>
      <c r="AB6" s="70"/>
      <c r="AC6" s="70"/>
      <c r="AD6" s="201"/>
      <c r="AE6" s="201"/>
      <c r="AF6" s="201"/>
      <c r="AG6" s="201"/>
      <c r="AH6" s="201"/>
      <c r="AI6" s="201"/>
    </row>
    <row r="7" spans="1:35" ht="3" customHeight="1">
      <c r="A7" s="3"/>
      <c r="B7" s="483"/>
      <c r="C7" s="483"/>
      <c r="D7" s="484"/>
      <c r="E7" s="484"/>
      <c r="F7" s="484"/>
      <c r="G7" s="484"/>
      <c r="H7" s="484"/>
      <c r="I7" s="484"/>
      <c r="J7" s="484"/>
      <c r="K7" s="484"/>
      <c r="L7" s="484"/>
      <c r="M7" s="3"/>
      <c r="N7" s="3"/>
      <c r="O7" s="183"/>
      <c r="P7" s="182"/>
      <c r="Q7" s="182"/>
      <c r="S7" s="201"/>
      <c r="T7" s="201"/>
      <c r="U7" s="201"/>
      <c r="V7" s="201"/>
      <c r="W7" s="201"/>
      <c r="X7" s="201"/>
      <c r="Y7" s="70"/>
      <c r="Z7" s="70"/>
      <c r="AA7" s="70"/>
      <c r="AB7" s="70"/>
      <c r="AC7" s="70"/>
      <c r="AD7" s="201"/>
      <c r="AE7" s="201"/>
      <c r="AF7" s="201"/>
      <c r="AG7" s="201"/>
      <c r="AH7" s="201"/>
      <c r="AI7" s="201"/>
    </row>
    <row r="8" spans="1:35" ht="18.75" customHeight="1" thickBot="1">
      <c r="A8" s="3"/>
      <c r="B8" s="967" t="e">
        <f>+#REF!</f>
        <v>#REF!</v>
      </c>
      <c r="C8" s="967"/>
      <c r="D8" s="967"/>
      <c r="E8" s="967"/>
      <c r="F8" s="967" t="e">
        <f>+#REF!</f>
        <v>#REF!</v>
      </c>
      <c r="G8" s="967"/>
      <c r="H8" s="967"/>
      <c r="I8" s="967"/>
      <c r="J8" s="967"/>
      <c r="K8" s="967"/>
      <c r="L8" s="967" t="e">
        <f>+#REF!</f>
        <v>#REF!</v>
      </c>
      <c r="M8" s="967"/>
      <c r="N8" s="967"/>
      <c r="O8" s="967"/>
      <c r="P8" s="967"/>
      <c r="Q8" s="967"/>
      <c r="S8" s="201"/>
      <c r="T8" s="201"/>
      <c r="U8" s="201"/>
      <c r="V8" s="201"/>
      <c r="W8" s="201"/>
      <c r="X8" s="201"/>
      <c r="Y8" s="70"/>
      <c r="Z8" s="70"/>
      <c r="AA8" s="70"/>
      <c r="AB8" s="70"/>
      <c r="AC8" s="70"/>
      <c r="AD8" s="201"/>
      <c r="AE8" s="201"/>
      <c r="AF8" s="201"/>
      <c r="AG8" s="201"/>
      <c r="AH8" s="201"/>
      <c r="AI8" s="201"/>
    </row>
    <row r="9" spans="1:35" ht="119.25" customHeight="1" thickBot="1">
      <c r="A9" s="3"/>
      <c r="B9" s="594" t="s">
        <v>618</v>
      </c>
      <c r="C9" s="972" t="s">
        <v>697</v>
      </c>
      <c r="D9" s="973"/>
      <c r="E9" s="974"/>
      <c r="F9" s="595" t="s">
        <v>618</v>
      </c>
      <c r="G9" s="972" t="s">
        <v>698</v>
      </c>
      <c r="H9" s="973"/>
      <c r="I9" s="973"/>
      <c r="J9" s="973"/>
      <c r="K9" s="974"/>
      <c r="L9" s="595" t="s">
        <v>618</v>
      </c>
      <c r="M9" s="972" t="s">
        <v>699</v>
      </c>
      <c r="N9" s="973"/>
      <c r="O9" s="973"/>
      <c r="P9" s="973"/>
      <c r="Q9" s="974"/>
      <c r="S9" s="201"/>
      <c r="T9" s="201"/>
      <c r="U9" s="201"/>
      <c r="V9" s="201"/>
      <c r="W9" s="201"/>
      <c r="X9" s="201"/>
      <c r="Y9" s="201"/>
      <c r="Z9" s="201"/>
      <c r="AA9" s="201"/>
      <c r="AB9" s="201"/>
      <c r="AC9" s="201"/>
      <c r="AD9" s="201"/>
      <c r="AE9" s="201"/>
      <c r="AF9" s="201"/>
      <c r="AG9" s="201"/>
      <c r="AH9" s="201"/>
      <c r="AI9" s="201"/>
    </row>
    <row r="10" spans="1:35" ht="18.75" customHeight="1">
      <c r="A10" s="3"/>
      <c r="B10" s="483"/>
      <c r="C10" s="483"/>
      <c r="D10" s="484"/>
      <c r="E10" s="484"/>
      <c r="F10" s="484"/>
      <c r="G10" s="484"/>
      <c r="H10" s="484"/>
      <c r="I10" s="484"/>
      <c r="J10" s="484"/>
      <c r="K10" s="484"/>
      <c r="L10" s="484"/>
      <c r="M10" s="3"/>
      <c r="N10" s="3"/>
      <c r="O10" s="183"/>
      <c r="P10" s="182"/>
      <c r="S10" s="201"/>
      <c r="T10" s="201"/>
      <c r="U10" s="201"/>
      <c r="V10" s="201"/>
      <c r="W10" s="201"/>
      <c r="X10" s="201"/>
      <c r="Y10" s="201"/>
      <c r="Z10" s="201"/>
      <c r="AA10" s="201"/>
      <c r="AB10" s="201"/>
      <c r="AC10" s="201"/>
      <c r="AD10" s="201"/>
      <c r="AE10" s="201"/>
      <c r="AF10" s="201"/>
      <c r="AG10" s="201"/>
      <c r="AH10" s="201"/>
      <c r="AI10" s="201"/>
    </row>
    <row r="11" spans="1:35" ht="18.75" customHeight="1">
      <c r="A11" s="3"/>
      <c r="B11" s="483"/>
      <c r="C11" s="483"/>
      <c r="D11" s="484"/>
      <c r="E11" s="484"/>
      <c r="F11" s="484"/>
      <c r="G11" s="484"/>
      <c r="H11" s="484"/>
      <c r="I11" s="484"/>
      <c r="J11" s="484"/>
      <c r="K11" s="484"/>
      <c r="L11" s="484"/>
      <c r="M11" s="3"/>
      <c r="N11" s="3"/>
      <c r="O11" s="183"/>
      <c r="P11" s="182"/>
      <c r="S11" s="201"/>
      <c r="T11" s="201"/>
      <c r="U11" s="201"/>
      <c r="V11" s="201"/>
      <c r="W11" s="201"/>
      <c r="X11" s="201"/>
      <c r="Y11" s="201"/>
      <c r="Z11" s="201"/>
      <c r="AA11" s="201"/>
      <c r="AB11" s="201"/>
      <c r="AC11" s="201"/>
      <c r="AD11" s="201"/>
      <c r="AE11" s="201"/>
      <c r="AF11" s="201"/>
      <c r="AG11" s="201"/>
      <c r="AH11" s="201"/>
      <c r="AI11" s="201"/>
    </row>
    <row r="12" spans="1:35" ht="18.75" customHeight="1">
      <c r="A12" s="3"/>
      <c r="B12" s="483"/>
      <c r="C12" s="483"/>
      <c r="D12" s="484"/>
      <c r="E12" s="484"/>
      <c r="F12" s="484"/>
      <c r="G12" s="484"/>
      <c r="H12" s="484"/>
      <c r="I12" s="484"/>
      <c r="J12" s="484"/>
      <c r="K12" s="484"/>
      <c r="L12" s="484"/>
      <c r="M12" s="3"/>
      <c r="N12" s="3"/>
      <c r="O12" s="183"/>
      <c r="P12" s="182"/>
      <c r="S12" s="201"/>
      <c r="T12" s="201"/>
      <c r="U12" s="201"/>
      <c r="V12" s="201"/>
      <c r="W12" s="201"/>
      <c r="X12" s="201"/>
      <c r="Y12" s="201"/>
      <c r="Z12" s="201"/>
      <c r="AA12" s="201"/>
      <c r="AB12" s="201"/>
      <c r="AC12" s="201"/>
      <c r="AD12" s="201"/>
      <c r="AE12" s="201"/>
      <c r="AF12" s="201"/>
      <c r="AG12" s="201"/>
      <c r="AH12" s="201"/>
      <c r="AI12" s="201"/>
    </row>
    <row r="13" spans="1:35" ht="18.75" customHeight="1">
      <c r="A13" s="3"/>
      <c r="B13" s="483"/>
      <c r="C13" s="483"/>
      <c r="D13" s="484"/>
      <c r="E13" s="484"/>
      <c r="F13" s="484"/>
      <c r="G13" s="484"/>
      <c r="H13" s="484"/>
      <c r="I13" s="484"/>
      <c r="J13" s="484"/>
      <c r="K13" s="484"/>
      <c r="L13" s="484"/>
      <c r="M13" s="3"/>
      <c r="N13" s="3"/>
      <c r="O13" s="183"/>
      <c r="P13" s="182"/>
      <c r="S13" s="201"/>
      <c r="T13" s="201"/>
      <c r="U13" s="201"/>
      <c r="V13" s="201"/>
      <c r="W13" s="201"/>
      <c r="X13" s="201"/>
      <c r="Y13" s="201"/>
      <c r="Z13" s="201"/>
      <c r="AA13" s="201"/>
      <c r="AB13" s="201"/>
      <c r="AC13" s="201"/>
      <c r="AD13" s="201"/>
      <c r="AE13" s="201"/>
      <c r="AF13" s="201"/>
      <c r="AG13" s="201"/>
      <c r="AH13" s="201"/>
      <c r="AI13" s="201"/>
    </row>
    <row r="14" spans="1:35" ht="18.75" customHeight="1">
      <c r="A14" s="3"/>
      <c r="B14" s="483"/>
      <c r="C14" s="483"/>
      <c r="D14" s="484"/>
      <c r="E14" s="484"/>
      <c r="F14" s="484"/>
      <c r="G14" s="484"/>
      <c r="H14" s="484"/>
      <c r="I14" s="484"/>
      <c r="J14" s="484"/>
      <c r="K14" s="484"/>
      <c r="L14" s="484"/>
      <c r="M14" s="3"/>
      <c r="N14" s="3"/>
      <c r="O14" s="183"/>
      <c r="P14" s="182"/>
      <c r="S14" s="201"/>
      <c r="T14" s="201"/>
      <c r="U14" s="201"/>
      <c r="V14" s="201"/>
      <c r="W14" s="201"/>
      <c r="X14" s="201"/>
      <c r="Y14" s="201"/>
      <c r="Z14" s="201"/>
      <c r="AA14" s="201"/>
      <c r="AB14" s="201"/>
      <c r="AC14" s="201"/>
      <c r="AD14" s="201"/>
      <c r="AE14" s="201"/>
      <c r="AF14" s="201"/>
      <c r="AG14" s="201"/>
      <c r="AH14" s="201"/>
      <c r="AI14" s="201"/>
    </row>
    <row r="15" spans="1:35" ht="18.75" customHeight="1">
      <c r="A15" s="3"/>
      <c r="B15" s="538"/>
      <c r="C15" s="538"/>
      <c r="D15" s="539"/>
      <c r="E15" s="539"/>
      <c r="F15" s="539"/>
      <c r="G15" s="539"/>
      <c r="H15" s="539"/>
      <c r="I15" s="539"/>
      <c r="J15" s="539"/>
      <c r="K15" s="539"/>
      <c r="L15" s="539"/>
      <c r="M15" s="3"/>
      <c r="N15" s="3"/>
      <c r="O15" s="183"/>
      <c r="P15" s="182"/>
      <c r="S15" s="201"/>
      <c r="T15" s="201"/>
      <c r="U15" s="201"/>
      <c r="V15" s="201"/>
      <c r="W15" s="201"/>
      <c r="X15" s="201"/>
      <c r="Y15" s="201"/>
      <c r="Z15" s="201"/>
      <c r="AA15" s="201"/>
      <c r="AB15" s="201"/>
      <c r="AC15" s="201"/>
      <c r="AD15" s="201"/>
      <c r="AE15" s="201"/>
      <c r="AF15" s="201"/>
      <c r="AG15" s="201"/>
      <c r="AH15" s="201"/>
      <c r="AI15" s="201"/>
    </row>
    <row r="16" spans="1:35" ht="18.75" customHeight="1">
      <c r="A16" s="3"/>
      <c r="B16" s="538"/>
      <c r="C16" s="538"/>
      <c r="D16" s="539"/>
      <c r="E16" s="539"/>
      <c r="F16" s="539"/>
      <c r="G16" s="539"/>
      <c r="H16" s="539"/>
      <c r="I16" s="539"/>
      <c r="J16" s="539"/>
      <c r="K16" s="539"/>
      <c r="L16" s="539"/>
      <c r="M16" s="3"/>
      <c r="N16" s="3"/>
      <c r="O16" s="183"/>
      <c r="P16" s="182"/>
      <c r="S16" s="201"/>
      <c r="T16" s="201"/>
      <c r="U16" s="201"/>
      <c r="V16" s="201"/>
      <c r="W16" s="201"/>
      <c r="X16" s="201"/>
      <c r="Y16" s="201"/>
      <c r="Z16" s="201"/>
      <c r="AA16" s="201"/>
      <c r="AB16" s="201"/>
      <c r="AC16" s="201"/>
      <c r="AD16" s="201"/>
      <c r="AE16" s="201"/>
      <c r="AF16" s="201"/>
      <c r="AG16" s="201"/>
      <c r="AH16" s="201"/>
      <c r="AI16" s="201"/>
    </row>
    <row r="17" spans="1:35" ht="18.75" customHeight="1">
      <c r="A17" s="3"/>
      <c r="B17" s="538"/>
      <c r="C17" s="538"/>
      <c r="D17" s="539"/>
      <c r="E17" s="539"/>
      <c r="F17" s="539"/>
      <c r="G17" s="539"/>
      <c r="H17" s="539"/>
      <c r="I17" s="539"/>
      <c r="J17" s="539"/>
      <c r="K17" s="539"/>
      <c r="L17" s="539"/>
      <c r="M17" s="3"/>
      <c r="N17" s="3"/>
      <c r="O17" s="183"/>
      <c r="P17" s="182"/>
      <c r="S17" s="201"/>
      <c r="T17" s="201"/>
      <c r="U17" s="201"/>
      <c r="V17" s="201"/>
      <c r="W17" s="201"/>
      <c r="X17" s="201"/>
      <c r="Y17" s="201"/>
      <c r="Z17" s="201"/>
      <c r="AA17" s="201"/>
      <c r="AB17" s="201"/>
      <c r="AC17" s="201"/>
      <c r="AD17" s="201"/>
      <c r="AE17" s="201"/>
      <c r="AF17" s="201"/>
      <c r="AG17" s="201"/>
      <c r="AH17" s="201"/>
      <c r="AI17" s="201"/>
    </row>
    <row r="18" spans="1:35" ht="18.75" customHeight="1">
      <c r="A18" s="3"/>
      <c r="B18" s="538"/>
      <c r="C18" s="538"/>
      <c r="D18" s="539"/>
      <c r="E18" s="539"/>
      <c r="F18" s="539"/>
      <c r="G18" s="539"/>
      <c r="H18" s="539"/>
      <c r="I18" s="539"/>
      <c r="J18" s="539"/>
      <c r="K18" s="539"/>
      <c r="L18" s="539"/>
      <c r="M18" s="3"/>
      <c r="N18" s="3"/>
      <c r="O18" s="183"/>
      <c r="P18" s="182"/>
      <c r="S18" s="201"/>
      <c r="T18" s="201"/>
      <c r="U18" s="201"/>
      <c r="V18" s="201"/>
      <c r="W18" s="201"/>
      <c r="X18" s="201"/>
      <c r="Y18" s="201"/>
      <c r="Z18" s="201"/>
      <c r="AA18" s="201"/>
      <c r="AB18" s="201"/>
      <c r="AC18" s="201"/>
      <c r="AD18" s="201"/>
      <c r="AE18" s="201"/>
      <c r="AF18" s="201"/>
      <c r="AG18" s="201"/>
      <c r="AH18" s="201"/>
      <c r="AI18" s="201"/>
    </row>
    <row r="19" spans="1:35" ht="17.25" customHeight="1">
      <c r="A19" s="3"/>
      <c r="B19" s="483"/>
      <c r="C19" s="483"/>
      <c r="D19" s="484"/>
      <c r="E19" s="484"/>
      <c r="F19" s="484"/>
      <c r="G19" s="484"/>
      <c r="H19" s="484"/>
      <c r="I19" s="484"/>
      <c r="J19" s="484"/>
      <c r="K19" s="484"/>
      <c r="L19" s="484"/>
      <c r="M19" s="3"/>
      <c r="N19" s="3"/>
      <c r="O19" s="183"/>
      <c r="P19" s="182"/>
      <c r="S19" s="201"/>
      <c r="T19" s="201"/>
      <c r="U19" s="201"/>
      <c r="V19" s="201"/>
      <c r="W19" s="201"/>
      <c r="X19" s="201"/>
      <c r="Y19" s="201"/>
      <c r="Z19" s="201"/>
      <c r="AA19" s="201"/>
      <c r="AB19" s="201"/>
      <c r="AC19" s="201"/>
      <c r="AD19" s="201"/>
      <c r="AE19" s="201"/>
      <c r="AF19" s="201"/>
      <c r="AG19" s="201"/>
      <c r="AH19" s="201"/>
      <c r="AI19" s="201"/>
    </row>
    <row r="20" spans="1:35" ht="6" customHeight="1">
      <c r="A20" s="3"/>
      <c r="B20" s="121"/>
      <c r="C20" s="483"/>
      <c r="D20" s="118"/>
      <c r="E20" s="975"/>
      <c r="F20" s="975"/>
      <c r="G20" s="975"/>
      <c r="H20" s="975"/>
      <c r="I20" s="975"/>
      <c r="J20" s="975"/>
      <c r="K20" s="975"/>
      <c r="L20" s="3"/>
      <c r="M20" s="3"/>
      <c r="N20" s="3"/>
      <c r="O20" s="3"/>
      <c r="P20" s="3"/>
      <c r="S20" s="201"/>
      <c r="T20" s="201"/>
      <c r="U20" s="201"/>
      <c r="V20" s="201"/>
      <c r="W20" s="201"/>
      <c r="X20" s="201"/>
      <c r="Y20" s="201"/>
      <c r="Z20" s="201"/>
      <c r="AA20" s="201"/>
      <c r="AB20" s="201"/>
      <c r="AC20" s="201"/>
      <c r="AD20" s="201"/>
      <c r="AE20" s="201"/>
      <c r="AF20" s="201"/>
      <c r="AG20" s="201"/>
      <c r="AH20" s="201"/>
      <c r="AI20" s="201"/>
    </row>
    <row r="21" spans="1:35" ht="45" customHeight="1">
      <c r="A21" s="3"/>
      <c r="B21" s="976" t="s">
        <v>391</v>
      </c>
      <c r="C21" s="976"/>
      <c r="D21" s="976"/>
      <c r="E21" s="530" t="s">
        <v>379</v>
      </c>
      <c r="F21" s="530" t="s">
        <v>271</v>
      </c>
      <c r="G21" s="1020" t="s">
        <v>83</v>
      </c>
      <c r="H21" s="1021"/>
      <c r="I21" s="1023" t="s">
        <v>84</v>
      </c>
      <c r="J21" s="1024"/>
      <c r="K21" s="531" t="s">
        <v>85</v>
      </c>
      <c r="L21" s="1014" t="s">
        <v>619</v>
      </c>
      <c r="M21" s="1015"/>
      <c r="N21" s="1015"/>
      <c r="O21" s="1015"/>
      <c r="P21" s="1015"/>
      <c r="Q21" s="1016"/>
      <c r="S21" s="64" t="s">
        <v>49</v>
      </c>
      <c r="T21" s="65">
        <v>0</v>
      </c>
      <c r="U21" s="66">
        <v>0.3</v>
      </c>
      <c r="V21" s="66">
        <v>0.6</v>
      </c>
      <c r="W21" s="66">
        <v>0.9</v>
      </c>
      <c r="X21" s="66">
        <v>1</v>
      </c>
      <c r="Y21" s="70"/>
      <c r="Z21" s="70"/>
      <c r="AA21" s="64" t="s">
        <v>49</v>
      </c>
      <c r="AB21" s="65">
        <v>0</v>
      </c>
      <c r="AC21" s="66">
        <v>0.2</v>
      </c>
      <c r="AD21" s="66">
        <v>0.4</v>
      </c>
      <c r="AE21" s="66">
        <v>0.6</v>
      </c>
      <c r="AF21" s="66">
        <v>0.8</v>
      </c>
      <c r="AG21" s="70"/>
      <c r="AH21" s="70"/>
      <c r="AI21" s="70"/>
    </row>
    <row r="22" spans="1:35" ht="79.5" customHeight="1">
      <c r="A22" s="3"/>
      <c r="B22" s="980" t="s">
        <v>562</v>
      </c>
      <c r="C22" s="981"/>
      <c r="D22" s="982"/>
      <c r="E22" s="532" t="s">
        <v>700</v>
      </c>
      <c r="F22" s="532" t="s">
        <v>701</v>
      </c>
      <c r="G22" s="977">
        <v>1.1000000000000001</v>
      </c>
      <c r="H22" s="978"/>
      <c r="I22" s="978"/>
      <c r="J22" s="978"/>
      <c r="K22" s="979"/>
      <c r="L22" s="954" t="s">
        <v>697</v>
      </c>
      <c r="M22" s="954"/>
      <c r="N22" s="954"/>
      <c r="O22" s="954"/>
      <c r="P22" s="954"/>
      <c r="Q22" s="954"/>
      <c r="S22" s="64" t="s">
        <v>50</v>
      </c>
      <c r="T22" s="67">
        <v>0.3</v>
      </c>
      <c r="U22" s="66">
        <v>0.6</v>
      </c>
      <c r="V22" s="66">
        <v>0.9</v>
      </c>
      <c r="W22" s="66">
        <v>1</v>
      </c>
      <c r="X22" s="66">
        <v>2</v>
      </c>
      <c r="Y22" s="70"/>
      <c r="Z22" s="70"/>
      <c r="AA22" s="64" t="s">
        <v>50</v>
      </c>
      <c r="AB22" s="67">
        <v>0.2</v>
      </c>
      <c r="AC22" s="66">
        <v>0.4</v>
      </c>
      <c r="AD22" s="66">
        <v>0.6</v>
      </c>
      <c r="AE22" s="66">
        <v>0.8</v>
      </c>
      <c r="AF22" s="66">
        <v>1</v>
      </c>
      <c r="AG22" s="70"/>
      <c r="AH22" s="70"/>
      <c r="AI22" s="70"/>
    </row>
    <row r="23" spans="1:35" ht="87" customHeight="1">
      <c r="A23" s="3"/>
      <c r="B23" s="1025" t="s">
        <v>566</v>
      </c>
      <c r="C23" s="1025"/>
      <c r="D23" s="1025"/>
      <c r="E23" s="532" t="s">
        <v>702</v>
      </c>
      <c r="F23" s="532" t="s">
        <v>703</v>
      </c>
      <c r="G23" s="977">
        <v>1.02</v>
      </c>
      <c r="H23" s="978"/>
      <c r="I23" s="978"/>
      <c r="J23" s="978"/>
      <c r="K23" s="979"/>
      <c r="L23" s="954" t="s">
        <v>698</v>
      </c>
      <c r="M23" s="954"/>
      <c r="N23" s="954"/>
      <c r="O23" s="954"/>
      <c r="P23" s="954"/>
      <c r="Q23" s="954"/>
      <c r="S23" s="68"/>
      <c r="T23" s="69" t="str">
        <f>"de "&amp;T21&amp;" a "&amp;T22</f>
        <v>de 0 a 0,3</v>
      </c>
      <c r="U23" s="69" t="str">
        <f>"de "&amp;U21&amp;" a "&amp;U22</f>
        <v>de 0,3 a 0,6</v>
      </c>
      <c r="V23" s="69" t="str">
        <f>"de "&amp;V21&amp;" a "&amp;V22</f>
        <v>de 0,6 a 0,9</v>
      </c>
      <c r="W23" s="69" t="str">
        <f>"de "&amp;W21&amp;" a "&amp;W22</f>
        <v>de 0,9 a 1</v>
      </c>
      <c r="X23" s="69" t="str">
        <f>"de "&amp;X21&amp;" a "&amp;X22</f>
        <v>de 1 a 2</v>
      </c>
      <c r="Y23" s="70"/>
      <c r="Z23" s="70" t="s">
        <v>75</v>
      </c>
      <c r="AA23" s="68" t="s">
        <v>74</v>
      </c>
      <c r="AB23" s="69" t="str">
        <f>"de "&amp;AB21&amp;" a "&amp;AB22</f>
        <v>de 0 a 0,2</v>
      </c>
      <c r="AC23" s="69" t="str">
        <f>"de "&amp;AC21&amp;" a "&amp;AC22</f>
        <v>de 0,2 a 0,4</v>
      </c>
      <c r="AD23" s="69" t="str">
        <f>"de "&amp;AD21&amp;" a "&amp;AD22</f>
        <v>de 0,4 a 0,6</v>
      </c>
      <c r="AE23" s="69" t="str">
        <f>"de "&amp;AE21&amp;" a "&amp;AE22</f>
        <v>de 0,6 a 0,8</v>
      </c>
      <c r="AF23" s="69" t="str">
        <f>"de "&amp;AF21&amp;" a "&amp;AF22</f>
        <v>de 0,8 a 1</v>
      </c>
      <c r="AG23" s="70"/>
      <c r="AH23" s="70"/>
      <c r="AI23" s="70"/>
    </row>
    <row r="24" spans="1:35" ht="92.25" customHeight="1">
      <c r="A24" s="3"/>
      <c r="B24" s="1026" t="s">
        <v>498</v>
      </c>
      <c r="C24" s="1027"/>
      <c r="D24" s="1028"/>
      <c r="E24" s="532" t="s">
        <v>704</v>
      </c>
      <c r="F24" s="532" t="s">
        <v>705</v>
      </c>
      <c r="G24" s="977">
        <v>1.2</v>
      </c>
      <c r="H24" s="978"/>
      <c r="I24" s="978"/>
      <c r="J24" s="978"/>
      <c r="K24" s="979"/>
      <c r="L24" s="983" t="s">
        <v>699</v>
      </c>
      <c r="M24" s="983"/>
      <c r="N24" s="983"/>
      <c r="O24" s="983"/>
      <c r="P24" s="983"/>
      <c r="Q24" s="983"/>
      <c r="S24" s="68"/>
      <c r="T24" s="66" t="e">
        <f t="shared" ref="T24:W26" si="0">IF($K22&gt;T$21,IF($K22&lt;=T$22,$K22,NA()),NA())</f>
        <v>#N/A</v>
      </c>
      <c r="U24" s="66" t="e">
        <f t="shared" si="0"/>
        <v>#N/A</v>
      </c>
      <c r="V24" s="66" t="e">
        <f t="shared" si="0"/>
        <v>#N/A</v>
      </c>
      <c r="W24" s="66" t="e">
        <f t="shared" si="0"/>
        <v>#N/A</v>
      </c>
      <c r="X24" s="66" t="e">
        <f>IF($K22&gt;X$21,IF($K22&lt;=X$22,1,NA()),NA())</f>
        <v>#N/A</v>
      </c>
      <c r="Y24" s="70"/>
      <c r="Z24" s="179" t="e">
        <f>+'[2]Сведения о гранте'!#REF!</f>
        <v>#REF!</v>
      </c>
      <c r="AA24" s="66" t="e">
        <f>+IF(Z24="A1",1,IF(Z24="A2",0.8,IF(Z24="B1",0.6,IF(Z24="B2",0.4,0.2))))</f>
        <v>#REF!</v>
      </c>
      <c r="AB24" s="66" t="e">
        <f>IF($AA24&gt;AB$21,IF($AA24&lt;=AB$22,$AA24,NA()),NA())</f>
        <v>#REF!</v>
      </c>
      <c r="AC24" s="66" t="e">
        <f t="shared" ref="AC24:AF26" si="1">IF($AA24&gt;AC$21,IF($AA24&lt;=AC$22,$AA24,NA()),NA())</f>
        <v>#REF!</v>
      </c>
      <c r="AD24" s="66" t="e">
        <f t="shared" si="1"/>
        <v>#REF!</v>
      </c>
      <c r="AE24" s="66" t="e">
        <f t="shared" si="1"/>
        <v>#REF!</v>
      </c>
      <c r="AF24" s="66" t="e">
        <f t="shared" si="1"/>
        <v>#REF!</v>
      </c>
      <c r="AG24" s="70"/>
      <c r="AH24" s="70"/>
      <c r="AI24" s="70"/>
    </row>
    <row r="25" spans="1:35" ht="100.5" customHeight="1">
      <c r="A25" s="3"/>
      <c r="B25" s="1031" t="s">
        <v>510</v>
      </c>
      <c r="C25" s="1032"/>
      <c r="D25" s="1033"/>
      <c r="E25" s="533" t="s">
        <v>706</v>
      </c>
      <c r="F25" s="533" t="s">
        <v>622</v>
      </c>
      <c r="G25" s="977">
        <v>0.67</v>
      </c>
      <c r="H25" s="978"/>
      <c r="I25" s="978"/>
      <c r="J25" s="978"/>
      <c r="K25" s="979"/>
      <c r="L25" s="983" t="s">
        <v>707</v>
      </c>
      <c r="M25" s="983"/>
      <c r="N25" s="983"/>
      <c r="O25" s="983"/>
      <c r="P25" s="983"/>
      <c r="Q25" s="983"/>
      <c r="S25" s="68"/>
      <c r="T25" s="66" t="e">
        <f t="shared" si="0"/>
        <v>#N/A</v>
      </c>
      <c r="U25" s="66" t="e">
        <f t="shared" si="0"/>
        <v>#N/A</v>
      </c>
      <c r="V25" s="66" t="e">
        <f t="shared" si="0"/>
        <v>#N/A</v>
      </c>
      <c r="W25" s="66" t="e">
        <f t="shared" si="0"/>
        <v>#N/A</v>
      </c>
      <c r="X25" s="66" t="e">
        <f>IF($K23&gt;X$21,IF($K23&lt;=X$22,1,1),NA())</f>
        <v>#N/A</v>
      </c>
      <c r="Y25" s="70"/>
      <c r="Z25" s="179" t="e">
        <f>+'[2]Сведения о гранте'!#REF!</f>
        <v>#REF!</v>
      </c>
      <c r="AA25" s="66" t="e">
        <f>+IF(Z25="A1",1,IF(Z25="A2",0.8,IF(Z25="B1",0.6,IF(Z25="B2",0.4,0.2))))</f>
        <v>#REF!</v>
      </c>
      <c r="AB25" s="66" t="e">
        <f>IF($AA25&gt;AB$21,IF($AA25&lt;=AB$22,$AA25,NA()),NA())</f>
        <v>#REF!</v>
      </c>
      <c r="AC25" s="66" t="e">
        <f t="shared" si="1"/>
        <v>#REF!</v>
      </c>
      <c r="AD25" s="66" t="e">
        <f t="shared" si="1"/>
        <v>#REF!</v>
      </c>
      <c r="AE25" s="66" t="e">
        <f t="shared" si="1"/>
        <v>#REF!</v>
      </c>
      <c r="AF25" s="66" t="e">
        <f t="shared" si="1"/>
        <v>#REF!</v>
      </c>
      <c r="AG25" s="70"/>
      <c r="AH25" s="70"/>
      <c r="AI25" s="70"/>
    </row>
    <row r="26" spans="1:35" ht="86.25" customHeight="1">
      <c r="A26" s="3"/>
      <c r="B26" s="980" t="s">
        <v>516</v>
      </c>
      <c r="C26" s="981"/>
      <c r="D26" s="982"/>
      <c r="E26" s="534" t="s">
        <v>573</v>
      </c>
      <c r="F26" s="534" t="s">
        <v>623</v>
      </c>
      <c r="G26" s="977">
        <v>1.19</v>
      </c>
      <c r="H26" s="978"/>
      <c r="I26" s="978"/>
      <c r="J26" s="978"/>
      <c r="K26" s="979"/>
      <c r="L26" s="983" t="s">
        <v>708</v>
      </c>
      <c r="M26" s="983"/>
      <c r="N26" s="983"/>
      <c r="O26" s="983"/>
      <c r="P26" s="983"/>
      <c r="Q26" s="983"/>
      <c r="S26" s="68"/>
      <c r="T26" s="66" t="e">
        <f t="shared" si="0"/>
        <v>#N/A</v>
      </c>
      <c r="U26" s="66" t="e">
        <f t="shared" si="0"/>
        <v>#N/A</v>
      </c>
      <c r="V26" s="66" t="e">
        <f t="shared" si="0"/>
        <v>#N/A</v>
      </c>
      <c r="W26" s="66" t="e">
        <f t="shared" si="0"/>
        <v>#N/A</v>
      </c>
      <c r="X26" s="66" t="e">
        <f>IF($K24&gt;X$21,IF($K24&lt;=X$22,1,NA()),NA())</f>
        <v>#N/A</v>
      </c>
      <c r="Y26" s="70"/>
      <c r="Z26" s="179" t="e">
        <f>+'[2]Сведения о гранте'!#REF!</f>
        <v>#REF!</v>
      </c>
      <c r="AA26" s="66" t="e">
        <f>+IF(Z26="A1",1,IF(Z26="A2",0.8,IF(Z26="B1",0.6,IF(Z26="B2",0.4,0.2))))</f>
        <v>#REF!</v>
      </c>
      <c r="AB26" s="66" t="e">
        <f>IF($AA26&gt;AB$21,IF($AA26&lt;=AB$22,$AA26,NA()),NA())</f>
        <v>#REF!</v>
      </c>
      <c r="AC26" s="66" t="e">
        <f t="shared" si="1"/>
        <v>#REF!</v>
      </c>
      <c r="AD26" s="66" t="e">
        <f t="shared" si="1"/>
        <v>#REF!</v>
      </c>
      <c r="AE26" s="66" t="e">
        <f t="shared" si="1"/>
        <v>#REF!</v>
      </c>
      <c r="AF26" s="66" t="e">
        <f t="shared" si="1"/>
        <v>#REF!</v>
      </c>
      <c r="AG26" s="70"/>
      <c r="AH26" s="70"/>
      <c r="AI26" s="70"/>
    </row>
    <row r="27" spans="1:35" ht="144" customHeight="1">
      <c r="A27" s="3"/>
      <c r="B27" s="980" t="s">
        <v>520</v>
      </c>
      <c r="C27" s="981"/>
      <c r="D27" s="982"/>
      <c r="E27" s="534" t="s">
        <v>624</v>
      </c>
      <c r="F27" s="534" t="s">
        <v>625</v>
      </c>
      <c r="G27" s="977">
        <v>0.85</v>
      </c>
      <c r="H27" s="978"/>
      <c r="I27" s="978"/>
      <c r="J27" s="978"/>
      <c r="K27" s="979"/>
      <c r="L27" s="983" t="s">
        <v>709</v>
      </c>
      <c r="M27" s="983"/>
      <c r="N27" s="983"/>
      <c r="O27" s="983"/>
      <c r="P27" s="983"/>
      <c r="Q27" s="983"/>
      <c r="S27" s="68"/>
      <c r="T27" s="66"/>
      <c r="U27" s="66"/>
      <c r="V27" s="66"/>
      <c r="W27" s="66"/>
      <c r="X27" s="66"/>
      <c r="Y27" s="70"/>
      <c r="Z27" s="179"/>
      <c r="AA27" s="535"/>
      <c r="AB27" s="535"/>
      <c r="AC27" s="535"/>
      <c r="AD27" s="535"/>
      <c r="AE27" s="535"/>
      <c r="AF27" s="535"/>
      <c r="AG27" s="70"/>
      <c r="AH27" s="70"/>
      <c r="AI27" s="70"/>
    </row>
    <row r="28" spans="1:35" ht="75" customHeight="1">
      <c r="A28" s="3"/>
      <c r="B28" s="980" t="s">
        <v>527</v>
      </c>
      <c r="C28" s="981"/>
      <c r="D28" s="982"/>
      <c r="E28" s="534" t="s">
        <v>626</v>
      </c>
      <c r="F28" s="534" t="s">
        <v>710</v>
      </c>
      <c r="G28" s="977">
        <v>1.2</v>
      </c>
      <c r="H28" s="978"/>
      <c r="I28" s="978"/>
      <c r="J28" s="978"/>
      <c r="K28" s="979"/>
      <c r="L28" s="955" t="s">
        <v>711</v>
      </c>
      <c r="M28" s="1029"/>
      <c r="N28" s="1029"/>
      <c r="O28" s="1029"/>
      <c r="P28" s="1029"/>
      <c r="Q28" s="1030"/>
      <c r="S28" s="68"/>
      <c r="T28" s="66" t="e">
        <f t="shared" ref="T28:W29" si="2">IF($K25&gt;T$21,IF($K25&lt;=T$22,$K25,NA()),NA())</f>
        <v>#N/A</v>
      </c>
      <c r="U28" s="66" t="e">
        <f t="shared" si="2"/>
        <v>#N/A</v>
      </c>
      <c r="V28" s="66" t="e">
        <f t="shared" si="2"/>
        <v>#N/A</v>
      </c>
      <c r="W28" s="66" t="e">
        <f t="shared" si="2"/>
        <v>#N/A</v>
      </c>
      <c r="X28" s="66" t="e">
        <f>IF($K25&gt;X$21,IF($K25&lt;=X$22,1,NA()),NA())</f>
        <v>#N/A</v>
      </c>
      <c r="Y28" s="70"/>
      <c r="Z28" s="70"/>
      <c r="AA28" s="70"/>
      <c r="AB28" s="70"/>
      <c r="AC28" s="70"/>
      <c r="AD28" s="70"/>
      <c r="AE28" s="70"/>
      <c r="AF28" s="70"/>
      <c r="AG28" s="70"/>
      <c r="AH28" s="70"/>
      <c r="AI28" s="70"/>
    </row>
    <row r="29" spans="1:35" ht="136.5" customHeight="1">
      <c r="A29" s="3"/>
      <c r="B29" s="948" t="s">
        <v>513</v>
      </c>
      <c r="C29" s="998"/>
      <c r="D29" s="999"/>
      <c r="E29" s="536" t="s">
        <v>586</v>
      </c>
      <c r="F29" s="536" t="s">
        <v>628</v>
      </c>
      <c r="G29" s="956">
        <v>1.1599999999999999</v>
      </c>
      <c r="H29" s="957"/>
      <c r="I29" s="957"/>
      <c r="J29" s="957"/>
      <c r="K29" s="958"/>
      <c r="L29" s="955" t="s">
        <v>712</v>
      </c>
      <c r="M29" s="720"/>
      <c r="N29" s="720"/>
      <c r="O29" s="720"/>
      <c r="P29" s="720"/>
      <c r="Q29" s="721"/>
      <c r="S29" s="68"/>
      <c r="T29" s="66" t="e">
        <f t="shared" si="2"/>
        <v>#N/A</v>
      </c>
      <c r="U29" s="66" t="e">
        <f t="shared" si="2"/>
        <v>#N/A</v>
      </c>
      <c r="V29" s="66" t="e">
        <f t="shared" si="2"/>
        <v>#N/A</v>
      </c>
      <c r="W29" s="66" t="e">
        <f t="shared" si="2"/>
        <v>#N/A</v>
      </c>
      <c r="X29" s="66" t="e">
        <f>IF($K26&gt;X$21,IF($K26&lt;=X$22,1,NA()),NA())</f>
        <v>#N/A</v>
      </c>
      <c r="Y29" s="70"/>
      <c r="Z29" s="70"/>
      <c r="AA29" s="70"/>
      <c r="AB29" s="70"/>
      <c r="AC29" s="70"/>
      <c r="AD29" s="70"/>
      <c r="AE29" s="70"/>
      <c r="AF29" s="70"/>
      <c r="AG29" s="70"/>
      <c r="AH29" s="70"/>
      <c r="AI29" s="70"/>
    </row>
    <row r="30" spans="1:35" ht="169.5" customHeight="1">
      <c r="A30" s="3"/>
      <c r="B30" s="948" t="s">
        <v>524</v>
      </c>
      <c r="C30" s="998"/>
      <c r="D30" s="999"/>
      <c r="E30" s="536" t="s">
        <v>590</v>
      </c>
      <c r="F30" s="536" t="s">
        <v>629</v>
      </c>
      <c r="G30" s="956">
        <v>0.83</v>
      </c>
      <c r="H30" s="957"/>
      <c r="I30" s="957"/>
      <c r="J30" s="957"/>
      <c r="K30" s="958"/>
      <c r="L30" s="955" t="s">
        <v>713</v>
      </c>
      <c r="M30" s="720"/>
      <c r="N30" s="720"/>
      <c r="O30" s="720"/>
      <c r="P30" s="720"/>
      <c r="Q30" s="721"/>
      <c r="S30" s="68"/>
      <c r="T30" s="66"/>
      <c r="U30" s="66"/>
      <c r="V30" s="66"/>
      <c r="W30" s="66"/>
      <c r="X30" s="66"/>
      <c r="Y30" s="70"/>
      <c r="Z30" s="70"/>
      <c r="AA30" s="70"/>
      <c r="AB30" s="70"/>
      <c r="AC30" s="70"/>
      <c r="AD30" s="70"/>
      <c r="AE30" s="70"/>
      <c r="AF30" s="70"/>
      <c r="AG30" s="70"/>
      <c r="AH30" s="70"/>
      <c r="AI30" s="70"/>
    </row>
    <row r="31" spans="1:35" ht="113.25" customHeight="1">
      <c r="A31" s="3"/>
      <c r="B31" s="948" t="s">
        <v>530</v>
      </c>
      <c r="C31" s="949"/>
      <c r="D31" s="950"/>
      <c r="E31" s="536" t="s">
        <v>594</v>
      </c>
      <c r="F31" s="536" t="s">
        <v>630</v>
      </c>
      <c r="G31" s="959">
        <v>1.2</v>
      </c>
      <c r="H31" s="960"/>
      <c r="I31" s="960"/>
      <c r="J31" s="960"/>
      <c r="K31" s="961"/>
      <c r="L31" s="955" t="s">
        <v>714</v>
      </c>
      <c r="M31" s="720"/>
      <c r="N31" s="720"/>
      <c r="O31" s="720"/>
      <c r="P31" s="720"/>
      <c r="Q31" s="721"/>
      <c r="S31" s="68"/>
      <c r="T31" s="66"/>
      <c r="U31" s="66"/>
      <c r="V31" s="66"/>
      <c r="W31" s="66"/>
      <c r="X31" s="66"/>
      <c r="Y31" s="70"/>
      <c r="Z31" s="70"/>
      <c r="AA31" s="70"/>
      <c r="AB31" s="70"/>
      <c r="AC31" s="70"/>
      <c r="AD31" s="70"/>
      <c r="AE31" s="70"/>
      <c r="AF31" s="70"/>
      <c r="AG31" s="70"/>
      <c r="AH31" s="70"/>
      <c r="AI31" s="70"/>
    </row>
    <row r="32" spans="1:35" ht="63" customHeight="1">
      <c r="A32" s="3"/>
      <c r="B32" s="948" t="s">
        <v>533</v>
      </c>
      <c r="C32" s="949"/>
      <c r="D32" s="950"/>
      <c r="E32" s="533">
        <v>0.93</v>
      </c>
      <c r="F32" s="533">
        <v>0.96</v>
      </c>
      <c r="G32" s="951">
        <v>1.03</v>
      </c>
      <c r="H32" s="952"/>
      <c r="I32" s="952"/>
      <c r="J32" s="952"/>
      <c r="K32" s="953"/>
      <c r="L32" s="954" t="s">
        <v>715</v>
      </c>
      <c r="M32" s="954"/>
      <c r="N32" s="954"/>
      <c r="O32" s="954"/>
      <c r="P32" s="954"/>
      <c r="Q32" s="954"/>
      <c r="S32" s="68"/>
      <c r="T32" s="66" t="e">
        <f t="shared" ref="T32:W33" si="3">IF($K28&gt;T$21,IF($K28&lt;=T$22,$K28,NA()),NA())</f>
        <v>#N/A</v>
      </c>
      <c r="U32" s="66" t="e">
        <f t="shared" si="3"/>
        <v>#N/A</v>
      </c>
      <c r="V32" s="66" t="e">
        <f t="shared" si="3"/>
        <v>#N/A</v>
      </c>
      <c r="W32" s="66" t="e">
        <f t="shared" si="3"/>
        <v>#N/A</v>
      </c>
      <c r="X32" s="66" t="e">
        <f>IF($K28&gt;X$21,IF($K28&lt;=X$22,1,NA()),NA())</f>
        <v>#N/A</v>
      </c>
      <c r="Y32" s="70"/>
      <c r="Z32" s="70"/>
      <c r="AA32" s="70"/>
      <c r="AB32" s="70"/>
      <c r="AC32" s="70"/>
      <c r="AD32" s="70"/>
      <c r="AE32" s="70"/>
      <c r="AF32" s="70"/>
      <c r="AG32" s="70"/>
      <c r="AH32" s="70"/>
      <c r="AI32" s="70"/>
    </row>
    <row r="33" spans="1:35" ht="100.5" customHeight="1">
      <c r="A33" s="3"/>
      <c r="B33" s="948" t="s">
        <v>537</v>
      </c>
      <c r="C33" s="949"/>
      <c r="D33" s="950"/>
      <c r="E33" s="533">
        <v>0.9</v>
      </c>
      <c r="F33" s="533">
        <v>0.94</v>
      </c>
      <c r="G33" s="951">
        <v>1.04</v>
      </c>
      <c r="H33" s="952"/>
      <c r="I33" s="952"/>
      <c r="J33" s="952"/>
      <c r="K33" s="953"/>
      <c r="L33" s="954" t="s">
        <v>716</v>
      </c>
      <c r="M33" s="954"/>
      <c r="N33" s="954"/>
      <c r="O33" s="954"/>
      <c r="P33" s="954"/>
      <c r="Q33" s="954"/>
      <c r="S33" s="68"/>
      <c r="T33" s="66" t="e">
        <f t="shared" si="3"/>
        <v>#N/A</v>
      </c>
      <c r="U33" s="66" t="e">
        <f t="shared" si="3"/>
        <v>#N/A</v>
      </c>
      <c r="V33" s="66" t="e">
        <f t="shared" si="3"/>
        <v>#N/A</v>
      </c>
      <c r="W33" s="66" t="e">
        <f t="shared" si="3"/>
        <v>#N/A</v>
      </c>
      <c r="X33" s="66" t="e">
        <f>IF($K29&gt;X$21,IF($K29&lt;=X$22,1,NA()),NA())</f>
        <v>#N/A</v>
      </c>
      <c r="Y33" s="70"/>
      <c r="Z33" s="70"/>
      <c r="AA33" s="70"/>
      <c r="AB33" s="70"/>
      <c r="AC33" s="70"/>
      <c r="AD33" s="70"/>
      <c r="AE33" s="70"/>
      <c r="AF33" s="70"/>
      <c r="AG33" s="70"/>
      <c r="AH33" s="70"/>
      <c r="AI33" s="70"/>
    </row>
    <row r="34" spans="1:35" ht="47.25" customHeight="1">
      <c r="A34" s="3"/>
      <c r="B34" s="948" t="s">
        <v>541</v>
      </c>
      <c r="C34" s="949"/>
      <c r="D34" s="950"/>
      <c r="E34" s="533">
        <v>0.9</v>
      </c>
      <c r="F34" s="533">
        <v>0.83</v>
      </c>
      <c r="G34" s="951">
        <v>0.92</v>
      </c>
      <c r="H34" s="952"/>
      <c r="I34" s="952"/>
      <c r="J34" s="952"/>
      <c r="K34" s="953"/>
      <c r="L34" s="954" t="s">
        <v>717</v>
      </c>
      <c r="M34" s="954"/>
      <c r="N34" s="954"/>
      <c r="O34" s="954"/>
      <c r="P34" s="954"/>
      <c r="Q34" s="954"/>
      <c r="S34" s="68"/>
      <c r="T34" s="66" t="e">
        <f>IF($K33&gt;T$21,IF($K33&lt;=T$22,$K33,NA()),NA())</f>
        <v>#N/A</v>
      </c>
      <c r="U34" s="66" t="e">
        <f>IF($K33&gt;U$21,IF($K33&lt;=U$22,$K33,NA()),NA())</f>
        <v>#N/A</v>
      </c>
      <c r="V34" s="66" t="e">
        <f>IF($K33&gt;V$21,IF($K33&lt;=V$22,$K33,NA()),NA())</f>
        <v>#N/A</v>
      </c>
      <c r="W34" s="66" t="e">
        <f>IF($K33&gt;W$21,IF($K33&lt;=W$22,$K33,NA()),NA())</f>
        <v>#N/A</v>
      </c>
      <c r="X34" s="66" t="e">
        <f>IF($K33&gt;X$21,IF($K33&lt;=X$22,1,NA()),NA())</f>
        <v>#N/A</v>
      </c>
      <c r="Y34" s="70"/>
      <c r="Z34" s="70"/>
      <c r="AA34" s="70"/>
      <c r="AB34" s="70"/>
      <c r="AC34" s="70"/>
      <c r="AD34" s="70"/>
      <c r="AE34" s="70"/>
      <c r="AF34" s="70"/>
      <c r="AG34" s="70"/>
      <c r="AH34" s="70"/>
      <c r="AI34" s="70"/>
    </row>
    <row r="35" spans="1:35" ht="51.75" customHeight="1">
      <c r="A35" s="3"/>
      <c r="B35" s="948" t="s">
        <v>603</v>
      </c>
      <c r="C35" s="949"/>
      <c r="D35" s="950"/>
      <c r="E35" s="536">
        <v>350</v>
      </c>
      <c r="F35" s="536">
        <v>510</v>
      </c>
      <c r="G35" s="951">
        <v>1.2</v>
      </c>
      <c r="H35" s="952"/>
      <c r="I35" s="952"/>
      <c r="J35" s="952"/>
      <c r="K35" s="953"/>
      <c r="L35" s="954" t="s">
        <v>718</v>
      </c>
      <c r="M35" s="954"/>
      <c r="N35" s="954"/>
      <c r="O35" s="954"/>
      <c r="P35" s="954"/>
      <c r="Q35" s="954"/>
      <c r="S35" s="68"/>
      <c r="T35" s="66" t="e">
        <f>IF(#REF!&gt;T$21,IF(#REF!&lt;=T$22,#REF!,NA()),NA())</f>
        <v>#REF!</v>
      </c>
      <c r="U35" s="66" t="e">
        <f>IF(#REF!&gt;U$21,IF(#REF!&lt;=U$22,#REF!,NA()),NA())</f>
        <v>#REF!</v>
      </c>
      <c r="V35" s="66" t="e">
        <f>IF(#REF!&gt;V$21,IF(#REF!&lt;=V$22,#REF!,NA()),NA())</f>
        <v>#REF!</v>
      </c>
      <c r="W35" s="66" t="e">
        <f>IF(#REF!&gt;W$21,IF(#REF!&lt;=W$22,#REF!,NA()),NA())</f>
        <v>#REF!</v>
      </c>
      <c r="X35" s="66" t="e">
        <f>IF(#REF!&gt;X$21,IF(#REF!&lt;=X$22,1,NA()),NA())</f>
        <v>#REF!</v>
      </c>
      <c r="Y35" s="70"/>
      <c r="Z35" s="70"/>
      <c r="AA35" s="70"/>
      <c r="AB35" s="70"/>
      <c r="AC35" s="70"/>
      <c r="AD35" s="70"/>
      <c r="AE35" s="70"/>
      <c r="AF35" s="70"/>
      <c r="AG35" s="70"/>
      <c r="AH35" s="70"/>
      <c r="AI35" s="70"/>
    </row>
    <row r="36" spans="1:35" ht="42.75" customHeight="1">
      <c r="A36" s="3"/>
      <c r="B36" s="948" t="s">
        <v>555</v>
      </c>
      <c r="C36" s="949"/>
      <c r="D36" s="950"/>
      <c r="E36" s="536">
        <v>24</v>
      </c>
      <c r="F36" s="536">
        <v>24</v>
      </c>
      <c r="G36" s="951">
        <v>1</v>
      </c>
      <c r="H36" s="952"/>
      <c r="I36" s="952"/>
      <c r="J36" s="952"/>
      <c r="K36" s="953"/>
      <c r="L36" s="954" t="s">
        <v>719</v>
      </c>
      <c r="M36" s="954"/>
      <c r="N36" s="954"/>
      <c r="O36" s="954"/>
      <c r="P36" s="954"/>
      <c r="Q36" s="954"/>
      <c r="S36" s="68"/>
      <c r="T36" s="66" t="e">
        <f>IF($K33&gt;T$21,IF($K33&lt;=T$22,$K33,NA()),NA())</f>
        <v>#N/A</v>
      </c>
      <c r="U36" s="66" t="e">
        <f>IF($K33&gt;U$21,IF($K33&lt;=U$22,$K33,NA()),NA())</f>
        <v>#N/A</v>
      </c>
      <c r="V36" s="66" t="e">
        <f>IF($K33&gt;V$21,IF($K33&lt;=V$22,$K33,NA()),NA())</f>
        <v>#N/A</v>
      </c>
      <c r="W36" s="66" t="e">
        <f>IF($K33&gt;W$21,IF($K33&lt;=W$22,$K33,NA()),NA())</f>
        <v>#N/A</v>
      </c>
      <c r="X36" s="66" t="e">
        <f>IF($K33&gt;X$21,IF($K33&lt;=X$22,1,NA()),NA())</f>
        <v>#N/A</v>
      </c>
      <c r="Y36" s="70"/>
      <c r="Z36" s="70"/>
      <c r="AA36" s="70"/>
      <c r="AB36" s="70"/>
      <c r="AC36" s="70"/>
      <c r="AD36" s="70"/>
      <c r="AE36" s="70"/>
      <c r="AF36" s="70"/>
      <c r="AG36" s="70"/>
      <c r="AH36" s="70"/>
      <c r="AI36" s="70"/>
    </row>
    <row r="37" spans="1:35" ht="66" customHeight="1">
      <c r="A37" s="3"/>
      <c r="B37" s="948" t="s">
        <v>720</v>
      </c>
      <c r="C37" s="949"/>
      <c r="D37" s="950"/>
      <c r="E37" s="536" t="s">
        <v>692</v>
      </c>
      <c r="F37" s="536" t="s">
        <v>721</v>
      </c>
      <c r="G37" s="951">
        <v>0.88</v>
      </c>
      <c r="H37" s="952"/>
      <c r="I37" s="952"/>
      <c r="J37" s="952"/>
      <c r="K37" s="953"/>
      <c r="L37" s="954" t="s">
        <v>722</v>
      </c>
      <c r="M37" s="954"/>
      <c r="N37" s="954"/>
      <c r="O37" s="954"/>
      <c r="P37" s="954"/>
      <c r="Q37" s="954"/>
      <c r="S37" s="68"/>
      <c r="T37" s="66" t="e">
        <f>IF($K35&gt;T$21,IF($K35&lt;=T$22,$K35,NA()),NA())</f>
        <v>#N/A</v>
      </c>
      <c r="U37" s="66" t="e">
        <f>IF($K35&gt;U$21,IF($K35&lt;=U$22,$K35,NA()),NA())</f>
        <v>#N/A</v>
      </c>
      <c r="V37" s="66" t="e">
        <f>IF($K35&gt;V$21,IF($K35&lt;=V$22,$K35,NA()),NA())</f>
        <v>#N/A</v>
      </c>
      <c r="W37" s="66" t="e">
        <f>IF($K35&gt;W$21,IF($K35&lt;=W$22,$K35,NA()),NA())</f>
        <v>#N/A</v>
      </c>
      <c r="X37" s="66" t="e">
        <f>IF($K35&gt;X$21,IF($K35&lt;=X$22,1,NA()),NA())</f>
        <v>#N/A</v>
      </c>
      <c r="Y37" s="70"/>
      <c r="Z37" s="70"/>
      <c r="AA37" s="70"/>
      <c r="AB37" s="70"/>
      <c r="AC37" s="70"/>
      <c r="AD37" s="70"/>
      <c r="AE37" s="70"/>
      <c r="AF37" s="70"/>
      <c r="AG37" s="70"/>
      <c r="AH37" s="70"/>
      <c r="AI37" s="70"/>
    </row>
    <row r="38" spans="1:35" ht="146.25" customHeight="1">
      <c r="A38" s="3"/>
      <c r="B38" s="948" t="s">
        <v>729</v>
      </c>
      <c r="C38" s="949"/>
      <c r="D38" s="950"/>
      <c r="E38" s="536">
        <v>240</v>
      </c>
      <c r="F38" s="536">
        <v>220</v>
      </c>
      <c r="G38" s="951">
        <v>0.92</v>
      </c>
      <c r="H38" s="952"/>
      <c r="I38" s="952"/>
      <c r="J38" s="952"/>
      <c r="K38" s="953"/>
      <c r="L38" s="1034" t="s">
        <v>725</v>
      </c>
      <c r="M38" s="954"/>
      <c r="N38" s="954"/>
      <c r="O38" s="954"/>
      <c r="P38" s="954"/>
      <c r="Q38" s="954"/>
      <c r="S38" s="537"/>
      <c r="T38" s="535"/>
      <c r="U38" s="535"/>
      <c r="V38" s="535"/>
      <c r="W38" s="535"/>
      <c r="X38" s="535"/>
      <c r="Y38" s="70"/>
      <c r="Z38" s="70"/>
      <c r="AA38" s="70"/>
      <c r="AB38" s="70"/>
      <c r="AC38" s="70"/>
      <c r="AD38" s="70"/>
      <c r="AE38" s="70"/>
      <c r="AF38" s="70"/>
      <c r="AG38" s="70"/>
      <c r="AH38" s="70"/>
      <c r="AI38" s="70"/>
    </row>
    <row r="39" spans="1:35" ht="149.25" customHeight="1">
      <c r="A39" s="3"/>
      <c r="B39" s="948" t="s">
        <v>544</v>
      </c>
      <c r="C39" s="949"/>
      <c r="D39" s="950"/>
      <c r="E39" s="533">
        <v>0.95</v>
      </c>
      <c r="F39" s="533" t="s">
        <v>696</v>
      </c>
      <c r="G39" s="951">
        <v>1</v>
      </c>
      <c r="H39" s="952"/>
      <c r="I39" s="952"/>
      <c r="J39" s="952"/>
      <c r="K39" s="953"/>
      <c r="L39" s="954" t="s">
        <v>723</v>
      </c>
      <c r="M39" s="954"/>
      <c r="N39" s="954"/>
      <c r="O39" s="954"/>
      <c r="P39" s="954"/>
      <c r="Q39" s="954"/>
      <c r="S39" s="201"/>
      <c r="T39" s="201"/>
      <c r="U39" s="201"/>
      <c r="V39" s="201"/>
      <c r="W39" s="201"/>
      <c r="X39" s="201"/>
      <c r="Y39" s="70"/>
      <c r="Z39" s="70"/>
      <c r="AA39" s="70"/>
      <c r="AB39" s="70"/>
      <c r="AC39" s="70"/>
      <c r="AD39" s="201"/>
      <c r="AE39" s="201"/>
      <c r="AF39" s="201"/>
      <c r="AG39" s="201"/>
      <c r="AH39" s="201"/>
      <c r="AI39" s="201"/>
    </row>
    <row r="40" spans="1:35" ht="142.5" customHeight="1">
      <c r="A40" s="3"/>
      <c r="B40" s="948" t="s">
        <v>548</v>
      </c>
      <c r="C40" s="949"/>
      <c r="D40" s="950"/>
      <c r="E40" s="533">
        <v>0.9</v>
      </c>
      <c r="F40" s="533" t="s">
        <v>728</v>
      </c>
      <c r="G40" s="951">
        <v>1</v>
      </c>
      <c r="H40" s="952"/>
      <c r="I40" s="952"/>
      <c r="J40" s="952"/>
      <c r="K40" s="953"/>
      <c r="L40" s="954" t="s">
        <v>724</v>
      </c>
      <c r="M40" s="954"/>
      <c r="N40" s="954"/>
      <c r="O40" s="954"/>
      <c r="P40" s="954"/>
      <c r="Q40" s="954"/>
      <c r="S40" s="201"/>
      <c r="T40" s="201"/>
      <c r="U40" s="201"/>
      <c r="V40" s="201"/>
      <c r="W40" s="201"/>
      <c r="X40" s="201"/>
      <c r="Y40" s="70"/>
      <c r="Z40" s="70"/>
      <c r="AA40" s="70"/>
      <c r="AB40" s="70"/>
      <c r="AC40" s="70"/>
      <c r="AD40" s="201"/>
      <c r="AE40" s="201"/>
      <c r="AF40" s="201"/>
      <c r="AG40" s="201"/>
      <c r="AH40" s="201"/>
      <c r="AI40" s="201"/>
    </row>
    <row r="42" spans="1:35" ht="18.75">
      <c r="E42" s="970" t="s">
        <v>631</v>
      </c>
      <c r="F42" s="971"/>
      <c r="G42" s="971"/>
      <c r="H42" s="971"/>
      <c r="I42" s="971"/>
      <c r="J42" s="971"/>
      <c r="K42" s="971"/>
      <c r="L42" s="971"/>
    </row>
    <row r="43" spans="1:35" ht="18.75" customHeight="1" thickBot="1">
      <c r="A43" s="3"/>
      <c r="B43" s="967" t="str">
        <f>+'Ввод данных'!A205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43" s="967"/>
      <c r="D43" s="967"/>
      <c r="E43" s="967"/>
      <c r="F43" s="967" t="str">
        <f>+'Ввод данных'!A207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G43" s="967"/>
      <c r="H43" s="967"/>
      <c r="I43" s="967"/>
      <c r="J43" s="967"/>
      <c r="K43" s="967"/>
      <c r="L43" s="967" t="str">
        <f>+'Ввод данных'!A209</f>
        <v xml:space="preserve">MDR TB-1: Процент ранее излеченных ТБ пациентов, прошедших ТЛЧ (только бактериологически положительные случаи) </v>
      </c>
      <c r="M43" s="967"/>
      <c r="N43" s="967"/>
      <c r="O43" s="967"/>
      <c r="P43" s="967"/>
      <c r="Q43" s="967"/>
      <c r="S43" s="201"/>
      <c r="T43" s="201"/>
      <c r="U43" s="201"/>
      <c r="V43" s="201"/>
      <c r="W43" s="201"/>
      <c r="X43" s="201"/>
      <c r="Y43" s="70"/>
      <c r="Z43" s="70"/>
      <c r="AA43" s="70"/>
      <c r="AB43" s="70"/>
      <c r="AC43" s="70"/>
      <c r="AD43" s="201"/>
      <c r="AE43" s="201"/>
      <c r="AF43" s="201"/>
      <c r="AG43" s="201"/>
      <c r="AH43" s="201"/>
      <c r="AI43" s="201"/>
    </row>
    <row r="44" spans="1:35" ht="50.25" customHeight="1" thickBot="1">
      <c r="A44" s="3"/>
      <c r="B44" s="591" t="s">
        <v>435</v>
      </c>
      <c r="C44" s="1000" t="s">
        <v>470</v>
      </c>
      <c r="D44" s="1001"/>
      <c r="E44" s="1002"/>
      <c r="F44" s="596" t="s">
        <v>435</v>
      </c>
      <c r="G44" s="1000" t="s">
        <v>471</v>
      </c>
      <c r="H44" s="1001"/>
      <c r="I44" s="1001"/>
      <c r="J44" s="1001"/>
      <c r="K44" s="1002"/>
      <c r="L44" s="596" t="s">
        <v>435</v>
      </c>
      <c r="M44" s="1000" t="s">
        <v>472</v>
      </c>
      <c r="N44" s="1001"/>
      <c r="O44" s="1001"/>
      <c r="P44" s="1001"/>
      <c r="Q44" s="1022"/>
      <c r="S44" s="201"/>
      <c r="T44" s="201"/>
      <c r="U44" s="201"/>
      <c r="V44" s="201"/>
      <c r="W44" s="201"/>
      <c r="X44" s="201"/>
      <c r="Y44" s="201"/>
      <c r="Z44" s="201"/>
      <c r="AA44" s="201"/>
      <c r="AB44" s="201"/>
      <c r="AC44" s="201"/>
      <c r="AD44" s="201"/>
      <c r="AE44" s="201"/>
      <c r="AF44" s="201"/>
      <c r="AG44" s="201"/>
      <c r="AH44" s="201"/>
      <c r="AI44" s="201"/>
    </row>
    <row r="45" spans="1:35" ht="18.75" customHeight="1">
      <c r="A45" s="3"/>
      <c r="B45" s="117"/>
      <c r="C45" s="117"/>
      <c r="D45" s="199"/>
      <c r="E45" s="199"/>
      <c r="F45" s="199"/>
      <c r="G45" s="199"/>
      <c r="H45" s="199"/>
      <c r="I45" s="199"/>
      <c r="J45" s="199"/>
      <c r="K45" s="199"/>
      <c r="L45" s="199"/>
      <c r="M45" s="3"/>
      <c r="N45" s="3"/>
      <c r="O45" s="183"/>
      <c r="P45" s="182"/>
      <c r="S45" s="201"/>
      <c r="T45" s="201"/>
      <c r="U45" s="201"/>
      <c r="V45" s="201"/>
      <c r="W45" s="201"/>
      <c r="X45" s="201"/>
      <c r="Y45" s="201"/>
      <c r="Z45" s="201"/>
      <c r="AA45" s="201"/>
      <c r="AB45" s="201"/>
      <c r="AC45" s="201"/>
      <c r="AD45" s="201"/>
      <c r="AE45" s="201"/>
      <c r="AF45" s="201"/>
      <c r="AG45" s="201"/>
      <c r="AH45" s="201"/>
      <c r="AI45" s="201"/>
    </row>
    <row r="46" spans="1:35" ht="18.75" customHeight="1">
      <c r="A46" s="3"/>
      <c r="B46" s="117"/>
      <c r="C46" s="117"/>
      <c r="D46" s="199"/>
      <c r="E46" s="199"/>
      <c r="F46" s="199"/>
      <c r="G46" s="199"/>
      <c r="H46" s="199"/>
      <c r="I46" s="199"/>
      <c r="J46" s="199"/>
      <c r="K46" s="199"/>
      <c r="L46" s="199"/>
      <c r="M46" s="3"/>
      <c r="N46" s="3"/>
      <c r="O46" s="183"/>
      <c r="P46" s="182"/>
      <c r="S46" s="201"/>
      <c r="T46" s="201"/>
      <c r="U46" s="201"/>
      <c r="V46" s="201"/>
      <c r="W46" s="201"/>
      <c r="X46" s="201"/>
      <c r="Y46" s="201"/>
      <c r="Z46" s="201"/>
      <c r="AA46" s="201"/>
      <c r="AB46" s="201"/>
      <c r="AC46" s="201"/>
      <c r="AD46" s="201"/>
      <c r="AE46" s="201"/>
      <c r="AF46" s="201"/>
      <c r="AG46" s="201"/>
      <c r="AH46" s="201"/>
      <c r="AI46" s="201"/>
    </row>
    <row r="47" spans="1:35" ht="18.75" customHeight="1">
      <c r="A47" s="3"/>
      <c r="B47" s="538"/>
      <c r="C47" s="538"/>
      <c r="D47" s="539"/>
      <c r="E47" s="539"/>
      <c r="F47" s="539"/>
      <c r="G47" s="539"/>
      <c r="H47" s="539"/>
      <c r="I47" s="539"/>
      <c r="J47" s="539"/>
      <c r="K47" s="539"/>
      <c r="L47" s="539"/>
      <c r="M47" s="3"/>
      <c r="N47" s="3"/>
      <c r="O47" s="183"/>
      <c r="P47" s="182"/>
      <c r="S47" s="201"/>
      <c r="T47" s="201"/>
      <c r="U47" s="201"/>
      <c r="V47" s="201"/>
      <c r="W47" s="201"/>
      <c r="X47" s="201"/>
      <c r="Y47" s="201"/>
      <c r="Z47" s="201"/>
      <c r="AA47" s="201"/>
      <c r="AB47" s="201"/>
      <c r="AC47" s="201"/>
      <c r="AD47" s="201"/>
      <c r="AE47" s="201"/>
      <c r="AF47" s="201"/>
      <c r="AG47" s="201"/>
      <c r="AH47" s="201"/>
      <c r="AI47" s="201"/>
    </row>
    <row r="48" spans="1:35" ht="18.75" customHeight="1">
      <c r="A48" s="3"/>
      <c r="B48" s="538"/>
      <c r="C48" s="538"/>
      <c r="D48" s="539"/>
      <c r="E48" s="539"/>
      <c r="F48" s="539"/>
      <c r="G48" s="539"/>
      <c r="H48" s="539"/>
      <c r="I48" s="539"/>
      <c r="J48" s="539"/>
      <c r="K48" s="539"/>
      <c r="L48" s="539"/>
      <c r="M48" s="3"/>
      <c r="N48" s="3"/>
      <c r="O48" s="183"/>
      <c r="P48" s="182"/>
      <c r="S48" s="201"/>
      <c r="T48" s="201"/>
      <c r="U48" s="201"/>
      <c r="V48" s="201"/>
      <c r="W48" s="201"/>
      <c r="X48" s="201"/>
      <c r="Y48" s="201"/>
      <c r="Z48" s="201"/>
      <c r="AA48" s="201"/>
      <c r="AB48" s="201"/>
      <c r="AC48" s="201"/>
      <c r="AD48" s="201"/>
      <c r="AE48" s="201"/>
      <c r="AF48" s="201"/>
      <c r="AG48" s="201"/>
      <c r="AH48" s="201"/>
      <c r="AI48" s="201"/>
    </row>
    <row r="49" spans="1:35" ht="18.75" customHeight="1">
      <c r="A49" s="3"/>
      <c r="B49" s="117"/>
      <c r="C49" s="117"/>
      <c r="D49" s="199"/>
      <c r="E49" s="199"/>
      <c r="F49" s="199"/>
      <c r="G49" s="199"/>
      <c r="H49" s="199"/>
      <c r="I49" s="199"/>
      <c r="J49" s="199"/>
      <c r="K49" s="199"/>
      <c r="L49" s="199"/>
      <c r="M49" s="3"/>
      <c r="N49" s="3"/>
      <c r="O49" s="183"/>
      <c r="P49" s="182"/>
      <c r="S49" s="201"/>
      <c r="T49" s="201"/>
      <c r="U49" s="201"/>
      <c r="V49" s="201"/>
      <c r="W49" s="201"/>
      <c r="X49" s="201"/>
      <c r="Y49" s="201"/>
      <c r="Z49" s="201"/>
      <c r="AA49" s="201"/>
      <c r="AB49" s="201"/>
      <c r="AC49" s="201"/>
      <c r="AD49" s="201"/>
      <c r="AE49" s="201"/>
      <c r="AF49" s="201"/>
      <c r="AG49" s="201"/>
      <c r="AH49" s="201"/>
      <c r="AI49" s="201"/>
    </row>
    <row r="50" spans="1:35" ht="18.75" customHeight="1">
      <c r="A50" s="3"/>
      <c r="B50" s="117"/>
      <c r="C50" s="117"/>
      <c r="D50" s="199"/>
      <c r="E50" s="199"/>
      <c r="F50" s="199"/>
      <c r="G50" s="199"/>
      <c r="H50" s="199"/>
      <c r="I50" s="199"/>
      <c r="J50" s="199"/>
      <c r="K50" s="199"/>
      <c r="L50" s="199"/>
      <c r="M50" s="3"/>
      <c r="N50" s="3"/>
      <c r="O50" s="183"/>
      <c r="P50" s="182"/>
      <c r="S50" s="201"/>
      <c r="T50" s="201"/>
      <c r="U50" s="201"/>
      <c r="V50" s="201"/>
      <c r="W50" s="201"/>
      <c r="X50" s="201"/>
      <c r="Y50" s="201"/>
      <c r="Z50" s="201"/>
      <c r="AA50" s="201"/>
      <c r="AB50" s="201"/>
      <c r="AC50" s="201"/>
      <c r="AD50" s="201"/>
      <c r="AE50" s="201"/>
      <c r="AF50" s="201"/>
      <c r="AG50" s="201"/>
      <c r="AH50" s="201"/>
      <c r="AI50" s="201"/>
    </row>
    <row r="51" spans="1:35" ht="18.75" customHeight="1">
      <c r="A51" s="3"/>
      <c r="B51" s="117"/>
      <c r="C51" s="117"/>
      <c r="D51" s="199"/>
      <c r="E51" s="199"/>
      <c r="F51" s="199"/>
      <c r="G51" s="199"/>
      <c r="H51" s="199"/>
      <c r="I51" s="199"/>
      <c r="J51" s="199"/>
      <c r="K51" s="199"/>
      <c r="L51" s="199"/>
      <c r="M51" s="3"/>
      <c r="N51" s="3"/>
      <c r="O51" s="183"/>
      <c r="P51" s="182"/>
      <c r="S51" s="201"/>
      <c r="T51" s="201"/>
      <c r="U51" s="201"/>
      <c r="V51" s="201"/>
      <c r="W51" s="201"/>
      <c r="X51" s="201"/>
      <c r="Y51" s="201"/>
      <c r="Z51" s="201"/>
      <c r="AA51" s="201"/>
      <c r="AB51" s="201"/>
      <c r="AC51" s="201"/>
      <c r="AD51" s="201"/>
      <c r="AE51" s="201"/>
      <c r="AF51" s="201"/>
      <c r="AG51" s="201"/>
      <c r="AH51" s="201"/>
      <c r="AI51" s="201"/>
    </row>
    <row r="52" spans="1:35" ht="18.75" customHeight="1">
      <c r="A52" s="3"/>
      <c r="B52" s="117"/>
      <c r="C52" s="117"/>
      <c r="D52" s="199"/>
      <c r="E52" s="199"/>
      <c r="F52" s="199"/>
      <c r="G52" s="199"/>
      <c r="H52" s="199"/>
      <c r="I52" s="199"/>
      <c r="J52" s="199"/>
      <c r="K52" s="199"/>
      <c r="L52" s="199"/>
      <c r="M52" s="3"/>
      <c r="N52" s="3"/>
      <c r="O52" s="183"/>
      <c r="P52" s="182"/>
      <c r="S52" s="201"/>
      <c r="T52" s="201"/>
      <c r="U52" s="201"/>
      <c r="V52" s="201"/>
      <c r="W52" s="201"/>
      <c r="X52" s="201"/>
      <c r="Y52" s="201"/>
      <c r="Z52" s="201"/>
      <c r="AA52" s="201"/>
      <c r="AB52" s="201"/>
      <c r="AC52" s="201"/>
      <c r="AD52" s="201"/>
      <c r="AE52" s="201"/>
      <c r="AF52" s="201"/>
      <c r="AG52" s="201"/>
      <c r="AH52" s="201"/>
      <c r="AI52" s="201"/>
    </row>
    <row r="53" spans="1:35" ht="18.75" customHeight="1">
      <c r="A53" s="3"/>
      <c r="B53" s="117"/>
      <c r="C53" s="117"/>
      <c r="D53" s="199"/>
      <c r="E53" s="199"/>
      <c r="F53" s="199"/>
      <c r="G53" s="199"/>
      <c r="H53" s="199"/>
      <c r="I53" s="199"/>
      <c r="J53" s="199"/>
      <c r="K53" s="199"/>
      <c r="L53" s="199"/>
      <c r="M53" s="3"/>
      <c r="N53" s="3"/>
      <c r="O53" s="183"/>
      <c r="P53" s="182"/>
      <c r="S53" s="201"/>
      <c r="T53" s="201"/>
      <c r="U53" s="201"/>
      <c r="V53" s="201"/>
      <c r="W53" s="201"/>
      <c r="X53" s="201"/>
      <c r="Y53" s="201"/>
      <c r="Z53" s="201"/>
      <c r="AA53" s="201"/>
      <c r="AB53" s="201"/>
      <c r="AC53" s="201"/>
      <c r="AD53" s="201"/>
      <c r="AE53" s="201"/>
      <c r="AF53" s="201"/>
      <c r="AG53" s="201"/>
      <c r="AH53" s="201"/>
      <c r="AI53" s="201"/>
    </row>
    <row r="54" spans="1:35" ht="17.25" customHeight="1">
      <c r="A54" s="3"/>
      <c r="B54" s="117"/>
      <c r="C54" s="117"/>
      <c r="D54" s="199"/>
      <c r="E54" s="199"/>
      <c r="F54" s="199"/>
      <c r="G54" s="199"/>
      <c r="H54" s="199"/>
      <c r="I54" s="199"/>
      <c r="J54" s="199"/>
      <c r="K54" s="199"/>
      <c r="L54" s="199"/>
      <c r="M54" s="3"/>
      <c r="N54" s="3"/>
      <c r="O54" s="183"/>
      <c r="P54" s="182"/>
      <c r="S54" s="201"/>
      <c r="T54" s="201"/>
      <c r="U54" s="201"/>
      <c r="V54" s="201"/>
      <c r="W54" s="201"/>
      <c r="X54" s="201"/>
      <c r="Y54" s="201"/>
      <c r="Z54" s="201"/>
      <c r="AA54" s="201"/>
      <c r="AB54" s="201"/>
      <c r="AC54" s="201"/>
      <c r="AD54" s="201"/>
      <c r="AE54" s="201"/>
      <c r="AF54" s="201"/>
      <c r="AG54" s="201"/>
      <c r="AH54" s="201"/>
      <c r="AI54" s="201"/>
    </row>
    <row r="55" spans="1:35" ht="6" customHeight="1">
      <c r="A55" s="3"/>
      <c r="B55" s="121"/>
      <c r="C55" s="117"/>
      <c r="D55" s="118"/>
      <c r="E55" s="975"/>
      <c r="F55" s="975"/>
      <c r="G55" s="975"/>
      <c r="H55" s="975"/>
      <c r="I55" s="975"/>
      <c r="J55" s="975"/>
      <c r="K55" s="975"/>
      <c r="L55" s="3"/>
      <c r="M55" s="3"/>
      <c r="N55" s="3"/>
      <c r="O55" s="3"/>
      <c r="P55" s="3"/>
      <c r="S55" s="201"/>
      <c r="T55" s="201"/>
      <c r="U55" s="201"/>
      <c r="V55" s="201"/>
      <c r="W55" s="201"/>
      <c r="X55" s="201"/>
      <c r="Y55" s="201"/>
      <c r="Z55" s="201"/>
      <c r="AA55" s="201"/>
      <c r="AB55" s="201"/>
      <c r="AC55" s="201"/>
      <c r="AD55" s="201"/>
      <c r="AE55" s="201"/>
      <c r="AF55" s="201"/>
      <c r="AG55" s="201"/>
      <c r="AH55" s="201"/>
      <c r="AI55" s="201"/>
    </row>
    <row r="56" spans="1:35" ht="24" customHeight="1">
      <c r="A56" s="3"/>
      <c r="B56" s="1010" t="s">
        <v>391</v>
      </c>
      <c r="C56" s="1010"/>
      <c r="D56" s="1010"/>
      <c r="E56" s="400" t="s">
        <v>379</v>
      </c>
      <c r="F56" s="400" t="s">
        <v>271</v>
      </c>
      <c r="G56" s="1006" t="s">
        <v>83</v>
      </c>
      <c r="H56" s="1007"/>
      <c r="I56" s="1008" t="s">
        <v>84</v>
      </c>
      <c r="J56" s="1009"/>
      <c r="K56" s="407" t="s">
        <v>85</v>
      </c>
      <c r="L56" s="1014" t="s">
        <v>456</v>
      </c>
      <c r="M56" s="1015"/>
      <c r="N56" s="1015"/>
      <c r="O56" s="1015"/>
      <c r="P56" s="1015"/>
      <c r="Q56" s="1016"/>
      <c r="S56" s="64" t="s">
        <v>49</v>
      </c>
      <c r="T56" s="65">
        <v>0</v>
      </c>
      <c r="U56" s="66">
        <v>0.3</v>
      </c>
      <c r="V56" s="66">
        <v>0.6</v>
      </c>
      <c r="W56" s="66">
        <v>0.9</v>
      </c>
      <c r="X56" s="66">
        <v>1</v>
      </c>
      <c r="Y56" s="70"/>
      <c r="Z56" s="70"/>
      <c r="AA56" s="64" t="s">
        <v>49</v>
      </c>
      <c r="AB56" s="65">
        <v>0</v>
      </c>
      <c r="AC56" s="66">
        <v>0.2</v>
      </c>
      <c r="AD56" s="66">
        <v>0.4</v>
      </c>
      <c r="AE56" s="66">
        <v>0.6</v>
      </c>
      <c r="AF56" s="66">
        <v>0.8</v>
      </c>
      <c r="AG56" s="70"/>
      <c r="AH56" s="70"/>
      <c r="AI56" s="70"/>
    </row>
    <row r="57" spans="1:35" ht="75.75" customHeight="1">
      <c r="A57" s="3"/>
      <c r="B57" s="1003" t="str">
        <f>+'Ввод данных'!A205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57" s="1004"/>
      <c r="D57" s="1005"/>
      <c r="E57" s="401">
        <v>2413</v>
      </c>
      <c r="F57" s="402" t="s">
        <v>633</v>
      </c>
      <c r="G57" s="962">
        <v>0.7</v>
      </c>
      <c r="H57" s="963"/>
      <c r="I57" s="963"/>
      <c r="J57" s="963"/>
      <c r="K57" s="964"/>
      <c r="L57" s="965" t="s">
        <v>634</v>
      </c>
      <c r="M57" s="965"/>
      <c r="N57" s="965"/>
      <c r="O57" s="965"/>
      <c r="P57" s="965"/>
      <c r="Q57" s="965"/>
      <c r="S57" s="64" t="s">
        <v>50</v>
      </c>
      <c r="T57" s="67">
        <v>0.3</v>
      </c>
      <c r="U57" s="66">
        <v>0.6</v>
      </c>
      <c r="V57" s="66">
        <v>0.9</v>
      </c>
      <c r="W57" s="66">
        <v>1</v>
      </c>
      <c r="X57" s="66">
        <v>2</v>
      </c>
      <c r="Y57" s="70"/>
      <c r="Z57" s="70"/>
      <c r="AA57" s="64" t="s">
        <v>50</v>
      </c>
      <c r="AB57" s="67">
        <v>0.2</v>
      </c>
      <c r="AC57" s="66">
        <v>0.4</v>
      </c>
      <c r="AD57" s="66">
        <v>0.6</v>
      </c>
      <c r="AE57" s="66">
        <v>0.8</v>
      </c>
      <c r="AF57" s="66">
        <v>1</v>
      </c>
      <c r="AG57" s="70"/>
      <c r="AH57" s="70"/>
      <c r="AI57" s="70"/>
    </row>
    <row r="58" spans="1:35" ht="73.5" customHeight="1">
      <c r="A58" s="3"/>
      <c r="B58" s="1003" t="str">
        <f>+'Ввод данных'!A207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C58" s="1004"/>
      <c r="D58" s="1005"/>
      <c r="E58" s="401">
        <v>1677</v>
      </c>
      <c r="F58" s="402" t="s">
        <v>635</v>
      </c>
      <c r="G58" s="1017">
        <v>1.21</v>
      </c>
      <c r="H58" s="1018"/>
      <c r="I58" s="1018"/>
      <c r="J58" s="1018"/>
      <c r="K58" s="1019"/>
      <c r="L58" s="965" t="s">
        <v>636</v>
      </c>
      <c r="M58" s="965"/>
      <c r="N58" s="965"/>
      <c r="O58" s="965"/>
      <c r="P58" s="965"/>
      <c r="Q58" s="965"/>
      <c r="S58" s="68"/>
      <c r="T58" s="69" t="str">
        <f>"de "&amp;T56&amp;" a "&amp;T57</f>
        <v>de 0 a 0,3</v>
      </c>
      <c r="U58" s="69" t="str">
        <f>"de "&amp;U56&amp;" a "&amp;U57</f>
        <v>de 0,3 a 0,6</v>
      </c>
      <c r="AH58" s="70"/>
      <c r="AI58" s="70"/>
    </row>
    <row r="59" spans="1:35" ht="67.5" customHeight="1">
      <c r="A59" s="3"/>
      <c r="B59" s="1003" t="str">
        <f>+'Ввод данных'!A209</f>
        <v xml:space="preserve">MDR TB-1: Процент ранее излеченных ТБ пациентов, прошедших ТЛЧ (только бактериологически положительные случаи) </v>
      </c>
      <c r="C59" s="1004"/>
      <c r="D59" s="1005"/>
      <c r="E59" s="477">
        <v>0.95</v>
      </c>
      <c r="F59" s="402" t="s">
        <v>637</v>
      </c>
      <c r="G59" s="962">
        <v>1.01</v>
      </c>
      <c r="H59" s="963"/>
      <c r="I59" s="963"/>
      <c r="J59" s="963"/>
      <c r="K59" s="964"/>
      <c r="L59" s="965" t="s">
        <v>638</v>
      </c>
      <c r="M59" s="965"/>
      <c r="N59" s="965"/>
      <c r="O59" s="965"/>
      <c r="P59" s="965"/>
      <c r="Q59" s="965"/>
      <c r="S59" s="68"/>
      <c r="T59" s="66" t="e">
        <f>IF($K57&gt;T$56,IF($K57&lt;=T$57,$K57,NA()),NA())</f>
        <v>#N/A</v>
      </c>
      <c r="U59" s="66" t="e">
        <f>IF($K57&gt;U$56,IF($K57&lt;=U$57,$K57,NA()),NA())</f>
        <v>#N/A</v>
      </c>
      <c r="AH59" s="70"/>
      <c r="AI59" s="70"/>
    </row>
    <row r="60" spans="1:35" ht="66.75" customHeight="1">
      <c r="A60" s="3"/>
      <c r="B60" s="1011" t="str">
        <f>+'Ввод данных'!A211</f>
        <v>MDR TB-2: Количество бактериологически подтвержденных зарегистрированных ЛУ-ТБ случаев (РУ-ТБ и/или МЛУ-ТБ)</v>
      </c>
      <c r="C60" s="1012"/>
      <c r="D60" s="1013"/>
      <c r="E60" s="479">
        <v>712</v>
      </c>
      <c r="F60" s="402" t="s">
        <v>639</v>
      </c>
      <c r="G60" s="962">
        <v>1.03</v>
      </c>
      <c r="H60" s="963"/>
      <c r="I60" s="963"/>
      <c r="J60" s="963"/>
      <c r="K60" s="964"/>
      <c r="L60" s="965" t="s">
        <v>640</v>
      </c>
      <c r="M60" s="965"/>
      <c r="N60" s="965"/>
      <c r="O60" s="965"/>
      <c r="P60" s="965"/>
      <c r="Q60" s="965"/>
      <c r="S60" s="68"/>
      <c r="T60" s="66"/>
      <c r="U60" s="66"/>
      <c r="AH60" s="70"/>
      <c r="AI60" s="70"/>
    </row>
    <row r="61" spans="1:35" ht="119.25" customHeight="1">
      <c r="A61" s="3"/>
      <c r="B61" s="985" t="str">
        <f>+'Ввод данных'!A213</f>
        <v>MDR TB-3: Число больных  с устойчивыми формами туберкулеза, включенных на лечение препаратами второго ряда ( вместе с пенитенциарной системой)</v>
      </c>
      <c r="C61" s="986"/>
      <c r="D61" s="987"/>
      <c r="E61" s="403">
        <v>662</v>
      </c>
      <c r="F61" s="406" t="s">
        <v>641</v>
      </c>
      <c r="G61" s="962">
        <v>1.04</v>
      </c>
      <c r="H61" s="963"/>
      <c r="I61" s="963"/>
      <c r="J61" s="963"/>
      <c r="K61" s="964"/>
      <c r="L61" s="965" t="s">
        <v>642</v>
      </c>
      <c r="M61" s="965"/>
      <c r="N61" s="965"/>
      <c r="O61" s="965"/>
      <c r="P61" s="965"/>
      <c r="Q61" s="965"/>
      <c r="AH61" s="70"/>
      <c r="AI61" s="70"/>
    </row>
    <row r="62" spans="1:35" ht="98.25" customHeight="1">
      <c r="A62" s="3"/>
      <c r="B62" s="985" t="str">
        <f>+'Ввод данных'!A215</f>
        <v xml:space="preserve">Процент и количество пациентов с симптомами или подозрениями на ТБ, обследованных методом Xpert MTB/RIF и подтвержденным активным ТБ  </v>
      </c>
      <c r="C62" s="986"/>
      <c r="D62" s="987"/>
      <c r="E62" s="404" t="s">
        <v>473</v>
      </c>
      <c r="F62" s="405" t="s">
        <v>643</v>
      </c>
      <c r="G62" s="988" t="s">
        <v>474</v>
      </c>
      <c r="H62" s="989"/>
      <c r="I62" s="989"/>
      <c r="J62" s="989"/>
      <c r="K62" s="990"/>
      <c r="L62" s="965" t="s">
        <v>644</v>
      </c>
      <c r="M62" s="965"/>
      <c r="N62" s="965"/>
      <c r="O62" s="965"/>
      <c r="P62" s="965"/>
      <c r="Q62" s="965"/>
      <c r="AH62" s="70"/>
      <c r="AI62" s="70"/>
    </row>
    <row r="63" spans="1:35" ht="22.5" customHeight="1">
      <c r="A63" s="3"/>
      <c r="B63" s="996"/>
      <c r="C63" s="996"/>
      <c r="D63" s="996"/>
      <c r="E63" s="996"/>
      <c r="F63" s="995"/>
      <c r="G63" s="995"/>
      <c r="H63" s="995"/>
      <c r="I63" s="995"/>
      <c r="J63" s="995"/>
      <c r="K63" s="995"/>
      <c r="L63" s="997"/>
      <c r="M63" s="997"/>
      <c r="N63" s="997"/>
      <c r="O63" s="997"/>
      <c r="P63" s="997"/>
      <c r="AH63" s="70"/>
      <c r="AI63" s="70"/>
    </row>
    <row r="64" spans="1:35" ht="22.5" customHeight="1">
      <c r="A64" s="3"/>
      <c r="B64" s="991"/>
      <c r="C64" s="991"/>
      <c r="D64" s="991"/>
      <c r="E64" s="992"/>
      <c r="F64" s="993"/>
      <c r="G64" s="994"/>
      <c r="H64" s="994"/>
      <c r="I64" s="994"/>
      <c r="J64" s="994"/>
      <c r="K64" s="992"/>
      <c r="L64" s="993"/>
      <c r="M64" s="994"/>
      <c r="N64" s="994"/>
      <c r="O64" s="994"/>
      <c r="P64" s="994"/>
      <c r="Y64" s="70"/>
      <c r="Z64" s="70"/>
      <c r="AA64" s="70"/>
      <c r="AB64" s="70"/>
      <c r="AC64" s="70"/>
      <c r="AD64" s="70"/>
      <c r="AE64" s="70"/>
      <c r="AF64" s="70"/>
      <c r="AG64" s="70"/>
      <c r="AH64" s="70"/>
      <c r="AI64" s="70"/>
    </row>
    <row r="65" spans="1:35">
      <c r="A65" s="3"/>
      <c r="B65" s="202"/>
      <c r="C65" s="202"/>
      <c r="D65" s="202"/>
      <c r="E65" s="202"/>
      <c r="F65" s="202"/>
      <c r="G65" s="202"/>
      <c r="H65" s="203"/>
      <c r="I65" s="202"/>
      <c r="J65" s="202"/>
      <c r="K65" s="202"/>
      <c r="L65" s="202"/>
      <c r="M65" s="202"/>
      <c r="N65" s="202"/>
      <c r="O65" s="202"/>
      <c r="P65" s="202"/>
      <c r="Y65" s="70"/>
      <c r="Z65" s="70"/>
      <c r="AA65" s="70"/>
      <c r="AB65" s="70"/>
      <c r="AC65" s="70"/>
      <c r="AD65" s="70"/>
      <c r="AE65" s="70"/>
      <c r="AF65" s="70"/>
      <c r="AG65" s="70"/>
      <c r="AH65" s="70"/>
      <c r="AI65" s="70"/>
    </row>
    <row r="66" spans="1:35">
      <c r="A66" s="3"/>
      <c r="B66" s="984"/>
      <c r="C66" s="984"/>
      <c r="D66" s="984"/>
      <c r="E66" s="984"/>
      <c r="F66" s="984"/>
      <c r="G66" s="984"/>
      <c r="H66" s="984"/>
      <c r="I66" s="984"/>
      <c r="J66" s="984"/>
      <c r="K66" s="984"/>
      <c r="L66" s="202"/>
      <c r="M66" s="202"/>
      <c r="N66" s="202"/>
      <c r="O66" s="202"/>
      <c r="P66" s="202"/>
      <c r="Y66" s="70"/>
      <c r="Z66" s="70"/>
      <c r="AA66" s="70"/>
      <c r="AB66" s="70"/>
      <c r="AC66" s="70"/>
      <c r="AD66" s="70"/>
      <c r="AE66" s="70"/>
      <c r="AF66" s="70"/>
      <c r="AG66" s="70"/>
      <c r="AH66" s="70"/>
      <c r="AI66" s="70"/>
    </row>
    <row r="67" spans="1:35">
      <c r="A67" s="3"/>
      <c r="B67" s="984"/>
      <c r="C67" s="984"/>
      <c r="D67" s="984"/>
      <c r="E67" s="984"/>
      <c r="F67" s="984"/>
      <c r="G67" s="984"/>
      <c r="H67" s="984"/>
      <c r="I67" s="984"/>
      <c r="J67" s="984"/>
      <c r="K67" s="984"/>
      <c r="L67" s="202"/>
      <c r="M67" s="202"/>
      <c r="N67" s="202"/>
      <c r="O67" s="202"/>
      <c r="P67" s="202"/>
      <c r="S67" s="70"/>
      <c r="T67" s="70"/>
      <c r="U67" s="70"/>
      <c r="V67" s="70"/>
      <c r="W67" s="70"/>
      <c r="X67" s="70"/>
      <c r="Y67" s="70"/>
      <c r="Z67" s="70"/>
      <c r="AA67" s="70"/>
      <c r="AB67" s="70"/>
      <c r="AC67" s="70"/>
      <c r="AD67" s="70"/>
      <c r="AE67" s="70"/>
      <c r="AF67" s="70"/>
      <c r="AG67" s="70"/>
      <c r="AH67" s="70"/>
      <c r="AI67" s="70"/>
    </row>
    <row r="68" spans="1:35">
      <c r="A68" s="3"/>
      <c r="B68" s="3"/>
      <c r="C68" s="3"/>
      <c r="D68" s="3"/>
      <c r="E68" s="3"/>
      <c r="F68" s="3"/>
      <c r="G68" s="3"/>
      <c r="H68" s="3"/>
      <c r="I68" s="97"/>
      <c r="J68" s="97"/>
      <c r="K68" s="97"/>
      <c r="L68" s="3"/>
      <c r="M68" s="3"/>
      <c r="N68" s="3"/>
      <c r="O68" s="3"/>
      <c r="P68" s="3"/>
      <c r="S68" s="70"/>
      <c r="T68" s="70"/>
      <c r="U68" s="70"/>
      <c r="V68" s="70"/>
      <c r="W68" s="70"/>
      <c r="X68" s="70"/>
      <c r="Y68" s="70"/>
      <c r="Z68" s="70"/>
      <c r="AA68" s="70"/>
      <c r="AB68" s="70"/>
      <c r="AC68" s="70"/>
      <c r="AD68" s="70"/>
      <c r="AE68" s="70"/>
      <c r="AF68" s="70"/>
      <c r="AG68" s="70"/>
      <c r="AH68" s="70"/>
      <c r="AI68" s="70"/>
    </row>
    <row r="69" spans="1:35">
      <c r="A69" s="3"/>
      <c r="B69" s="3"/>
      <c r="C69" s="3"/>
      <c r="D69" s="3"/>
      <c r="E69" s="3"/>
      <c r="F69" s="3"/>
      <c r="G69" s="3"/>
      <c r="H69" s="3"/>
      <c r="I69" s="128"/>
      <c r="J69" s="129"/>
      <c r="K69" s="129"/>
      <c r="L69" s="3"/>
      <c r="M69" s="3"/>
      <c r="N69" s="3"/>
      <c r="O69" s="3"/>
      <c r="P69" s="3"/>
      <c r="S69" s="70"/>
      <c r="T69" s="70"/>
      <c r="U69" s="70"/>
      <c r="V69" s="70"/>
      <c r="W69" s="70"/>
      <c r="X69" s="70"/>
      <c r="Y69" s="70"/>
      <c r="Z69" s="70"/>
      <c r="AA69" s="70"/>
      <c r="AB69" s="70"/>
      <c r="AC69" s="70"/>
      <c r="AD69" s="70"/>
      <c r="AE69" s="70"/>
      <c r="AF69" s="70"/>
      <c r="AG69" s="70"/>
      <c r="AH69" s="70"/>
      <c r="AI69" s="70"/>
    </row>
    <row r="70" spans="1:35">
      <c r="A70" s="3"/>
      <c r="B70" s="3"/>
      <c r="C70" s="3"/>
      <c r="D70" s="3"/>
      <c r="E70" s="3"/>
      <c r="F70" s="3"/>
      <c r="G70" s="3"/>
      <c r="H70" s="3"/>
      <c r="I70" s="130"/>
      <c r="J70" s="131"/>
      <c r="K70" s="99"/>
      <c r="L70" s="3"/>
      <c r="M70" s="3"/>
      <c r="N70" s="3"/>
      <c r="O70" s="3"/>
      <c r="P70" s="3"/>
      <c r="S70" s="70"/>
      <c r="T70" s="70"/>
      <c r="U70" s="70"/>
      <c r="V70" s="70"/>
      <c r="W70" s="70"/>
      <c r="X70" s="70"/>
      <c r="Y70" s="70"/>
      <c r="Z70" s="70"/>
      <c r="AA70" s="70"/>
      <c r="AB70" s="70"/>
      <c r="AC70" s="70"/>
      <c r="AD70" s="70"/>
      <c r="AE70" s="70"/>
      <c r="AF70" s="70"/>
      <c r="AG70" s="70"/>
      <c r="AH70" s="70"/>
      <c r="AI70" s="70"/>
    </row>
    <row r="71" spans="1:35">
      <c r="A71" s="3"/>
      <c r="B71" s="3"/>
      <c r="C71" s="3"/>
      <c r="D71" s="3"/>
      <c r="E71" s="3"/>
      <c r="F71" s="3"/>
      <c r="G71" s="3"/>
      <c r="H71" s="3"/>
      <c r="I71" s="132"/>
      <c r="J71" s="131"/>
      <c r="K71" s="99"/>
      <c r="L71" s="3"/>
      <c r="M71" s="3"/>
      <c r="N71" s="3"/>
      <c r="O71" s="3"/>
      <c r="P71" s="3"/>
      <c r="S71" s="70"/>
      <c r="T71" s="70"/>
      <c r="U71" s="70"/>
      <c r="V71" s="70"/>
      <c r="W71" s="70"/>
      <c r="X71" s="70"/>
      <c r="Y71" s="70"/>
      <c r="Z71" s="70"/>
      <c r="AA71" s="70"/>
      <c r="AB71" s="70"/>
      <c r="AC71" s="70"/>
      <c r="AD71" s="70"/>
      <c r="AE71" s="70"/>
      <c r="AF71" s="70"/>
      <c r="AG71" s="70"/>
      <c r="AH71" s="70"/>
      <c r="AI71" s="70"/>
    </row>
    <row r="72" spans="1:35">
      <c r="A72" s="3"/>
      <c r="B72" s="3"/>
      <c r="C72" s="3"/>
      <c r="D72" s="3"/>
      <c r="E72" s="3"/>
      <c r="F72" s="3"/>
      <c r="G72" s="3"/>
      <c r="H72" s="3"/>
      <c r="I72" s="130"/>
      <c r="J72" s="131"/>
      <c r="K72" s="99"/>
      <c r="L72" s="3"/>
      <c r="M72" s="3"/>
      <c r="N72" s="3"/>
      <c r="O72" s="3"/>
      <c r="P72" s="3"/>
      <c r="S72" s="70"/>
      <c r="T72" s="70"/>
      <c r="U72" s="70"/>
      <c r="V72" s="70"/>
      <c r="W72" s="70"/>
      <c r="X72" s="70"/>
      <c r="Y72" s="70"/>
      <c r="Z72" s="70"/>
      <c r="AA72" s="70"/>
      <c r="AB72" s="70"/>
      <c r="AC72" s="70"/>
      <c r="AD72" s="70"/>
      <c r="AE72" s="70"/>
      <c r="AF72" s="70"/>
      <c r="AG72" s="70"/>
      <c r="AH72" s="70"/>
      <c r="AI72" s="70"/>
    </row>
    <row r="73" spans="1:35">
      <c r="A73" s="3"/>
      <c r="B73" s="3"/>
      <c r="C73" s="3"/>
      <c r="D73" s="3"/>
      <c r="E73" s="3"/>
      <c r="F73" s="3"/>
      <c r="G73" s="3"/>
      <c r="H73" s="3"/>
      <c r="I73" s="3"/>
      <c r="J73" s="3"/>
      <c r="K73" s="3"/>
      <c r="L73" s="3"/>
      <c r="M73" s="3"/>
      <c r="N73" s="3"/>
      <c r="O73" s="3"/>
      <c r="P73" s="3"/>
      <c r="S73" s="70"/>
      <c r="T73" s="70"/>
      <c r="U73" s="70"/>
      <c r="V73" s="70"/>
      <c r="W73" s="70"/>
      <c r="X73" s="70"/>
      <c r="Y73" s="70"/>
      <c r="Z73" s="70"/>
      <c r="AA73" s="70"/>
      <c r="AB73" s="70"/>
      <c r="AC73" s="70"/>
      <c r="AD73" s="70"/>
      <c r="AE73" s="70"/>
      <c r="AF73" s="70"/>
      <c r="AG73" s="70"/>
      <c r="AH73" s="70"/>
      <c r="AI73" s="70"/>
    </row>
    <row r="74" spans="1:35">
      <c r="A74" s="3"/>
      <c r="B74" s="3"/>
      <c r="C74" s="3"/>
      <c r="D74" s="3"/>
      <c r="E74" s="3"/>
      <c r="F74" s="3"/>
      <c r="G74" s="3"/>
      <c r="H74" s="3"/>
      <c r="I74" s="3"/>
      <c r="J74" s="3"/>
      <c r="K74" s="3"/>
      <c r="L74" s="3"/>
      <c r="M74" s="3"/>
      <c r="N74" s="3"/>
      <c r="O74" s="3"/>
      <c r="P74" s="3"/>
      <c r="S74" s="70"/>
      <c r="T74" s="70"/>
      <c r="U74" s="70"/>
      <c r="V74" s="70"/>
      <c r="W74" s="70"/>
      <c r="X74" s="70"/>
      <c r="Y74" s="70"/>
      <c r="Z74" s="70"/>
      <c r="AA74" s="70"/>
      <c r="AB74" s="70"/>
      <c r="AC74" s="70"/>
      <c r="AD74" s="70"/>
      <c r="AE74" s="70"/>
      <c r="AF74" s="70"/>
      <c r="AG74" s="70"/>
      <c r="AH74" s="70"/>
      <c r="AI74" s="70"/>
    </row>
    <row r="75" spans="1:35">
      <c r="A75" s="3"/>
      <c r="B75" s="3"/>
      <c r="C75" s="3"/>
      <c r="D75" s="3"/>
      <c r="E75" s="3"/>
      <c r="F75" s="3"/>
      <c r="G75" s="3"/>
      <c r="H75" s="3"/>
      <c r="I75" s="3"/>
      <c r="J75" s="3"/>
      <c r="K75" s="3"/>
      <c r="L75" s="3"/>
      <c r="M75" s="3"/>
      <c r="N75" s="3"/>
      <c r="O75" s="3"/>
      <c r="P75" s="3"/>
      <c r="S75" s="63"/>
      <c r="T75" s="63"/>
      <c r="U75" s="63"/>
      <c r="V75" s="63"/>
      <c r="W75" s="63"/>
      <c r="X75" s="63"/>
      <c r="Y75" s="63"/>
      <c r="Z75" s="63"/>
      <c r="AA75" s="63"/>
      <c r="AB75" s="63"/>
    </row>
    <row r="76" spans="1:35">
      <c r="S76" s="63"/>
      <c r="T76" s="63"/>
      <c r="U76" s="63"/>
      <c r="V76" s="63"/>
      <c r="W76" s="63"/>
      <c r="X76" s="63"/>
      <c r="Y76" s="63"/>
      <c r="Z76" s="63"/>
      <c r="AA76" s="63"/>
      <c r="AB76" s="63"/>
    </row>
    <row r="77" spans="1:35">
      <c r="S77" s="63"/>
      <c r="T77" s="63"/>
      <c r="U77" s="63"/>
      <c r="V77" s="63"/>
      <c r="W77" s="63"/>
      <c r="X77" s="63"/>
      <c r="Y77" s="63"/>
      <c r="Z77" s="63"/>
      <c r="AA77" s="63"/>
      <c r="AB77" s="63"/>
    </row>
    <row r="78" spans="1:35">
      <c r="S78" s="63"/>
      <c r="T78" s="63"/>
      <c r="U78" s="63"/>
      <c r="V78" s="63"/>
      <c r="W78" s="63"/>
      <c r="X78" s="63"/>
      <c r="Y78" s="63"/>
      <c r="Z78" s="63"/>
      <c r="AA78" s="63"/>
      <c r="AB78" s="63"/>
    </row>
    <row r="79" spans="1:35">
      <c r="S79" s="63"/>
      <c r="T79" s="63"/>
      <c r="U79" s="63"/>
      <c r="V79" s="63"/>
      <c r="W79" s="63"/>
      <c r="X79" s="63"/>
      <c r="Y79" s="63"/>
      <c r="Z79" s="63"/>
      <c r="AA79" s="63"/>
      <c r="AB79" s="63"/>
    </row>
  </sheetData>
  <mergeCells count="115">
    <mergeCell ref="E42:L42"/>
    <mergeCell ref="B38:D38"/>
    <mergeCell ref="G38:K38"/>
    <mergeCell ref="L38:Q38"/>
    <mergeCell ref="B39:D39"/>
    <mergeCell ref="G39:K39"/>
    <mergeCell ref="L39:Q39"/>
    <mergeCell ref="B40:D40"/>
    <mergeCell ref="G40:K40"/>
    <mergeCell ref="L40:Q40"/>
    <mergeCell ref="G21:H21"/>
    <mergeCell ref="M44:Q44"/>
    <mergeCell ref="C3:D3"/>
    <mergeCell ref="E4:L4"/>
    <mergeCell ref="B43:E43"/>
    <mergeCell ref="F43:K43"/>
    <mergeCell ref="I21:J21"/>
    <mergeCell ref="L21:Q21"/>
    <mergeCell ref="B22:D22"/>
    <mergeCell ref="G22:K22"/>
    <mergeCell ref="L22:Q22"/>
    <mergeCell ref="B23:D23"/>
    <mergeCell ref="G23:K23"/>
    <mergeCell ref="L23:Q23"/>
    <mergeCell ref="B24:D24"/>
    <mergeCell ref="G24:K24"/>
    <mergeCell ref="L24:Q24"/>
    <mergeCell ref="L28:Q28"/>
    <mergeCell ref="B25:D25"/>
    <mergeCell ref="G25:K25"/>
    <mergeCell ref="L25:Q25"/>
    <mergeCell ref="B26:D26"/>
    <mergeCell ref="G26:K26"/>
    <mergeCell ref="L26:Q26"/>
    <mergeCell ref="L64:P64"/>
    <mergeCell ref="L57:Q57"/>
    <mergeCell ref="L58:Q58"/>
    <mergeCell ref="L59:Q59"/>
    <mergeCell ref="L63:P63"/>
    <mergeCell ref="L61:Q61"/>
    <mergeCell ref="B29:D29"/>
    <mergeCell ref="B31:D31"/>
    <mergeCell ref="C44:E44"/>
    <mergeCell ref="G44:K44"/>
    <mergeCell ref="B59:D59"/>
    <mergeCell ref="G56:H56"/>
    <mergeCell ref="I56:J56"/>
    <mergeCell ref="E55:K55"/>
    <mergeCell ref="B56:D56"/>
    <mergeCell ref="B57:D57"/>
    <mergeCell ref="B58:D58"/>
    <mergeCell ref="G29:K29"/>
    <mergeCell ref="B30:D30"/>
    <mergeCell ref="B60:D60"/>
    <mergeCell ref="L56:Q56"/>
    <mergeCell ref="L62:Q62"/>
    <mergeCell ref="G57:K57"/>
    <mergeCell ref="G58:K58"/>
    <mergeCell ref="B66:D67"/>
    <mergeCell ref="E66:G67"/>
    <mergeCell ref="H66:K67"/>
    <mergeCell ref="B61:D61"/>
    <mergeCell ref="B62:D62"/>
    <mergeCell ref="G61:K61"/>
    <mergeCell ref="G62:K62"/>
    <mergeCell ref="B64:E64"/>
    <mergeCell ref="F64:K64"/>
    <mergeCell ref="F63:K63"/>
    <mergeCell ref="B63:E63"/>
    <mergeCell ref="G59:K59"/>
    <mergeCell ref="L60:Q60"/>
    <mergeCell ref="G60:K60"/>
    <mergeCell ref="B2:Q2"/>
    <mergeCell ref="O3:P3"/>
    <mergeCell ref="D5:N5"/>
    <mergeCell ref="L43:Q43"/>
    <mergeCell ref="E3:K3"/>
    <mergeCell ref="C4:D4"/>
    <mergeCell ref="E6:L6"/>
    <mergeCell ref="B8:E8"/>
    <mergeCell ref="F8:K8"/>
    <mergeCell ref="L8:Q8"/>
    <mergeCell ref="C9:E9"/>
    <mergeCell ref="G9:K9"/>
    <mergeCell ref="M9:Q9"/>
    <mergeCell ref="E20:K20"/>
    <mergeCell ref="B21:D21"/>
    <mergeCell ref="G28:K28"/>
    <mergeCell ref="B27:D27"/>
    <mergeCell ref="G27:K27"/>
    <mergeCell ref="L27:Q27"/>
    <mergeCell ref="B28:D28"/>
    <mergeCell ref="B32:D32"/>
    <mergeCell ref="G32:K32"/>
    <mergeCell ref="L32:Q32"/>
    <mergeCell ref="B33:D33"/>
    <mergeCell ref="G33:K33"/>
    <mergeCell ref="L33:Q33"/>
    <mergeCell ref="L29:Q29"/>
    <mergeCell ref="G30:K30"/>
    <mergeCell ref="L30:Q30"/>
    <mergeCell ref="G31:K31"/>
    <mergeCell ref="L31:Q31"/>
    <mergeCell ref="B36:D36"/>
    <mergeCell ref="G36:K36"/>
    <mergeCell ref="L36:Q36"/>
    <mergeCell ref="B37:D37"/>
    <mergeCell ref="G37:K37"/>
    <mergeCell ref="L37:Q37"/>
    <mergeCell ref="B34:D34"/>
    <mergeCell ref="G34:K34"/>
    <mergeCell ref="L34:Q34"/>
    <mergeCell ref="B35:D35"/>
    <mergeCell ref="G35:K35"/>
    <mergeCell ref="L35:Q35"/>
  </mergeCells>
  <phoneticPr fontId="30" type="noConversion"/>
  <conditionalFormatting sqref="C4:D4">
    <cfRule type="cellIs" dxfId="74" priority="236" stopIfTrue="1" operator="equal">
      <formula>"C"</formula>
    </cfRule>
    <cfRule type="cellIs" dxfId="73" priority="237" stopIfTrue="1" operator="equal">
      <formula>"B2"</formula>
    </cfRule>
    <cfRule type="cellIs" dxfId="72" priority="238" stopIfTrue="1" operator="equal">
      <formula>"B1"</formula>
    </cfRule>
  </conditionalFormatting>
  <conditionalFormatting sqref="G58:G62">
    <cfRule type="cellIs" dxfId="71" priority="64" stopIfTrue="1" operator="between">
      <formula>0</formula>
      <formula>0.599</formula>
    </cfRule>
    <cfRule type="cellIs" dxfId="70" priority="65" stopIfTrue="1" operator="between">
      <formula>0.6</formula>
      <formula>0.899</formula>
    </cfRule>
    <cfRule type="cellIs" dxfId="69" priority="66" stopIfTrue="1" operator="greaterThanOrEqual">
      <formula>0.9</formula>
    </cfRule>
  </conditionalFormatting>
  <conditionalFormatting sqref="G57">
    <cfRule type="cellIs" dxfId="68" priority="58" stopIfTrue="1" operator="between">
      <formula>0</formula>
      <formula>0.599</formula>
    </cfRule>
    <cfRule type="cellIs" dxfId="67" priority="59" stopIfTrue="1" operator="between">
      <formula>0.6</formula>
      <formula>0.899</formula>
    </cfRule>
    <cfRule type="cellIs" dxfId="66" priority="60" stopIfTrue="1" operator="greaterThanOrEqual">
      <formula>0.9</formula>
    </cfRule>
  </conditionalFormatting>
  <conditionalFormatting sqref="G57:K57">
    <cfRule type="cellIs" dxfId="65" priority="55" stopIfTrue="1" operator="greaterThan">
      <formula>0.9</formula>
    </cfRule>
    <cfRule type="cellIs" dxfId="64" priority="56" stopIfTrue="1" operator="between">
      <formula>0.6</formula>
      <formula>0.89</formula>
    </cfRule>
    <cfRule type="cellIs" dxfId="63" priority="57" stopIfTrue="1" operator="lessThan">
      <formula>0.59</formula>
    </cfRule>
  </conditionalFormatting>
  <conditionalFormatting sqref="G58:K62">
    <cfRule type="cellIs" dxfId="62" priority="61" stopIfTrue="1" operator="greaterThan">
      <formula>0.9</formula>
    </cfRule>
    <cfRule type="cellIs" dxfId="61" priority="62" stopIfTrue="1" operator="between">
      <formula>0.6</formula>
      <formula>0.89</formula>
    </cfRule>
    <cfRule type="cellIs" dxfId="60" priority="63" stopIfTrue="1" operator="lessThan">
      <formula>0.59</formula>
    </cfRule>
  </conditionalFormatting>
  <conditionalFormatting sqref="G22 G25">
    <cfRule type="cellIs" dxfId="59" priority="52" stopIfTrue="1" operator="between">
      <formula>0</formula>
      <formula>0.599</formula>
    </cfRule>
    <cfRule type="cellIs" dxfId="58" priority="53" stopIfTrue="1" operator="between">
      <formula>0.6</formula>
      <formula>0.899</formula>
    </cfRule>
    <cfRule type="cellIs" dxfId="57" priority="54" stopIfTrue="1" operator="greaterThanOrEqual">
      <formula>0.9</formula>
    </cfRule>
  </conditionalFormatting>
  <conditionalFormatting sqref="G33">
    <cfRule type="cellIs" dxfId="56" priority="49" stopIfTrue="1" operator="between">
      <formula>0</formula>
      <formula>0.599</formula>
    </cfRule>
    <cfRule type="cellIs" dxfId="55" priority="50" stopIfTrue="1" operator="between">
      <formula>0.6</formula>
      <formula>0.899</formula>
    </cfRule>
    <cfRule type="cellIs" dxfId="54" priority="51" stopIfTrue="1" operator="greaterThanOrEqual">
      <formula>0.9</formula>
    </cfRule>
  </conditionalFormatting>
  <conditionalFormatting sqref="G34">
    <cfRule type="cellIs" dxfId="53" priority="46" stopIfTrue="1" operator="between">
      <formula>0</formula>
      <formula>0.599</formula>
    </cfRule>
    <cfRule type="cellIs" dxfId="52" priority="47" stopIfTrue="1" operator="between">
      <formula>0.6</formula>
      <formula>0.899</formula>
    </cfRule>
    <cfRule type="cellIs" dxfId="51" priority="48" stopIfTrue="1" operator="greaterThanOrEqual">
      <formula>0.9</formula>
    </cfRule>
  </conditionalFormatting>
  <conditionalFormatting sqref="G23">
    <cfRule type="cellIs" dxfId="50" priority="43" stopIfTrue="1" operator="between">
      <formula>0</formula>
      <formula>0.599</formula>
    </cfRule>
    <cfRule type="cellIs" dxfId="49" priority="44" stopIfTrue="1" operator="between">
      <formula>0.6</formula>
      <formula>0.899</formula>
    </cfRule>
    <cfRule type="cellIs" dxfId="48" priority="45" stopIfTrue="1" operator="greaterThanOrEqual">
      <formula>0.9</formula>
    </cfRule>
  </conditionalFormatting>
  <conditionalFormatting sqref="G24">
    <cfRule type="cellIs" dxfId="47" priority="40" stopIfTrue="1" operator="between">
      <formula>0</formula>
      <formula>0.599</formula>
    </cfRule>
    <cfRule type="cellIs" dxfId="46" priority="41" stopIfTrue="1" operator="between">
      <formula>0.6</formula>
      <formula>0.899</formula>
    </cfRule>
    <cfRule type="cellIs" dxfId="45" priority="42" stopIfTrue="1" operator="greaterThanOrEqual">
      <formula>0.9</formula>
    </cfRule>
  </conditionalFormatting>
  <conditionalFormatting sqref="G26">
    <cfRule type="cellIs" dxfId="44" priority="37" stopIfTrue="1" operator="between">
      <formula>0</formula>
      <formula>0.599</formula>
    </cfRule>
    <cfRule type="cellIs" dxfId="43" priority="38" stopIfTrue="1" operator="between">
      <formula>0.6</formula>
      <formula>0.899</formula>
    </cfRule>
    <cfRule type="cellIs" dxfId="42" priority="39" stopIfTrue="1" operator="greaterThanOrEqual">
      <formula>0.9</formula>
    </cfRule>
  </conditionalFormatting>
  <conditionalFormatting sqref="G27">
    <cfRule type="cellIs" dxfId="41" priority="34" stopIfTrue="1" operator="between">
      <formula>0</formula>
      <formula>0.599</formula>
    </cfRule>
    <cfRule type="cellIs" dxfId="40" priority="35" stopIfTrue="1" operator="between">
      <formula>0.6</formula>
      <formula>0.899</formula>
    </cfRule>
    <cfRule type="cellIs" dxfId="39" priority="36" stopIfTrue="1" operator="greaterThanOrEqual">
      <formula>0.9</formula>
    </cfRule>
  </conditionalFormatting>
  <conditionalFormatting sqref="G28">
    <cfRule type="cellIs" dxfId="38" priority="31" stopIfTrue="1" operator="between">
      <formula>0</formula>
      <formula>0.599</formula>
    </cfRule>
    <cfRule type="cellIs" dxfId="37" priority="32" stopIfTrue="1" operator="between">
      <formula>0.6</formula>
      <formula>0.899</formula>
    </cfRule>
    <cfRule type="cellIs" dxfId="36" priority="33" stopIfTrue="1" operator="greaterThanOrEqual">
      <formula>0.9</formula>
    </cfRule>
  </conditionalFormatting>
  <conditionalFormatting sqref="G29">
    <cfRule type="cellIs" dxfId="35" priority="28" stopIfTrue="1" operator="between">
      <formula>0</formula>
      <formula>0.599</formula>
    </cfRule>
    <cfRule type="cellIs" dxfId="34" priority="29" stopIfTrue="1" operator="between">
      <formula>0.6</formula>
      <formula>0.899</formula>
    </cfRule>
    <cfRule type="cellIs" dxfId="33" priority="30" stopIfTrue="1" operator="greaterThanOrEqual">
      <formula>0.9</formula>
    </cfRule>
  </conditionalFormatting>
  <conditionalFormatting sqref="G31">
    <cfRule type="cellIs" dxfId="32" priority="25" stopIfTrue="1" operator="between">
      <formula>0</formula>
      <formula>0.599</formula>
    </cfRule>
    <cfRule type="cellIs" dxfId="31" priority="26" stopIfTrue="1" operator="between">
      <formula>0.6</formula>
      <formula>0.899</formula>
    </cfRule>
    <cfRule type="cellIs" dxfId="30" priority="27" stopIfTrue="1" operator="greaterThanOrEqual">
      <formula>0.9</formula>
    </cfRule>
  </conditionalFormatting>
  <conditionalFormatting sqref="G32">
    <cfRule type="cellIs" dxfId="29" priority="22" stopIfTrue="1" operator="between">
      <formula>0</formula>
      <formula>0.599</formula>
    </cfRule>
    <cfRule type="cellIs" dxfId="28" priority="23" stopIfTrue="1" operator="between">
      <formula>0.6</formula>
      <formula>0.899</formula>
    </cfRule>
    <cfRule type="cellIs" dxfId="27" priority="24" stopIfTrue="1" operator="greaterThanOrEqual">
      <formula>0.9</formula>
    </cfRule>
  </conditionalFormatting>
  <conditionalFormatting sqref="G35">
    <cfRule type="cellIs" dxfId="26" priority="19" stopIfTrue="1" operator="between">
      <formula>0</formula>
      <formula>0.599</formula>
    </cfRule>
    <cfRule type="cellIs" dxfId="25" priority="20" stopIfTrue="1" operator="between">
      <formula>0.6</formula>
      <formula>0.899</formula>
    </cfRule>
    <cfRule type="cellIs" dxfId="24" priority="21" stopIfTrue="1" operator="greaterThanOrEqual">
      <formula>0.9</formula>
    </cfRule>
  </conditionalFormatting>
  <conditionalFormatting sqref="G30">
    <cfRule type="cellIs" dxfId="23" priority="16" stopIfTrue="1" operator="between">
      <formula>0</formula>
      <formula>0.599</formula>
    </cfRule>
    <cfRule type="cellIs" dxfId="22" priority="17" stopIfTrue="1" operator="between">
      <formula>0.6</formula>
      <formula>0.899</formula>
    </cfRule>
    <cfRule type="cellIs" dxfId="21" priority="18" stopIfTrue="1" operator="greaterThanOrEqual">
      <formula>0.9</formula>
    </cfRule>
  </conditionalFormatting>
  <conditionalFormatting sqref="G36">
    <cfRule type="cellIs" dxfId="20" priority="13" stopIfTrue="1" operator="between">
      <formula>0</formula>
      <formula>0.599</formula>
    </cfRule>
    <cfRule type="cellIs" dxfId="19" priority="14" stopIfTrue="1" operator="between">
      <formula>0.6</formula>
      <formula>0.899</formula>
    </cfRule>
    <cfRule type="cellIs" dxfId="18" priority="15" stopIfTrue="1" operator="greaterThanOrEqual">
      <formula>0.9</formula>
    </cfRule>
  </conditionalFormatting>
  <conditionalFormatting sqref="G37">
    <cfRule type="cellIs" dxfId="17" priority="10" stopIfTrue="1" operator="between">
      <formula>0</formula>
      <formula>0.599</formula>
    </cfRule>
    <cfRule type="cellIs" dxfId="16" priority="11" stopIfTrue="1" operator="between">
      <formula>0.6</formula>
      <formula>0.899</formula>
    </cfRule>
    <cfRule type="cellIs" dxfId="15" priority="12" stopIfTrue="1" operator="greaterThanOrEqual">
      <formula>0.9</formula>
    </cfRule>
  </conditionalFormatting>
  <conditionalFormatting sqref="G38">
    <cfRule type="cellIs" dxfId="14" priority="7" stopIfTrue="1" operator="between">
      <formula>0</formula>
      <formula>0.599</formula>
    </cfRule>
    <cfRule type="cellIs" dxfId="13" priority="8" stopIfTrue="1" operator="between">
      <formula>0.6</formula>
      <formula>0.899</formula>
    </cfRule>
    <cfRule type="cellIs" dxfId="12" priority="9" stopIfTrue="1" operator="greaterThanOrEqual">
      <formula>0.9</formula>
    </cfRule>
  </conditionalFormatting>
  <conditionalFormatting sqref="G39">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40">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zoomScale="90" zoomScaleNormal="90" workbookViewId="0">
      <selection activeCell="D34" sqref="D34:G34"/>
    </sheetView>
  </sheetViews>
  <sheetFormatPr defaultColWidth="9.140625"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6.7109375" style="30" customWidth="1"/>
    <col min="13" max="13" width="12" style="30" customWidth="1"/>
    <col min="14" max="14" width="5.42578125" style="30" customWidth="1"/>
    <col min="15" max="15" width="2.5703125" style="30" customWidth="1"/>
    <col min="16" max="16384" width="9.140625" style="30"/>
  </cols>
  <sheetData>
    <row r="1" spans="1:17" ht="38.25" customHeight="1">
      <c r="A1" s="133"/>
      <c r="B1" s="133"/>
      <c r="C1" s="133"/>
      <c r="D1" s="133"/>
      <c r="E1" s="133"/>
      <c r="F1" s="133"/>
      <c r="G1" s="133"/>
      <c r="H1" s="133"/>
      <c r="I1" s="133"/>
      <c r="J1" s="133"/>
      <c r="K1" s="134"/>
      <c r="L1" s="133"/>
      <c r="M1" s="133"/>
      <c r="N1" s="133"/>
    </row>
    <row r="2" spans="1:17" customFormat="1" ht="27.75" customHeight="1">
      <c r="A2" s="3"/>
      <c r="B2" s="966" t="str">
        <f>+"Панель показателей:  "&amp;"  "&amp;IF(+'Ввод данных'!B4="Выберите","",'Ввод данных'!B4&amp;" - ")&amp;IF('Ввод данных'!F6="Выберите","",'Ввод данных'!F6)</f>
        <v>Панель показателей:    Кыргызстан - ВИЧ/СПИД/ТБ</v>
      </c>
      <c r="C2" s="966"/>
      <c r="D2" s="966"/>
      <c r="E2" s="966"/>
      <c r="F2" s="966"/>
      <c r="G2" s="966"/>
      <c r="H2" s="966"/>
      <c r="I2" s="966"/>
      <c r="J2" s="966"/>
      <c r="K2" s="966"/>
      <c r="L2" s="966"/>
      <c r="M2" s="966"/>
      <c r="N2" s="966"/>
      <c r="O2" s="966"/>
      <c r="P2" s="966"/>
      <c r="Q2" s="966"/>
    </row>
    <row r="3" spans="1:17" customFormat="1" ht="18.75">
      <c r="A3" s="3"/>
      <c r="B3" s="117">
        <f>+IF('Ввод данных'!F8="Выберите","",'Ввод данных'!F8)</f>
        <v>0</v>
      </c>
      <c r="C3" s="923"/>
      <c r="D3" s="923"/>
      <c r="E3" s="968"/>
      <c r="F3" s="968"/>
      <c r="G3" s="968"/>
      <c r="H3" s="968"/>
      <c r="I3" s="968"/>
      <c r="J3" s="968"/>
      <c r="K3" s="968"/>
      <c r="L3" s="117" t="str">
        <f>+'Ввод данных'!A16</f>
        <v>Отчетный период</v>
      </c>
      <c r="M3" s="181" t="str">
        <f>+'Ввод данных'!B16</f>
        <v>P3</v>
      </c>
      <c r="N3" s="181"/>
      <c r="O3" s="30"/>
    </row>
    <row r="4" spans="1:17" customFormat="1" ht="15">
      <c r="A4" s="3"/>
      <c r="B4" s="368" t="str">
        <f>+'Ввод данных'!A12</f>
        <v>Последняя оценка:</v>
      </c>
      <c r="C4" s="969" t="str">
        <f>+IF('Ввод данных'!B12="Выберите","",'Ввод данных'!B12)</f>
        <v>A1</v>
      </c>
      <c r="D4" s="969"/>
      <c r="E4" s="922" t="str">
        <f>+'Ввод данных'!B8</f>
        <v>ПРООН</v>
      </c>
      <c r="F4" s="922"/>
      <c r="G4" s="922"/>
      <c r="H4" s="922"/>
      <c r="I4" s="922"/>
      <c r="J4" s="922"/>
      <c r="K4" s="922"/>
      <c r="L4" s="117" t="str">
        <f>+'Ввод данных'!C16</f>
        <v>с:</v>
      </c>
      <c r="M4" s="182">
        <f>+IF(ISBLANK('Ввод данных'!D16),"",'Ввод данных'!D16)</f>
        <v>42917</v>
      </c>
      <c r="N4" s="182"/>
      <c r="O4" s="30"/>
    </row>
    <row r="5" spans="1:17" customFormat="1" ht="18.75" customHeight="1">
      <c r="A5" s="3"/>
      <c r="B5" s="117"/>
      <c r="C5" s="117"/>
      <c r="D5" s="118"/>
      <c r="E5" s="933"/>
      <c r="F5" s="933"/>
      <c r="G5" s="933"/>
      <c r="H5" s="933"/>
      <c r="I5" s="933"/>
      <c r="J5" s="933"/>
      <c r="K5" s="933"/>
      <c r="L5" s="117" t="str">
        <f>+'Ввод данных'!E16</f>
        <v>до:</v>
      </c>
      <c r="M5" s="182">
        <f>+IF(ISBLANK('Ввод данных'!F16),"",'Ввод данных'!F16)</f>
        <v>43100</v>
      </c>
      <c r="N5" s="182"/>
    </row>
    <row r="6" spans="1:17" customFormat="1" ht="22.5" customHeight="1">
      <c r="A6" s="3"/>
      <c r="B6" s="122"/>
      <c r="C6" s="123"/>
      <c r="D6" s="124"/>
      <c r="E6" s="1066" t="s">
        <v>276</v>
      </c>
      <c r="F6" s="1067"/>
      <c r="G6" s="1067"/>
      <c r="H6" s="1067"/>
      <c r="I6" s="1067"/>
      <c r="J6" s="1067"/>
      <c r="K6" s="1067"/>
      <c r="L6" s="2"/>
      <c r="M6" s="2"/>
      <c r="N6" s="2"/>
    </row>
    <row r="7" spans="1:17" s="32" customFormat="1" ht="4.5" customHeight="1">
      <c r="A7" s="135"/>
      <c r="B7" s="136"/>
      <c r="C7" s="136"/>
      <c r="D7" s="136"/>
      <c r="E7" s="136"/>
      <c r="F7" s="136"/>
      <c r="G7" s="136"/>
      <c r="H7" s="136"/>
      <c r="I7" s="136"/>
      <c r="J7" s="136"/>
      <c r="K7" s="136"/>
      <c r="L7" s="137"/>
      <c r="M7" s="137"/>
      <c r="N7" s="138"/>
    </row>
    <row r="8" spans="1:17" s="32" customFormat="1" ht="21" customHeight="1" thickBot="1">
      <c r="A8" s="135"/>
      <c r="B8" s="1068" t="s">
        <v>362</v>
      </c>
      <c r="C8" s="1068"/>
      <c r="D8" s="1068"/>
      <c r="E8" s="1068"/>
      <c r="F8" s="1068"/>
      <c r="G8" s="1068"/>
      <c r="H8" s="1068"/>
      <c r="I8" s="1068"/>
      <c r="J8" s="1068"/>
      <c r="K8" s="1068"/>
      <c r="L8" s="1068"/>
      <c r="M8" s="1068"/>
      <c r="N8" s="1068"/>
    </row>
    <row r="9" spans="1:17" s="32" customFormat="1" ht="3.75" customHeight="1" thickBot="1">
      <c r="A9" s="135"/>
      <c r="B9" s="136"/>
      <c r="C9" s="136"/>
      <c r="D9" s="136"/>
      <c r="E9" s="136"/>
      <c r="F9" s="136"/>
      <c r="G9" s="136"/>
      <c r="H9" s="136"/>
      <c r="I9" s="136"/>
      <c r="J9" s="136"/>
      <c r="K9" s="136"/>
      <c r="L9" s="137"/>
      <c r="M9" s="137"/>
      <c r="N9" s="138"/>
    </row>
    <row r="10" spans="1:17" s="33" customFormat="1" ht="25.5" customHeight="1" thickBot="1">
      <c r="A10" s="139"/>
      <c r="B10" s="1080" t="s">
        <v>313</v>
      </c>
      <c r="C10" s="1081"/>
      <c r="D10" s="1069" t="s">
        <v>354</v>
      </c>
      <c r="E10" s="1070"/>
      <c r="F10" s="1070"/>
      <c r="G10" s="1071"/>
      <c r="H10" s="142"/>
      <c r="I10" s="1069" t="s">
        <v>276</v>
      </c>
      <c r="J10" s="1070"/>
      <c r="K10" s="1070"/>
      <c r="L10" s="1070"/>
      <c r="M10" s="1070"/>
      <c r="N10" s="1071"/>
    </row>
    <row r="11" spans="1:17" s="33" customFormat="1" ht="28.5" customHeight="1">
      <c r="A11" s="139"/>
      <c r="B11" s="330" t="s">
        <v>51</v>
      </c>
      <c r="C11" s="159"/>
      <c r="D11" s="1074" t="str">
        <f>IF(ISBLANK(Финансирование!C9),"",(Финансирование!C9))</f>
        <v>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v>
      </c>
      <c r="E11" s="1075"/>
      <c r="F11" s="1075"/>
      <c r="G11" s="1076"/>
      <c r="H11" s="165"/>
      <c r="I11" s="1082"/>
      <c r="J11" s="1083"/>
      <c r="K11" s="1083"/>
      <c r="L11" s="1083"/>
      <c r="M11" s="1083"/>
      <c r="N11" s="1084"/>
    </row>
    <row r="12" spans="1:17" s="33" customFormat="1" ht="27.75" customHeight="1">
      <c r="A12" s="139"/>
      <c r="B12" s="331" t="s">
        <v>52</v>
      </c>
      <c r="C12" s="160"/>
      <c r="D12" s="1044"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044"/>
      <c r="F12" s="1044"/>
      <c r="G12" s="1045"/>
      <c r="H12" s="165"/>
      <c r="I12" s="1041"/>
      <c r="J12" s="1042"/>
      <c r="K12" s="1042"/>
      <c r="L12" s="1042"/>
      <c r="M12" s="1042"/>
      <c r="N12" s="1043"/>
    </row>
    <row r="13" spans="1:17" s="33" customFormat="1" ht="26.25" customHeight="1">
      <c r="A13" s="139"/>
      <c r="B13" s="331" t="s">
        <v>53</v>
      </c>
      <c r="C13" s="160"/>
      <c r="D13" s="1038" t="str">
        <f>IF(ISBLANK(Финансирование!K9),"",(Финансирование!K9))</f>
        <v xml:space="preserve">В отчетном период ПРООН произвел выплаты 44 СП  в срок в полном объеме по запросу от СП. </v>
      </c>
      <c r="E13" s="1039"/>
      <c r="F13" s="1039"/>
      <c r="G13" s="1040"/>
      <c r="H13" s="165"/>
      <c r="I13" s="1041"/>
      <c r="J13" s="1042"/>
      <c r="K13" s="1042"/>
      <c r="L13" s="1042"/>
      <c r="M13" s="1042"/>
      <c r="N13" s="1043"/>
    </row>
    <row r="14" spans="1:17" s="33" customFormat="1" ht="28.5" customHeight="1" thickBot="1">
      <c r="A14" s="139"/>
      <c r="B14" s="332" t="s">
        <v>54</v>
      </c>
      <c r="C14" s="161"/>
      <c r="D14" s="1072" t="str">
        <f>IF(ISBLANK(Финансирование!K23),"",(Финансирование!K23))</f>
        <v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v>
      </c>
      <c r="E14" s="1072"/>
      <c r="F14" s="1072"/>
      <c r="G14" s="1073"/>
      <c r="H14" s="165"/>
      <c r="I14" s="1077"/>
      <c r="J14" s="1078"/>
      <c r="K14" s="1078"/>
      <c r="L14" s="1078"/>
      <c r="M14" s="1078"/>
      <c r="N14" s="1079"/>
    </row>
    <row r="15" spans="1:17" s="33" customFormat="1" ht="4.5" customHeight="1">
      <c r="A15" s="139"/>
      <c r="B15" s="162"/>
      <c r="C15" s="163"/>
      <c r="D15" s="164"/>
      <c r="E15" s="164"/>
      <c r="F15" s="164"/>
      <c r="G15" s="164"/>
      <c r="H15" s="165"/>
      <c r="I15" s="166"/>
      <c r="J15" s="166"/>
      <c r="K15" s="166"/>
      <c r="L15" s="166"/>
      <c r="M15" s="166"/>
      <c r="N15" s="166"/>
      <c r="O15" s="73"/>
    </row>
    <row r="16" spans="1:17" s="32" customFormat="1" ht="21" customHeight="1" thickBot="1">
      <c r="A16" s="135"/>
      <c r="B16" s="1068" t="s">
        <v>350</v>
      </c>
      <c r="C16" s="1068"/>
      <c r="D16" s="1068"/>
      <c r="E16" s="1068"/>
      <c r="F16" s="1068"/>
      <c r="G16" s="1068"/>
      <c r="H16" s="1068"/>
      <c r="I16" s="1068"/>
      <c r="J16" s="1068"/>
      <c r="K16" s="1068"/>
      <c r="L16" s="1068"/>
      <c r="M16" s="1068"/>
      <c r="N16" s="1068"/>
    </row>
    <row r="17" spans="1:15" s="33" customFormat="1" ht="3.75" customHeight="1" thickBot="1">
      <c r="A17" s="139"/>
      <c r="B17" s="148"/>
      <c r="C17" s="149"/>
      <c r="D17" s="150"/>
      <c r="E17" s="151"/>
      <c r="F17" s="152"/>
      <c r="G17" s="152"/>
      <c r="H17" s="153"/>
      <c r="I17" s="154"/>
      <c r="J17" s="155"/>
      <c r="K17" s="144"/>
      <c r="L17" s="145"/>
      <c r="M17" s="146"/>
      <c r="N17" s="147"/>
    </row>
    <row r="18" spans="1:15" s="33" customFormat="1" ht="22.5" customHeight="1" thickBot="1">
      <c r="A18" s="139"/>
      <c r="B18" s="1081" t="s">
        <v>277</v>
      </c>
      <c r="C18" s="1085"/>
      <c r="D18" s="1050" t="s">
        <v>354</v>
      </c>
      <c r="E18" s="1051"/>
      <c r="F18" s="1051"/>
      <c r="G18" s="1052"/>
      <c r="H18" s="142"/>
      <c r="I18" s="1046" t="s">
        <v>276</v>
      </c>
      <c r="J18" s="1047"/>
      <c r="K18" s="1047"/>
      <c r="L18" s="1047"/>
      <c r="M18" s="1048"/>
      <c r="N18" s="1049"/>
    </row>
    <row r="19" spans="1:15" s="33" customFormat="1" ht="48.75" customHeight="1">
      <c r="A19" s="139"/>
      <c r="B19" s="333" t="s">
        <v>59</v>
      </c>
      <c r="C19" s="167"/>
      <c r="D19" s="1056" t="str">
        <f>IF(ISBLANK(Управление!C8),"",(Управление!C8))</f>
        <v>По компоненту ВИЧ - Предварительных условий (ПУ) нет, согласно письму от ГФ по результатам работы за 1-е полугодие 2017 года включено 1 Действие с установленным сроком исполнения (ДУС) - срок исполнения 30 июня 2018 года (по программе ПТМ). 
Все предваритиельные условия выполнены</v>
      </c>
      <c r="E19" s="1057"/>
      <c r="F19" s="1057"/>
      <c r="G19" s="1058"/>
      <c r="H19" s="168"/>
      <c r="I19" s="1060"/>
      <c r="J19" s="1061"/>
      <c r="K19" s="1061"/>
      <c r="L19" s="1061"/>
      <c r="M19" s="1061"/>
      <c r="N19" s="1062"/>
    </row>
    <row r="20" spans="1:15" ht="30.75" customHeight="1">
      <c r="A20" s="133"/>
      <c r="B20" s="334" t="s">
        <v>60</v>
      </c>
      <c r="C20" s="169"/>
      <c r="D20" s="1038" t="str">
        <f>IF(ISBLANK(Управление!J8),"",(Управление!J8))</f>
        <v>По компоненту ВИЧ - С начала августа 2018 года из 7 штатных позиций в программном отделе 6 было занята, 1 позиция была вакантной до конца 2017 года. Дополнительно в отчетном периоде  работали 1 Эксперт по ВИЧ и 1 Фармацевт по индивидуальным контрактам.
По компоненту ТБ - Координатор гранта ТБ, Финансовый специалист, специалист по амбулаторному лечению и специалист МиО гранта ТБ</v>
      </c>
      <c r="E20" s="1039"/>
      <c r="F20" s="1039"/>
      <c r="G20" s="1059"/>
      <c r="H20" s="168"/>
      <c r="I20" s="1053"/>
      <c r="J20" s="1054"/>
      <c r="K20" s="1054"/>
      <c r="L20" s="1054"/>
      <c r="M20" s="1054"/>
      <c r="N20" s="1055"/>
      <c r="O20" s="34"/>
    </row>
    <row r="21" spans="1:15" ht="31.5" customHeight="1">
      <c r="A21" s="133"/>
      <c r="B21" s="335" t="s">
        <v>61</v>
      </c>
      <c r="C21" s="169"/>
      <c r="D21" s="1038" t="e">
        <f>IF(ISBLANK(Управление!#REF!),"",(Управление!#REF!))</f>
        <v>#REF!</v>
      </c>
      <c r="E21" s="1039"/>
      <c r="F21" s="1039"/>
      <c r="G21" s="1059"/>
      <c r="H21" s="168"/>
      <c r="I21" s="1053"/>
      <c r="J21" s="1054"/>
      <c r="K21" s="1054"/>
      <c r="L21" s="1054"/>
      <c r="M21" s="1054"/>
      <c r="N21" s="1055"/>
      <c r="O21" s="34"/>
    </row>
    <row r="22" spans="1:15" ht="34.5" customHeight="1">
      <c r="A22" s="133"/>
      <c r="B22" s="335" t="s">
        <v>62</v>
      </c>
      <c r="C22" s="169"/>
      <c r="D22" s="1038" t="e">
        <f>IF(ISBLANK(Управление!#REF!),"",(Управление!#REF!))</f>
        <v>#REF!</v>
      </c>
      <c r="E22" s="1039"/>
      <c r="F22" s="1039"/>
      <c r="G22" s="1059"/>
      <c r="H22" s="168"/>
      <c r="I22" s="1053"/>
      <c r="J22" s="1054"/>
      <c r="K22" s="1054"/>
      <c r="L22" s="1054"/>
      <c r="M22" s="1054"/>
      <c r="N22" s="1055"/>
      <c r="O22" s="34"/>
    </row>
    <row r="23" spans="1:15" ht="33.75" customHeight="1">
      <c r="A23" s="133"/>
      <c r="B23" s="335" t="s">
        <v>63</v>
      </c>
      <c r="C23" s="169"/>
      <c r="D23" s="1038" t="str">
        <f>IF(ISBLANK(Управление!C29),"",(Управление!C29))</f>
        <v>Все закупки, запланированные на 2017 год, были выполнены. Заказ на поставку АРВ препаратов и тест-систем был размещен в середине 2016 г. За счет сэкономленных средств 2017 г. было решено закупить буфер АРВ препаратов на 9 мес. 2018 г. заказ был размешен в середине 2017 г. Тест системы покрывают шестимесячную потребность 2018 г. (срок годности AZT/3TC до Мая 2020 г. и Февраля 2021 г.) 
Контракты заключены, оплата после 100% поставки.</v>
      </c>
      <c r="E23" s="1039"/>
      <c r="F23" s="1039"/>
      <c r="G23" s="1059"/>
      <c r="H23" s="168"/>
      <c r="I23" s="1053"/>
      <c r="J23" s="1054"/>
      <c r="K23" s="1054"/>
      <c r="L23" s="1054"/>
      <c r="M23" s="1054"/>
      <c r="N23" s="1055"/>
      <c r="O23" s="34"/>
    </row>
    <row r="24" spans="1:15" ht="39.75" customHeight="1" thickBot="1">
      <c r="A24" s="133"/>
      <c r="B24" s="336" t="s">
        <v>64</v>
      </c>
      <c r="C24" s="170"/>
      <c r="D24" s="1093" t="str">
        <f>IF(ISBLANK(Управление!J29),"",(Управление!J29))</f>
        <v>Представленная информация отражает ситуацию на 31/12/17 (данные ежемесячного отчета по использованию ПТП). Остатки не включают ожидаемые поставки, которые будут получены в период январь-июнь 2018г.</v>
      </c>
      <c r="E24" s="1094"/>
      <c r="F24" s="1094"/>
      <c r="G24" s="1095"/>
      <c r="H24" s="168"/>
      <c r="I24" s="1086"/>
      <c r="J24" s="1087"/>
      <c r="K24" s="1087"/>
      <c r="L24" s="1087"/>
      <c r="M24" s="1087"/>
      <c r="N24" s="1088"/>
      <c r="O24" s="34"/>
    </row>
    <row r="25" spans="1:15" ht="4.5" customHeight="1">
      <c r="A25" s="135"/>
      <c r="B25" s="140"/>
      <c r="C25" s="141"/>
      <c r="D25" s="156"/>
      <c r="E25" s="157"/>
      <c r="F25" s="158"/>
      <c r="G25" s="158"/>
      <c r="H25" s="142"/>
      <c r="I25" s="157"/>
      <c r="J25" s="143"/>
      <c r="K25" s="144"/>
      <c r="L25" s="145"/>
      <c r="M25" s="146"/>
      <c r="N25" s="147"/>
      <c r="O25" s="34"/>
    </row>
    <row r="26" spans="1:15" s="32" customFormat="1" ht="21" customHeight="1" thickBot="1">
      <c r="A26" s="135"/>
      <c r="B26" s="1068" t="s">
        <v>390</v>
      </c>
      <c r="C26" s="1068"/>
      <c r="D26" s="1068"/>
      <c r="E26" s="1068"/>
      <c r="F26" s="1068"/>
      <c r="G26" s="1068"/>
      <c r="H26" s="1068"/>
      <c r="I26" s="1068"/>
      <c r="J26" s="1068"/>
      <c r="K26" s="1068"/>
      <c r="L26" s="1068"/>
      <c r="M26" s="1068"/>
      <c r="N26" s="1068"/>
    </row>
    <row r="27" spans="1:15" ht="3.75" customHeight="1" thickBot="1">
      <c r="A27" s="135"/>
      <c r="B27" s="140"/>
      <c r="C27" s="141"/>
      <c r="D27" s="156"/>
      <c r="E27" s="157"/>
      <c r="F27" s="158"/>
      <c r="G27" s="158"/>
      <c r="H27" s="142"/>
      <c r="I27" s="157"/>
      <c r="J27" s="143"/>
      <c r="K27" s="144"/>
      <c r="L27" s="145"/>
      <c r="M27" s="146"/>
      <c r="N27" s="147"/>
      <c r="O27" s="34"/>
    </row>
    <row r="28" spans="1:15" ht="21.75" customHeight="1" thickBot="1">
      <c r="A28" s="133"/>
      <c r="B28" s="1080" t="s">
        <v>361</v>
      </c>
      <c r="C28" s="1085"/>
      <c r="D28" s="1099" t="s">
        <v>354</v>
      </c>
      <c r="E28" s="1100"/>
      <c r="F28" s="1100"/>
      <c r="G28" s="1101"/>
      <c r="H28" s="142"/>
      <c r="I28" s="1099" t="s">
        <v>276</v>
      </c>
      <c r="J28" s="1100"/>
      <c r="K28" s="1100"/>
      <c r="L28" s="1100"/>
      <c r="M28" s="1100"/>
      <c r="N28" s="1101"/>
      <c r="O28" s="34"/>
    </row>
    <row r="29" spans="1:15" ht="29.25" customHeight="1">
      <c r="A29" s="133"/>
      <c r="B29" s="337" t="s">
        <v>278</v>
      </c>
      <c r="C29" s="171"/>
      <c r="D29" s="1102" t="str">
        <f>IF(ISBLANK(Программа!C44),"",(Программа!C44))</f>
        <v>Мотивационной поддержкой были охвачены все больные ЛУ-ТБ, которые не прерывали лечение более  5 дней.</v>
      </c>
      <c r="E29" s="1103"/>
      <c r="F29" s="1103"/>
      <c r="G29" s="1104"/>
      <c r="H29" s="168"/>
      <c r="I29" s="1089"/>
      <c r="J29" s="1090"/>
      <c r="K29" s="1090"/>
      <c r="L29" s="1090"/>
      <c r="M29" s="1090"/>
      <c r="N29" s="1091"/>
      <c r="O29" s="34"/>
    </row>
    <row r="30" spans="1:15" ht="21.95" customHeight="1">
      <c r="A30" s="133"/>
      <c r="B30" s="338" t="s">
        <v>279</v>
      </c>
      <c r="C30" s="172"/>
      <c r="D30" s="1092" t="str">
        <f>IF(ISBLANK(Программа!G44),"",(Программа!G44))</f>
        <v>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v>
      </c>
      <c r="E30" s="1064"/>
      <c r="F30" s="1064"/>
      <c r="G30" s="1065"/>
      <c r="H30" s="168"/>
      <c r="I30" s="1035"/>
      <c r="J30" s="1036"/>
      <c r="K30" s="1036"/>
      <c r="L30" s="1036"/>
      <c r="M30" s="1036"/>
      <c r="N30" s="1037"/>
      <c r="O30" s="34"/>
    </row>
    <row r="31" spans="1:15" ht="21.95" customHeight="1">
      <c r="A31" s="133"/>
      <c r="B31" s="338" t="s">
        <v>280</v>
      </c>
      <c r="C31" s="172"/>
      <c r="D31" s="1092" t="str">
        <f>IF(ISBLANK(Программа!M44),"",(Программа!M44))</f>
        <v>Данный индикатор показывает охват ранее леченных тестом на лекарственную чувствительность.</v>
      </c>
      <c r="E31" s="1064"/>
      <c r="F31" s="1064"/>
      <c r="G31" s="1065"/>
      <c r="H31" s="168"/>
      <c r="I31" s="1035"/>
      <c r="J31" s="1036"/>
      <c r="K31" s="1036"/>
      <c r="L31" s="1036"/>
      <c r="M31" s="1036"/>
      <c r="N31" s="1037"/>
      <c r="O31" s="34"/>
    </row>
    <row r="32" spans="1:15" ht="21.95" customHeight="1">
      <c r="A32" s="133"/>
      <c r="B32" s="339" t="s">
        <v>55</v>
      </c>
      <c r="C32" s="172"/>
      <c r="D32" s="1063" t="str">
        <f>IF(ISBLANK(Программа!L57),"",(Программа!L57))</f>
        <v>Данный индикатор достиг  70% выполнения, мотивационную поддержку в виде денежных выплат получают только приверженные пациенты не прерывающие лечение более 5 дней.</v>
      </c>
      <c r="E32" s="1064"/>
      <c r="F32" s="1064"/>
      <c r="G32" s="1065"/>
      <c r="H32" s="168"/>
      <c r="I32" s="1035"/>
      <c r="J32" s="1036"/>
      <c r="K32" s="1036"/>
      <c r="L32" s="1036"/>
      <c r="M32" s="1036"/>
      <c r="N32" s="1037"/>
      <c r="O32" s="34"/>
    </row>
    <row r="33" spans="1:15" ht="42.75" customHeight="1">
      <c r="A33" s="133"/>
      <c r="B33" s="339" t="s">
        <v>56</v>
      </c>
      <c r="C33" s="172"/>
      <c r="D33" s="1063" t="str">
        <f>IF(ISBLANK(Программа!L58),"",(Программа!L58))</f>
        <v>Данный индикатор достиг выполнение 121%,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v>
      </c>
      <c r="E33" s="1064"/>
      <c r="F33" s="1064"/>
      <c r="G33" s="1065"/>
      <c r="H33" s="168"/>
      <c r="I33" s="1108"/>
      <c r="J33" s="1109"/>
      <c r="K33" s="1109"/>
      <c r="L33" s="1109"/>
      <c r="M33" s="1109"/>
      <c r="N33" s="1110"/>
      <c r="O33" s="34"/>
    </row>
    <row r="34" spans="1:15" ht="21.95" customHeight="1">
      <c r="A34" s="133"/>
      <c r="B34" s="339" t="s">
        <v>57</v>
      </c>
      <c r="C34" s="172"/>
      <c r="D34" s="1063" t="str">
        <f>IF(ISBLANK(Программа!L59),"",(Программа!L59))</f>
        <v>Данный индикатор показывает охват ранее леченных тестом на лекарственную чувствительность и был выполнен на 101%</v>
      </c>
      <c r="E34" s="1064"/>
      <c r="F34" s="1064"/>
      <c r="G34" s="1065"/>
      <c r="H34" s="168"/>
      <c r="I34" s="1035"/>
      <c r="J34" s="1036"/>
      <c r="K34" s="1036"/>
      <c r="L34" s="1036"/>
      <c r="M34" s="1036"/>
      <c r="N34" s="1037"/>
      <c r="O34" s="34"/>
    </row>
    <row r="35" spans="1:15" ht="27.75" customHeight="1">
      <c r="A35" s="133"/>
      <c r="B35" s="339" t="s">
        <v>58</v>
      </c>
      <c r="C35" s="208"/>
      <c r="D35" s="1063" t="e">
        <f>IF(ISBLANK(Программа!#REF!),"",(Программа!#REF!))</f>
        <v>#REF!</v>
      </c>
      <c r="E35" s="1064"/>
      <c r="F35" s="1064"/>
      <c r="G35" s="1065"/>
      <c r="H35" s="168"/>
      <c r="I35" s="1035"/>
      <c r="J35" s="1036"/>
      <c r="K35" s="1036"/>
      <c r="L35" s="1036"/>
      <c r="M35" s="1036"/>
      <c r="N35" s="1037"/>
      <c r="O35" s="34"/>
    </row>
    <row r="36" spans="1:15" ht="21.95" customHeight="1">
      <c r="A36" s="133"/>
      <c r="B36" s="339" t="s">
        <v>65</v>
      </c>
      <c r="C36" s="208"/>
      <c r="D36" s="1063" t="str">
        <f>IF(ISBLANK(Программа!L61),"",(Программа!L61))</f>
        <v>В Q2-3 2017 686 пациентов с устойчивыми формами туберкулеза были включены в лечение препаратами второй линии против 662 целевого количества и составило 103%. В это количество больных 643  покрыты из Глобального фонда, а 43 пациента на средства  MSF. В гражданском секторе здравоохранения взяты на лечение 658 пациентов, в тюремном секторе - 28 человек. В дополнение к 686 пациентам также начали лечение 205 пациентов с полирезистентной формой ТБ, которые также были закуплены ПРООН. Эти пациенты не отражены в  данном показателе из-за  его определения.</v>
      </c>
      <c r="E36" s="1064"/>
      <c r="F36" s="1064"/>
      <c r="G36" s="1065"/>
      <c r="H36" s="168"/>
      <c r="I36" s="1035"/>
      <c r="J36" s="1036"/>
      <c r="K36" s="1036"/>
      <c r="L36" s="1036"/>
      <c r="M36" s="1036"/>
      <c r="N36" s="1037"/>
      <c r="O36" s="34"/>
    </row>
    <row r="37" spans="1:15" ht="21.95" customHeight="1">
      <c r="A37" s="133"/>
      <c r="B37" s="339" t="s">
        <v>66</v>
      </c>
      <c r="C37" s="208"/>
      <c r="D37" s="1063" t="str">
        <f>IF(ISBLANK(Программа!L62),"",(Программа!L62))</f>
        <v xml:space="preserve"> 
За отчетный период Q1-4 2017 13121 пациентов с симптомами, указывающими на туберкулез, прошли обследование мокроты методом GX. Из них 2440 случаев были подтверждены как активный туберкулез, что сотавило 18,6%.
</v>
      </c>
      <c r="E37" s="1064"/>
      <c r="F37" s="1064"/>
      <c r="G37" s="1065"/>
      <c r="H37" s="168"/>
      <c r="I37" s="1035"/>
      <c r="J37" s="1036"/>
      <c r="K37" s="1036"/>
      <c r="L37" s="1036"/>
      <c r="M37" s="1036"/>
      <c r="N37" s="1037"/>
      <c r="O37" s="34"/>
    </row>
    <row r="38" spans="1:15" ht="21.95" customHeight="1">
      <c r="A38" s="133"/>
      <c r="B38" s="339" t="s">
        <v>67</v>
      </c>
      <c r="C38" s="208"/>
      <c r="D38" s="1063" t="e">
        <f>IF(ISBLANK(Программа!#REF!),"",(Программа!#REF!))</f>
        <v>#REF!</v>
      </c>
      <c r="E38" s="1064"/>
      <c r="F38" s="1064"/>
      <c r="G38" s="1065"/>
      <c r="H38" s="168"/>
      <c r="I38" s="1035"/>
      <c r="J38" s="1036"/>
      <c r="K38" s="1036"/>
      <c r="L38" s="1036"/>
      <c r="M38" s="1036"/>
      <c r="N38" s="1037"/>
      <c r="O38" s="34"/>
    </row>
    <row r="39" spans="1:15" ht="21.95" customHeight="1">
      <c r="A39" s="133"/>
      <c r="B39" s="339" t="s">
        <v>68</v>
      </c>
      <c r="C39" s="208"/>
      <c r="D39" s="1063" t="e">
        <f>IF(ISBLANK(Программа!#REF!),"",(Программа!#REF!))</f>
        <v>#REF!</v>
      </c>
      <c r="E39" s="1064"/>
      <c r="F39" s="1064"/>
      <c r="G39" s="1065"/>
      <c r="H39" s="168"/>
      <c r="I39" s="1035"/>
      <c r="J39" s="1036"/>
      <c r="K39" s="1036"/>
      <c r="L39" s="1036"/>
      <c r="M39" s="1036"/>
      <c r="N39" s="1037"/>
      <c r="O39" s="34"/>
    </row>
    <row r="40" spans="1:15" ht="21.95" customHeight="1">
      <c r="A40" s="133"/>
      <c r="B40" s="339" t="s">
        <v>69</v>
      </c>
      <c r="C40" s="208"/>
      <c r="D40" s="1063" t="e">
        <f>IF(ISBLANK(Программа!#REF!),"",(Программа!#REF!))</f>
        <v>#REF!</v>
      </c>
      <c r="E40" s="1064"/>
      <c r="F40" s="1064"/>
      <c r="G40" s="1065"/>
      <c r="H40" s="168"/>
      <c r="I40" s="1035"/>
      <c r="J40" s="1036"/>
      <c r="K40" s="1036"/>
      <c r="L40" s="1036"/>
      <c r="M40" s="1036"/>
      <c r="N40" s="1037"/>
      <c r="O40" s="34"/>
    </row>
    <row r="41" spans="1:15" ht="21.95" customHeight="1" thickBot="1">
      <c r="A41" s="133"/>
      <c r="B41" s="398" t="s">
        <v>70</v>
      </c>
      <c r="C41" s="173"/>
      <c r="D41" s="1096" t="e">
        <f>IF(ISBLANK(Программа!#REF!),"",(Программа!#REF!))</f>
        <v>#REF!</v>
      </c>
      <c r="E41" s="1097"/>
      <c r="F41" s="1097"/>
      <c r="G41" s="1098"/>
      <c r="H41" s="168"/>
      <c r="I41" s="1105"/>
      <c r="J41" s="1106"/>
      <c r="K41" s="1106"/>
      <c r="L41" s="1106"/>
      <c r="M41" s="1106"/>
      <c r="N41" s="1107"/>
      <c r="O41" s="34"/>
    </row>
    <row r="42" spans="1:15" ht="14.25">
      <c r="A42" s="133"/>
      <c r="B42" s="174"/>
      <c r="C42" s="174"/>
      <c r="D42" s="175"/>
      <c r="E42" s="133"/>
      <c r="F42" s="174"/>
      <c r="G42" s="174"/>
      <c r="H42" s="133"/>
      <c r="I42" s="176"/>
      <c r="J42" s="133"/>
      <c r="K42" s="177"/>
      <c r="L42" s="177"/>
      <c r="M42" s="177"/>
      <c r="N42" s="177"/>
      <c r="O42" s="34"/>
    </row>
  </sheetData>
  <sheetProtection password="CFC9" sheet="1"/>
  <mergeCells count="65">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 ref="D30:G30"/>
    <mergeCell ref="D32:G32"/>
    <mergeCell ref="D24:G24"/>
    <mergeCell ref="I30:N30"/>
    <mergeCell ref="I31:N31"/>
    <mergeCell ref="B26:N26"/>
    <mergeCell ref="D23:G23"/>
    <mergeCell ref="I21:N21"/>
    <mergeCell ref="I22:N22"/>
    <mergeCell ref="I23:N23"/>
    <mergeCell ref="I29:N29"/>
    <mergeCell ref="B2:Q2"/>
    <mergeCell ref="E5:K5"/>
    <mergeCell ref="E3:K3"/>
    <mergeCell ref="C4:D4"/>
    <mergeCell ref="E4:K4"/>
    <mergeCell ref="C3:D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Normal="110" zoomScaleSheetLayoutView="100" workbookViewId="0">
      <selection activeCell="B14" sqref="B14:E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18" t="str">
        <f>+"Панель показателей:  "&amp;"  "&amp;IF(+'Ввод данных'!B4="Выберите","",'Ввод данных'!B4&amp;" - ")&amp;IF('Ввод данных'!F6="Выберите","",'Ввод данных'!F6)</f>
        <v>Панель показателей:    Кыргызстан - ВИЧ/СПИД/ТБ</v>
      </c>
      <c r="C2" s="918"/>
      <c r="D2" s="918"/>
      <c r="E2" s="918"/>
      <c r="F2" s="918"/>
      <c r="G2" s="918"/>
      <c r="H2" s="918"/>
      <c r="I2" s="918"/>
      <c r="J2" s="918"/>
      <c r="K2" s="918"/>
      <c r="L2" s="918"/>
    </row>
    <row r="3" spans="1:13">
      <c r="B3" s="23">
        <f>+IF('Ввод данных'!F8="Выберите","",'Ввод данных'!F8)</f>
        <v>0</v>
      </c>
      <c r="C3" s="1193"/>
      <c r="D3" s="1193"/>
      <c r="E3" s="933"/>
      <c r="F3" s="933"/>
      <c r="G3" s="933"/>
      <c r="H3" s="933"/>
      <c r="I3" s="933"/>
      <c r="J3" s="934" t="str">
        <f>+'Ввод данных'!A16</f>
        <v>Отчетный период</v>
      </c>
      <c r="K3" s="934"/>
      <c r="L3" s="181" t="str">
        <f>+'Ввод данных'!B16</f>
        <v>P3</v>
      </c>
      <c r="M3" s="83"/>
    </row>
    <row r="4" spans="1:13">
      <c r="B4" s="369" t="str">
        <f>+'Ввод данных'!A12</f>
        <v>Последняя оценка:</v>
      </c>
      <c r="C4" s="1187" t="str">
        <f>+IF('Ввод данных'!B12="Выберите","",'Ввод данных'!B12)</f>
        <v>A1</v>
      </c>
      <c r="D4" s="1187"/>
      <c r="E4" s="933" t="str">
        <f>+'Ввод данных'!B8</f>
        <v>ПРООН</v>
      </c>
      <c r="F4" s="933"/>
      <c r="G4" s="933"/>
      <c r="H4" s="933"/>
      <c r="I4" s="933"/>
      <c r="J4" s="934" t="str">
        <f>+'Ввод данных'!C16</f>
        <v>с:</v>
      </c>
      <c r="K4" s="1190"/>
      <c r="L4" s="182">
        <f>+IF(ISBLANK('Ввод данных'!D16),"",'Ввод данных'!D16)</f>
        <v>42917</v>
      </c>
    </row>
    <row r="5" spans="1:13" ht="18.75" customHeight="1">
      <c r="B5" s="23"/>
      <c r="C5" s="23"/>
      <c r="D5" s="933"/>
      <c r="E5" s="933"/>
      <c r="F5" s="933"/>
      <c r="G5" s="933"/>
      <c r="H5" s="933"/>
      <c r="I5" s="933"/>
      <c r="J5" s="933"/>
      <c r="K5" s="23" t="str">
        <f>+'Ввод данных'!E16</f>
        <v>до:</v>
      </c>
      <c r="L5" s="182">
        <f>+IF(ISBLANK('Ввод данных'!F16),"",'Ввод данных'!F16)</f>
        <v>43100</v>
      </c>
    </row>
    <row r="6" spans="1:13" ht="18.75">
      <c r="B6" s="22"/>
      <c r="C6" s="23"/>
      <c r="D6" s="24"/>
      <c r="E6" s="1191" t="s">
        <v>347</v>
      </c>
      <c r="F6" s="1192"/>
      <c r="G6" s="1192"/>
      <c r="H6" s="1192"/>
      <c r="I6" s="1192"/>
    </row>
    <row r="7" spans="1:13" ht="18.75">
      <c r="E7" s="71"/>
      <c r="F7" s="71"/>
      <c r="G7" s="71"/>
      <c r="H7" s="71"/>
      <c r="I7" s="71"/>
    </row>
    <row r="8" spans="1:13" s="32" customFormat="1" ht="21" customHeight="1" thickBot="1">
      <c r="B8" s="74" t="s">
        <v>387</v>
      </c>
      <c r="C8" s="74"/>
      <c r="D8" s="74"/>
      <c r="E8" s="74"/>
      <c r="F8" s="74"/>
      <c r="G8" s="74"/>
      <c r="H8" s="74"/>
      <c r="I8" s="74"/>
      <c r="J8" s="74"/>
      <c r="K8" s="74"/>
      <c r="L8" s="74"/>
    </row>
    <row r="9" spans="1:13" ht="6" customHeight="1">
      <c r="B9" s="72"/>
    </row>
    <row r="10" spans="1:13">
      <c r="B10" s="1194"/>
      <c r="C10" s="1195"/>
      <c r="D10" s="1195"/>
      <c r="E10" s="1195"/>
      <c r="F10" s="1195"/>
      <c r="G10" s="1195"/>
      <c r="H10" s="1195"/>
      <c r="I10" s="1195"/>
      <c r="J10" s="1195"/>
      <c r="K10" s="1195"/>
      <c r="L10" s="1196"/>
    </row>
    <row r="11" spans="1:13">
      <c r="B11" s="1197"/>
      <c r="C11" s="1198"/>
      <c r="D11" s="1198"/>
      <c r="E11" s="1198"/>
      <c r="F11" s="1198"/>
      <c r="G11" s="1198"/>
      <c r="H11" s="1198"/>
      <c r="I11" s="1198"/>
      <c r="J11" s="1198"/>
      <c r="K11" s="1198"/>
      <c r="L11" s="1199"/>
    </row>
    <row r="12" spans="1:13" ht="15.75" thickBot="1"/>
    <row r="13" spans="1:13" ht="26.25" customHeight="1" thickBot="1">
      <c r="B13" s="1134" t="s">
        <v>386</v>
      </c>
      <c r="C13" s="1135"/>
      <c r="D13" s="1135"/>
      <c r="E13" s="1137"/>
      <c r="F13" s="75"/>
      <c r="G13" s="1121" t="s">
        <v>338</v>
      </c>
      <c r="H13" s="1122"/>
      <c r="I13" s="1122"/>
      <c r="J13" s="76" t="s">
        <v>281</v>
      </c>
      <c r="K13" s="1122" t="s">
        <v>282</v>
      </c>
      <c r="L13" s="1200"/>
    </row>
    <row r="14" spans="1:13">
      <c r="A14" s="1172" t="s">
        <v>259</v>
      </c>
      <c r="B14" s="1165"/>
      <c r="C14" s="1165"/>
      <c r="D14" s="1165"/>
      <c r="E14" s="1166"/>
      <c r="F14" s="45"/>
      <c r="G14" s="1175"/>
      <c r="H14" s="1126"/>
      <c r="I14" s="1126"/>
      <c r="J14" s="1130"/>
      <c r="K14" s="1188"/>
      <c r="L14" s="1189"/>
    </row>
    <row r="15" spans="1:13" ht="32.25" customHeight="1">
      <c r="A15" s="1173"/>
      <c r="B15" s="1165"/>
      <c r="C15" s="1165"/>
      <c r="D15" s="1165"/>
      <c r="E15" s="1166"/>
      <c r="F15" s="45"/>
      <c r="G15" s="1127"/>
      <c r="H15" s="1128"/>
      <c r="I15" s="1128"/>
      <c r="J15" s="1123"/>
      <c r="K15" s="1113"/>
      <c r="L15" s="1114"/>
    </row>
    <row r="16" spans="1:13">
      <c r="A16" s="1173"/>
      <c r="B16" s="1165"/>
      <c r="C16" s="1165"/>
      <c r="D16" s="1165"/>
      <c r="E16" s="1166"/>
      <c r="F16" s="45"/>
      <c r="G16" s="1127"/>
      <c r="H16" s="1128"/>
      <c r="I16" s="1128"/>
      <c r="J16" s="1129"/>
      <c r="K16" s="1111"/>
      <c r="L16" s="1112"/>
    </row>
    <row r="17" spans="1:12" ht="78.75" customHeight="1">
      <c r="A17" s="1173"/>
      <c r="B17" s="1165"/>
      <c r="C17" s="1165"/>
      <c r="D17" s="1165"/>
      <c r="E17" s="1166"/>
      <c r="F17" s="45"/>
      <c r="G17" s="1127"/>
      <c r="H17" s="1128"/>
      <c r="I17" s="1128"/>
      <c r="J17" s="1123"/>
      <c r="K17" s="1113"/>
      <c r="L17" s="1114"/>
    </row>
    <row r="18" spans="1:12">
      <c r="A18" s="1173"/>
      <c r="B18" s="1165"/>
      <c r="C18" s="1165"/>
      <c r="D18" s="1165"/>
      <c r="E18" s="1166"/>
      <c r="F18" s="45"/>
      <c r="G18" s="1115"/>
      <c r="H18" s="1116"/>
      <c r="I18" s="1117"/>
      <c r="J18" s="1129"/>
      <c r="K18" s="1111"/>
      <c r="L18" s="1112"/>
    </row>
    <row r="19" spans="1:12" ht="30.75" customHeight="1">
      <c r="A19" s="1173"/>
      <c r="B19" s="1165"/>
      <c r="C19" s="1165"/>
      <c r="D19" s="1165"/>
      <c r="E19" s="1166"/>
      <c r="F19" s="45"/>
      <c r="G19" s="1118"/>
      <c r="H19" s="1119"/>
      <c r="I19" s="1120"/>
      <c r="J19" s="1123"/>
      <c r="K19" s="1113"/>
      <c r="L19" s="1114"/>
    </row>
    <row r="20" spans="1:12">
      <c r="A20" s="1173"/>
      <c r="B20" s="1165"/>
      <c r="C20" s="1165"/>
      <c r="D20" s="1165"/>
      <c r="E20" s="1166"/>
      <c r="F20" s="45"/>
      <c r="G20" s="1127"/>
      <c r="H20" s="1128"/>
      <c r="I20" s="1128"/>
      <c r="J20" s="1129"/>
      <c r="K20" s="1111"/>
      <c r="L20" s="1112"/>
    </row>
    <row r="21" spans="1:12" ht="45.75" customHeight="1">
      <c r="A21" s="1173"/>
      <c r="B21" s="1165"/>
      <c r="C21" s="1165"/>
      <c r="D21" s="1165"/>
      <c r="E21" s="1166"/>
      <c r="F21" s="45"/>
      <c r="G21" s="1127"/>
      <c r="H21" s="1128"/>
      <c r="I21" s="1128"/>
      <c r="J21" s="1123"/>
      <c r="K21" s="1113"/>
      <c r="L21" s="1114"/>
    </row>
    <row r="22" spans="1:12">
      <c r="A22" s="1173"/>
      <c r="B22" s="1165"/>
      <c r="C22" s="1165"/>
      <c r="D22" s="1165"/>
      <c r="E22" s="1166"/>
      <c r="F22" s="45"/>
      <c r="G22" s="1127"/>
      <c r="H22" s="1128"/>
      <c r="I22" s="1128"/>
      <c r="J22" s="1125"/>
      <c r="K22" s="1123"/>
      <c r="L22" s="1124"/>
    </row>
    <row r="23" spans="1:12" ht="34.5" customHeight="1">
      <c r="A23" s="1173"/>
      <c r="B23" s="1165"/>
      <c r="C23" s="1165"/>
      <c r="D23" s="1165"/>
      <c r="E23" s="1166"/>
      <c r="F23" s="45"/>
      <c r="G23" s="1127"/>
      <c r="H23" s="1128"/>
      <c r="I23" s="1128"/>
      <c r="J23" s="1126"/>
      <c r="K23" s="1123"/>
      <c r="L23" s="1124"/>
    </row>
    <row r="24" spans="1:12" ht="15" customHeight="1">
      <c r="A24" s="1173"/>
      <c r="B24" s="1165"/>
      <c r="C24" s="1165"/>
      <c r="D24" s="1165"/>
      <c r="E24" s="1166"/>
      <c r="F24" s="45"/>
      <c r="G24" s="1127"/>
      <c r="H24" s="1128"/>
      <c r="I24" s="1128"/>
      <c r="J24" s="1129"/>
      <c r="K24" s="1204"/>
      <c r="L24" s="1152"/>
    </row>
    <row r="25" spans="1:12" ht="30" customHeight="1" thickBot="1">
      <c r="A25" s="1174"/>
      <c r="B25" s="1167"/>
      <c r="C25" s="1167"/>
      <c r="D25" s="1167"/>
      <c r="E25" s="1168"/>
      <c r="F25" s="45"/>
      <c r="G25" s="1138"/>
      <c r="H25" s="1139"/>
      <c r="I25" s="1139"/>
      <c r="J25" s="1186"/>
      <c r="K25" s="1205"/>
      <c r="L25" s="1155"/>
    </row>
    <row r="27" spans="1:12" ht="18.75" customHeight="1">
      <c r="D27" s="356"/>
      <c r="E27" s="362" t="s">
        <v>388</v>
      </c>
      <c r="F27" s="362"/>
      <c r="G27" s="362"/>
      <c r="H27" s="362"/>
      <c r="I27" s="362"/>
    </row>
    <row r="28" spans="1:12" ht="6" customHeight="1">
      <c r="E28" s="71"/>
      <c r="F28" s="71"/>
      <c r="G28" s="71"/>
      <c r="H28" s="71"/>
      <c r="I28" s="71"/>
    </row>
    <row r="29" spans="1:12" s="32" customFormat="1" ht="21" customHeight="1" thickBot="1">
      <c r="B29" s="74" t="s">
        <v>389</v>
      </c>
      <c r="C29" s="74"/>
      <c r="D29" s="74"/>
      <c r="E29" s="74"/>
      <c r="F29" s="74"/>
      <c r="G29" s="74"/>
      <c r="H29" s="74"/>
      <c r="I29" s="74"/>
      <c r="J29" s="74"/>
      <c r="K29" s="74"/>
      <c r="L29" s="74"/>
    </row>
    <row r="30" spans="1:12" ht="6" customHeight="1" thickBot="1">
      <c r="B30" s="72"/>
    </row>
    <row r="31" spans="1:12" ht="21.75" customHeight="1" thickBot="1">
      <c r="B31" s="1134" t="s">
        <v>338</v>
      </c>
      <c r="C31" s="1135"/>
      <c r="D31" s="1135"/>
      <c r="E31" s="1137"/>
      <c r="F31" s="75"/>
      <c r="G31" s="1134" t="s">
        <v>339</v>
      </c>
      <c r="H31" s="1135"/>
      <c r="I31" s="1136"/>
      <c r="J31" s="76" t="s">
        <v>283</v>
      </c>
      <c r="K31" s="1203" t="s">
        <v>282</v>
      </c>
      <c r="L31" s="1137"/>
    </row>
    <row r="32" spans="1:12" ht="14.25" customHeight="1">
      <c r="A32" s="1131" t="s">
        <v>340</v>
      </c>
      <c r="B32" s="1146"/>
      <c r="C32" s="1147"/>
      <c r="D32" s="1147"/>
      <c r="E32" s="1148"/>
      <c r="F32" s="45"/>
      <c r="G32" s="1169"/>
      <c r="H32" s="1170"/>
      <c r="I32" s="1171"/>
      <c r="J32" s="1202"/>
      <c r="K32" s="1188"/>
      <c r="L32" s="1189"/>
    </row>
    <row r="33" spans="1:12" ht="30" customHeight="1">
      <c r="A33" s="1132"/>
      <c r="B33" s="1118"/>
      <c r="C33" s="1119"/>
      <c r="D33" s="1119"/>
      <c r="E33" s="1149"/>
      <c r="F33" s="45"/>
      <c r="G33" s="1162"/>
      <c r="H33" s="1163"/>
      <c r="I33" s="1164"/>
      <c r="J33" s="1180"/>
      <c r="K33" s="1113"/>
      <c r="L33" s="1114"/>
    </row>
    <row r="34" spans="1:12">
      <c r="A34" s="1132"/>
      <c r="B34" s="1181"/>
      <c r="C34" s="1182"/>
      <c r="D34" s="1182"/>
      <c r="E34" s="1112"/>
      <c r="F34" s="45"/>
      <c r="G34" s="1159"/>
      <c r="H34" s="1160"/>
      <c r="I34" s="1161"/>
      <c r="J34" s="1185"/>
      <c r="K34" s="1206"/>
      <c r="L34" s="1207"/>
    </row>
    <row r="35" spans="1:12" ht="30" customHeight="1">
      <c r="A35" s="1132"/>
      <c r="B35" s="1183"/>
      <c r="C35" s="1184"/>
      <c r="D35" s="1184"/>
      <c r="E35" s="1114"/>
      <c r="F35" s="45"/>
      <c r="G35" s="1162"/>
      <c r="H35" s="1163"/>
      <c r="I35" s="1164"/>
      <c r="J35" s="1180"/>
      <c r="K35" s="1208"/>
      <c r="L35" s="1209"/>
    </row>
    <row r="36" spans="1:12">
      <c r="A36" s="1132"/>
      <c r="B36" s="1150"/>
      <c r="C36" s="1151"/>
      <c r="D36" s="1151"/>
      <c r="E36" s="1152"/>
      <c r="F36" s="45"/>
      <c r="G36" s="1159"/>
      <c r="H36" s="1160"/>
      <c r="I36" s="1161"/>
      <c r="J36" s="1179"/>
      <c r="K36" s="1206"/>
      <c r="L36" s="1207"/>
    </row>
    <row r="37" spans="1:12" ht="45" customHeight="1">
      <c r="A37" s="1132"/>
      <c r="B37" s="1176"/>
      <c r="C37" s="1177"/>
      <c r="D37" s="1177"/>
      <c r="E37" s="1178"/>
      <c r="F37" s="45"/>
      <c r="G37" s="1162"/>
      <c r="H37" s="1163"/>
      <c r="I37" s="1164"/>
      <c r="J37" s="1180"/>
      <c r="K37" s="1208"/>
      <c r="L37" s="1209"/>
    </row>
    <row r="38" spans="1:12">
      <c r="A38" s="1132"/>
      <c r="B38" s="1150"/>
      <c r="C38" s="1151"/>
      <c r="D38" s="1151"/>
      <c r="E38" s="1152"/>
      <c r="F38" s="45"/>
      <c r="G38" s="1140"/>
      <c r="H38" s="1141"/>
      <c r="I38" s="1142"/>
      <c r="J38" s="1179"/>
      <c r="K38" s="1210"/>
      <c r="L38" s="1211"/>
    </row>
    <row r="39" spans="1:12">
      <c r="A39" s="1132"/>
      <c r="B39" s="1176"/>
      <c r="C39" s="1177"/>
      <c r="D39" s="1177"/>
      <c r="E39" s="1178"/>
      <c r="F39" s="45"/>
      <c r="G39" s="1143"/>
      <c r="H39" s="1144"/>
      <c r="I39" s="1145"/>
      <c r="J39" s="1180"/>
      <c r="K39" s="1212"/>
      <c r="L39" s="1213"/>
    </row>
    <row r="40" spans="1:12">
      <c r="A40" s="1132"/>
      <c r="B40" s="1150"/>
      <c r="C40" s="1151"/>
      <c r="D40" s="1151"/>
      <c r="E40" s="1152"/>
      <c r="F40" s="45"/>
      <c r="G40" s="1140"/>
      <c r="H40" s="1141"/>
      <c r="I40" s="1142"/>
      <c r="J40" s="1179"/>
      <c r="K40" s="1210"/>
      <c r="L40" s="1211"/>
    </row>
    <row r="41" spans="1:12">
      <c r="A41" s="1132"/>
      <c r="B41" s="1176"/>
      <c r="C41" s="1177"/>
      <c r="D41" s="1177"/>
      <c r="E41" s="1178"/>
      <c r="F41" s="45"/>
      <c r="G41" s="1143"/>
      <c r="H41" s="1144"/>
      <c r="I41" s="1145"/>
      <c r="J41" s="1180"/>
      <c r="K41" s="1212"/>
      <c r="L41" s="1213"/>
    </row>
    <row r="42" spans="1:12">
      <c r="A42" s="1132"/>
      <c r="B42" s="1150"/>
      <c r="C42" s="1151"/>
      <c r="D42" s="1151"/>
      <c r="E42" s="1152"/>
      <c r="F42" s="45"/>
      <c r="G42" s="1140"/>
      <c r="H42" s="1141"/>
      <c r="I42" s="1142"/>
      <c r="J42" s="1179"/>
      <c r="K42" s="1210"/>
      <c r="L42" s="1211"/>
    </row>
    <row r="43" spans="1:12" ht="15.75" thickBot="1">
      <c r="A43" s="1133"/>
      <c r="B43" s="1153"/>
      <c r="C43" s="1154"/>
      <c r="D43" s="1154"/>
      <c r="E43" s="1155"/>
      <c r="F43" s="45"/>
      <c r="G43" s="1156"/>
      <c r="H43" s="1157"/>
      <c r="I43" s="1158"/>
      <c r="J43" s="1201"/>
      <c r="K43" s="1214"/>
      <c r="L43" s="1215"/>
    </row>
  </sheetData>
  <sheetProtection password="CFC9" sheet="1"/>
  <mergeCells count="66">
    <mergeCell ref="J42:J43"/>
    <mergeCell ref="J32:J33"/>
    <mergeCell ref="K31:L31"/>
    <mergeCell ref="K24:L25"/>
    <mergeCell ref="K34:L35"/>
    <mergeCell ref="K40:L41"/>
    <mergeCell ref="K42:L43"/>
    <mergeCell ref="K36:L37"/>
    <mergeCell ref="K38:L39"/>
    <mergeCell ref="K32:L33"/>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K18:L19"/>
    <mergeCell ref="G18:I19"/>
    <mergeCell ref="G13:I13"/>
    <mergeCell ref="K22:L23"/>
    <mergeCell ref="K20:L21"/>
    <mergeCell ref="J22:J23"/>
    <mergeCell ref="G16:I17"/>
    <mergeCell ref="J16:J17"/>
    <mergeCell ref="J14:J1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8DFA6C9-3F96-4413-B912-D348D4E4188B}">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f127e3a1-6a43-4b35-8211-dfdf2a8cacea"/>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3.xml><?xml version="1.0" encoding="utf-8"?>
<ds:datastoreItem xmlns:ds="http://schemas.openxmlformats.org/officeDocument/2006/customXml" ds:itemID="{FCD7FC6D-C8A1-4CF9-9C6D-60A318F43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subject>
  <dc:creator>Genc Kastrati</dc:creator>
  <dc:description>&amp;lt;p&amp;gt;Акронимы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description>
  <cp:lastModifiedBy>Meerim Bolotbaeva</cp:lastModifiedBy>
  <cp:lastPrinted>2013-09-18T04:23:50Z</cp:lastPrinted>
  <dcterms:created xsi:type="dcterms:W3CDTF">2008-11-20T16:06:13Z</dcterms:created>
  <dcterms:modified xsi:type="dcterms:W3CDTF">2018-07-04T05:47:33Z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ies>
</file>