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11"/>
  <workbookPr codeName="ThisWorkbook"/>
  <mc:AlternateContent xmlns:mc="http://schemas.openxmlformats.org/markup-compatibility/2006">
    <mc:Choice Requires="x15">
      <x15ac:absPath xmlns:x15ac="http://schemas.microsoft.com/office/spreadsheetml/2010/11/ac" url="https://undp.sharepoint.com/sites/GF-UNDPKyrgyzRepublic/Shared Documents/General/CCM Dashboard/HIV-TB/CCM Dashboard_P21/"/>
    </mc:Choice>
  </mc:AlternateContent>
  <xr:revisionPtr revIDLastSave="1294" documentId="13_ncr:1_{45768A93-CAB4-4617-BBDA-A89000B7B9E1}" xr6:coauthVersionLast="47" xr6:coauthVersionMax="47" xr10:uidLastSave="{0EA17DF6-D94A-4B2B-9EA5-12A35A7946D3}"/>
  <bookViews>
    <workbookView xWindow="-29400" yWindow="225" windowWidth="29040" windowHeight="15840" tabRatio="793" firstSheet="4" activeTab="6" xr2:uid="{00000000-000D-0000-FFFF-FFFF00000000}"/>
  </bookViews>
  <sheets>
    <sheet name="Меню" sheetId="1" r:id="rId1"/>
    <sheet name="Ввод данных" sheetId="29" r:id="rId2"/>
    <sheet name="Показатели" sheetId="45" r:id="rId3"/>
    <sheet name="Сведения о гранте" sheetId="27" r:id="rId4"/>
    <sheet name="Финансирование" sheetId="30" r:id="rId5"/>
    <sheet name="Управление" sheetId="35" r:id="rId6"/>
    <sheet name="Программа" sheetId="37" r:id="rId7"/>
    <sheet name="Действия" sheetId="39" r:id="rId8"/>
    <sheet name="Рекомендации" sheetId="42" r:id="rId9"/>
    <sheet name="Установки" sheetId="32" state="hidden" r:id="rId10"/>
    <sheet name="Акронимы" sheetId="46" state="hidden" r:id="rId11"/>
  </sheet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PrintA">Действия!$A$2:$L$34</definedName>
    <definedName name="PrintDataF">'Ввод данных'!$A$25:$I$82</definedName>
    <definedName name="PrintDataM">'Ввод данных'!$A$84:$G$169</definedName>
    <definedName name="PrintF">Финансирование!$A$2:$M$31</definedName>
    <definedName name="PrintGD">'Сведения о гранте'!$A$2:$J$13</definedName>
    <definedName name="PrintM" localSheetId="7">Действия!$A$2:$L$6</definedName>
    <definedName name="PrintM">Управление!$A$2:$M$66</definedName>
    <definedName name="PrintP">Программа!$A$2:$P$55</definedName>
    <definedName name="PrintR">Рекомендации!$A$2:$N$41</definedName>
    <definedName name="Rating">Установки!$G$9:$G$14</definedName>
    <definedName name="Round">Установки!$D$9:$D$21</definedName>
    <definedName name="мва">Установки!$I$9:$I$30</definedName>
    <definedName name="_xlnm.Print_Area" localSheetId="7">Действия!$A$1:$L$43</definedName>
    <definedName name="_xlnm.Print_Area" localSheetId="6">Программа!$A$1:$Q$54</definedName>
    <definedName name="_xlnm.Print_Area" localSheetId="5">Управление!$A$1:$M$52</definedName>
    <definedName name="_xlnm.Print_Area" localSheetId="4">Финансирование!$A$2:$M$31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24" i="29" l="1"/>
  <c r="B123" i="29"/>
  <c r="J63" i="35"/>
  <c r="K53" i="35"/>
  <c r="K52" i="35"/>
  <c r="A201" i="29"/>
  <c r="G53" i="37"/>
  <c r="G54" i="37"/>
  <c r="D147" i="29"/>
  <c r="D148" i="29"/>
  <c r="F146" i="29"/>
  <c r="I146" i="29" s="1"/>
  <c r="K46" i="35" s="1"/>
  <c r="M46" i="35" s="1"/>
  <c r="F147" i="29"/>
  <c r="E206" i="29"/>
  <c r="E204" i="29"/>
  <c r="E202" i="29"/>
  <c r="E201" i="29"/>
  <c r="E203" i="29"/>
  <c r="A232" i="29"/>
  <c r="A230" i="29"/>
  <c r="A228" i="29"/>
  <c r="G52" i="37"/>
  <c r="G51" i="37"/>
  <c r="G50" i="37"/>
  <c r="G49" i="37"/>
  <c r="M70" i="35"/>
  <c r="M53" i="35"/>
  <c r="M52" i="35"/>
  <c r="F166" i="29"/>
  <c r="I166" i="29" s="1"/>
  <c r="F165" i="29"/>
  <c r="I165" i="29" s="1"/>
  <c r="F164" i="29"/>
  <c r="I164" i="29" s="1"/>
  <c r="F163" i="29"/>
  <c r="I163" i="29" s="1"/>
  <c r="F162" i="29"/>
  <c r="I162" i="29" s="1"/>
  <c r="F161" i="29"/>
  <c r="I161" i="29" s="1"/>
  <c r="F160" i="29"/>
  <c r="I160" i="29" s="1"/>
  <c r="F159" i="29"/>
  <c r="I159" i="29" s="1"/>
  <c r="F158" i="29"/>
  <c r="I158" i="29" s="1"/>
  <c r="F157" i="29"/>
  <c r="I157" i="29" s="1"/>
  <c r="F156" i="29"/>
  <c r="I156" i="29" s="1"/>
  <c r="F155" i="29"/>
  <c r="I155" i="29" s="1"/>
  <c r="F154" i="29"/>
  <c r="I154" i="29" s="1"/>
  <c r="F153" i="29"/>
  <c r="I153" i="29" s="1"/>
  <c r="F152" i="29"/>
  <c r="I152" i="29" s="1"/>
  <c r="I151" i="29"/>
  <c r="F150" i="29"/>
  <c r="F149" i="29"/>
  <c r="M50" i="35"/>
  <c r="K151" i="29" l="1"/>
  <c r="K54" i="35"/>
  <c r="M54" i="35" s="1"/>
  <c r="K152" i="29"/>
  <c r="K55" i="35"/>
  <c r="M55" i="35" s="1"/>
  <c r="K153" i="29"/>
  <c r="K56" i="35"/>
  <c r="M56" i="35" s="1"/>
  <c r="K154" i="29"/>
  <c r="K57" i="35"/>
  <c r="M57" i="35" s="1"/>
  <c r="K155" i="29"/>
  <c r="K58" i="35"/>
  <c r="M58" i="35" s="1"/>
  <c r="K156" i="29"/>
  <c r="K59" i="35"/>
  <c r="M59" i="35" s="1"/>
  <c r="K157" i="29"/>
  <c r="K60" i="35"/>
  <c r="M60" i="35" s="1"/>
  <c r="K158" i="29"/>
  <c r="K61" i="35"/>
  <c r="M61" i="35" s="1"/>
  <c r="K159" i="29"/>
  <c r="K62" i="35"/>
  <c r="M62" i="35" s="1"/>
  <c r="K160" i="29"/>
  <c r="K63" i="35"/>
  <c r="M63" i="35" s="1"/>
  <c r="K161" i="29"/>
  <c r="K64" i="35"/>
  <c r="M64" i="35" s="1"/>
  <c r="K162" i="29"/>
  <c r="K65" i="35"/>
  <c r="M65" i="35" s="1"/>
  <c r="K163" i="29"/>
  <c r="K66" i="35"/>
  <c r="M66" i="35" s="1"/>
  <c r="K164" i="29"/>
  <c r="K67" i="35"/>
  <c r="M67" i="35" s="1"/>
  <c r="K165" i="29"/>
  <c r="K68" i="35"/>
  <c r="M68" i="35" s="1"/>
  <c r="K166" i="29"/>
  <c r="K69" i="35"/>
  <c r="M69" i="35" s="1"/>
  <c r="K146" i="29"/>
  <c r="I147" i="29"/>
  <c r="K147" i="29" l="1"/>
  <c r="K47" i="35"/>
  <c r="M47" i="35" s="1"/>
  <c r="F148" i="29"/>
  <c r="F145" i="29"/>
  <c r="D144" i="29"/>
  <c r="F144" i="29" s="1"/>
  <c r="I144" i="29" s="1"/>
  <c r="K44" i="35" s="1"/>
  <c r="M44" i="35" s="1"/>
  <c r="F143" i="29"/>
  <c r="D142" i="29"/>
  <c r="F142" i="29" s="1"/>
  <c r="D141" i="29"/>
  <c r="F141" i="29" s="1"/>
  <c r="F140" i="29"/>
  <c r="D139" i="29"/>
  <c r="F139" i="29" s="1"/>
  <c r="D138" i="29"/>
  <c r="F138" i="29" s="1"/>
  <c r="D137" i="29"/>
  <c r="F137" i="29" s="1"/>
  <c r="I137" i="29" s="1"/>
  <c r="K37" i="35" s="1"/>
  <c r="M37" i="35" s="1"/>
  <c r="D136" i="29"/>
  <c r="F136" i="29" s="1"/>
  <c r="I136" i="29" s="1"/>
  <c r="K36" i="35" s="1"/>
  <c r="M36" i="35" s="1"/>
  <c r="D135" i="29"/>
  <c r="F135" i="29" s="1"/>
  <c r="D134" i="29"/>
  <c r="F134" i="29" s="1"/>
  <c r="D133" i="29"/>
  <c r="D132" i="29"/>
  <c r="F132" i="29" s="1"/>
  <c r="I132" i="29" s="1"/>
  <c r="K32" i="35" l="1"/>
  <c r="M32" i="35" s="1"/>
  <c r="K132" i="29"/>
  <c r="F133" i="29"/>
  <c r="M51" i="35" l="1"/>
  <c r="I148" i="29" l="1"/>
  <c r="I145" i="29"/>
  <c r="K144" i="29"/>
  <c r="I143" i="29"/>
  <c r="I142" i="29"/>
  <c r="I140" i="29"/>
  <c r="I139" i="29"/>
  <c r="I138" i="29"/>
  <c r="K137" i="29"/>
  <c r="K136" i="29"/>
  <c r="I135" i="29"/>
  <c r="I133" i="29"/>
  <c r="K133" i="29" l="1"/>
  <c r="K33" i="35"/>
  <c r="M33" i="35" s="1"/>
  <c r="K135" i="29"/>
  <c r="K35" i="35"/>
  <c r="M35" i="35" s="1"/>
  <c r="K138" i="29"/>
  <c r="K38" i="35"/>
  <c r="M38" i="35" s="1"/>
  <c r="K139" i="29"/>
  <c r="K39" i="35"/>
  <c r="M39" i="35" s="1"/>
  <c r="K140" i="29"/>
  <c r="K40" i="35"/>
  <c r="M40" i="35" s="1"/>
  <c r="K142" i="29"/>
  <c r="K42" i="35"/>
  <c r="M42" i="35" s="1"/>
  <c r="K143" i="29"/>
  <c r="K43" i="35"/>
  <c r="M43" i="35" s="1"/>
  <c r="K145" i="29"/>
  <c r="K45" i="35"/>
  <c r="M45" i="35" s="1"/>
  <c r="K148" i="29"/>
  <c r="K48" i="35"/>
  <c r="M48" i="35" s="1"/>
  <c r="I134" i="29"/>
  <c r="I141" i="29"/>
  <c r="B122" i="29"/>
  <c r="K141" i="29" l="1"/>
  <c r="K41" i="35"/>
  <c r="M41" i="35" s="1"/>
  <c r="K134" i="29"/>
  <c r="K34" i="35"/>
  <c r="M34" i="35" s="1"/>
  <c r="E205" i="29"/>
  <c r="M49" i="35" l="1"/>
  <c r="B50" i="37"/>
  <c r="B28" i="35"/>
  <c r="B51" i="37"/>
  <c r="B52" i="37"/>
  <c r="D113" i="29"/>
  <c r="D114" i="29"/>
  <c r="D112" i="29"/>
  <c r="X33" i="37"/>
  <c r="W33" i="37"/>
  <c r="V33" i="37"/>
  <c r="U33" i="37"/>
  <c r="T33" i="37"/>
  <c r="X32" i="37"/>
  <c r="W32" i="37"/>
  <c r="V32" i="37"/>
  <c r="U32" i="37"/>
  <c r="T32" i="37"/>
  <c r="X29" i="37"/>
  <c r="W29" i="37"/>
  <c r="V29" i="37"/>
  <c r="U29" i="37"/>
  <c r="T29" i="37"/>
  <c r="X28" i="37"/>
  <c r="W28" i="37"/>
  <c r="V28" i="37"/>
  <c r="U28" i="37"/>
  <c r="T28" i="37"/>
  <c r="AA26" i="37"/>
  <c r="X26" i="37"/>
  <c r="W26" i="37"/>
  <c r="V26" i="37"/>
  <c r="U26" i="37"/>
  <c r="T26" i="37"/>
  <c r="AA25" i="37"/>
  <c r="X25" i="37"/>
  <c r="W25" i="37"/>
  <c r="V25" i="37"/>
  <c r="U25" i="37"/>
  <c r="T25" i="37"/>
  <c r="AF23" i="37"/>
  <c r="AE23" i="37"/>
  <c r="AD23" i="37"/>
  <c r="AC23" i="37"/>
  <c r="AB23" i="37"/>
  <c r="X23" i="37"/>
  <c r="W23" i="37"/>
  <c r="V23" i="37"/>
  <c r="U23" i="37"/>
  <c r="T23" i="37"/>
  <c r="D98" i="29"/>
  <c r="C205" i="29"/>
  <c r="B205" i="29"/>
  <c r="A205" i="29"/>
  <c r="C203" i="29"/>
  <c r="B203" i="29"/>
  <c r="A203" i="29"/>
  <c r="C201" i="29"/>
  <c r="B201" i="29"/>
  <c r="F207" i="29"/>
  <c r="E227" i="29"/>
  <c r="F227" i="29"/>
  <c r="G227" i="29"/>
  <c r="H227" i="29"/>
  <c r="I227" i="29"/>
  <c r="J227" i="29"/>
  <c r="K227" i="29"/>
  <c r="L227" i="29"/>
  <c r="M227" i="29"/>
  <c r="N227" i="29"/>
  <c r="O227" i="29"/>
  <c r="B228" i="29"/>
  <c r="C228" i="29"/>
  <c r="E228" i="29"/>
  <c r="F228" i="29"/>
  <c r="G228" i="29"/>
  <c r="H228" i="29"/>
  <c r="I228" i="29"/>
  <c r="J228" i="29"/>
  <c r="K228" i="29"/>
  <c r="L228" i="29"/>
  <c r="M228" i="29"/>
  <c r="N228" i="29"/>
  <c r="O228" i="29"/>
  <c r="E229" i="29"/>
  <c r="F229" i="29"/>
  <c r="G229" i="29"/>
  <c r="H229" i="29"/>
  <c r="I229" i="29"/>
  <c r="J229" i="29"/>
  <c r="K229" i="29"/>
  <c r="L229" i="29"/>
  <c r="M229" i="29"/>
  <c r="N229" i="29"/>
  <c r="O229" i="29"/>
  <c r="B230" i="29"/>
  <c r="C230" i="29"/>
  <c r="E230" i="29"/>
  <c r="F230" i="29"/>
  <c r="G230" i="29"/>
  <c r="H230" i="29"/>
  <c r="I230" i="29"/>
  <c r="J230" i="29"/>
  <c r="K230" i="29"/>
  <c r="L230" i="29"/>
  <c r="M230" i="29"/>
  <c r="N230" i="29"/>
  <c r="O230" i="29"/>
  <c r="E231" i="29"/>
  <c r="F231" i="29"/>
  <c r="G231" i="29"/>
  <c r="H231" i="29"/>
  <c r="I231" i="29"/>
  <c r="J231" i="29"/>
  <c r="K231" i="29"/>
  <c r="L231" i="29"/>
  <c r="M231" i="29"/>
  <c r="N231" i="29"/>
  <c r="O231" i="29"/>
  <c r="B232" i="29"/>
  <c r="C232" i="29"/>
  <c r="E232" i="29"/>
  <c r="F232" i="29"/>
  <c r="G232" i="29"/>
  <c r="H232" i="29"/>
  <c r="I232" i="29"/>
  <c r="J232" i="29"/>
  <c r="K232" i="29"/>
  <c r="L232" i="29"/>
  <c r="M232" i="29"/>
  <c r="N232" i="29"/>
  <c r="O232" i="29"/>
  <c r="E233" i="29"/>
  <c r="F233" i="29"/>
  <c r="G233" i="29"/>
  <c r="H233" i="29"/>
  <c r="I233" i="29"/>
  <c r="J233" i="29"/>
  <c r="K233" i="29"/>
  <c r="L233" i="29"/>
  <c r="M233" i="29"/>
  <c r="N233" i="29"/>
  <c r="O233" i="29"/>
  <c r="F91" i="29"/>
  <c r="F92" i="29"/>
  <c r="B33" i="29"/>
  <c r="B34" i="29"/>
  <c r="B64" i="29"/>
  <c r="E64" i="29" s="1"/>
  <c r="C64" i="29"/>
  <c r="D72" i="29"/>
  <c r="D71" i="29"/>
  <c r="D70" i="29"/>
  <c r="D69" i="29"/>
  <c r="H170" i="29"/>
  <c r="D12" i="42"/>
  <c r="D41" i="42"/>
  <c r="D34" i="42"/>
  <c r="D35" i="42"/>
  <c r="D36" i="42"/>
  <c r="D37" i="42"/>
  <c r="D38" i="42"/>
  <c r="D39" i="42"/>
  <c r="D40" i="42"/>
  <c r="D33" i="42"/>
  <c r="D32" i="42"/>
  <c r="D31" i="42"/>
  <c r="D30" i="42"/>
  <c r="D29" i="42"/>
  <c r="D24" i="42"/>
  <c r="D23" i="42"/>
  <c r="D22" i="42"/>
  <c r="D21" i="42"/>
  <c r="D20" i="42"/>
  <c r="D19" i="42"/>
  <c r="D13" i="42"/>
  <c r="D11" i="42"/>
  <c r="B13" i="27"/>
  <c r="D10" i="27"/>
  <c r="B10" i="27"/>
  <c r="B9" i="27"/>
  <c r="B8" i="45"/>
  <c r="B23" i="45"/>
  <c r="B2" i="37"/>
  <c r="B2" i="35"/>
  <c r="B2" i="45"/>
  <c r="B3" i="27"/>
  <c r="B3" i="32" s="1"/>
  <c r="B2" i="30"/>
  <c r="B2" i="1"/>
  <c r="B2" i="39"/>
  <c r="B2" i="42"/>
  <c r="K3" i="30"/>
  <c r="M3" i="30"/>
  <c r="A32" i="29"/>
  <c r="B3" i="39"/>
  <c r="B3" i="42"/>
  <c r="C4" i="42"/>
  <c r="B4" i="1"/>
  <c r="C3" i="37"/>
  <c r="B3" i="37"/>
  <c r="B3" i="30"/>
  <c r="B6" i="27"/>
  <c r="C4" i="30"/>
  <c r="C4" i="35"/>
  <c r="C4" i="37"/>
  <c r="C4" i="39"/>
  <c r="D68" i="29"/>
  <c r="C38" i="29"/>
  <c r="B38" i="29"/>
  <c r="B9" i="45"/>
  <c r="K3" i="35"/>
  <c r="M3" i="35"/>
  <c r="I11" i="27"/>
  <c r="B12" i="27"/>
  <c r="C3" i="35"/>
  <c r="B3" i="35"/>
  <c r="B4" i="35"/>
  <c r="E4" i="35"/>
  <c r="K4" i="35"/>
  <c r="M4" i="35"/>
  <c r="D5" i="35"/>
  <c r="L5" i="35"/>
  <c r="M5" i="35"/>
  <c r="J3" i="39"/>
  <c r="L3" i="39"/>
  <c r="B4" i="39"/>
  <c r="E4" i="39"/>
  <c r="J4" i="39"/>
  <c r="L4" i="39"/>
  <c r="K5" i="39"/>
  <c r="L5" i="39"/>
  <c r="L3" i="42"/>
  <c r="M3" i="42"/>
  <c r="B4" i="42"/>
  <c r="E4" i="42"/>
  <c r="L4" i="42"/>
  <c r="M4" i="42"/>
  <c r="L5" i="42"/>
  <c r="M5" i="42"/>
  <c r="D14" i="42"/>
  <c r="O3" i="37"/>
  <c r="Q3" i="37"/>
  <c r="B4" i="37"/>
  <c r="E4" i="37"/>
  <c r="P4" i="37"/>
  <c r="D5" i="37"/>
  <c r="P5" i="37"/>
  <c r="T50" i="37"/>
  <c r="U50" i="37"/>
  <c r="T51" i="37"/>
  <c r="U51"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H35" i="29"/>
  <c r="Q67" i="29"/>
  <c r="K35" i="29"/>
  <c r="M35" i="29"/>
  <c r="B10" i="45"/>
  <c r="B11" i="45"/>
  <c r="B19" i="45"/>
  <c r="B20" i="45"/>
  <c r="B21" i="45"/>
  <c r="B22" i="45"/>
  <c r="B25" i="45"/>
  <c r="H4" i="1"/>
  <c r="I35" i="29"/>
  <c r="G35" i="29"/>
  <c r="Q35" i="29"/>
  <c r="J35" i="29"/>
  <c r="Q34" i="29"/>
  <c r="Q66" i="29"/>
  <c r="L35" i="29"/>
  <c r="P68" i="29"/>
  <c r="AF25" i="37"/>
  <c r="AC25" i="37"/>
  <c r="AB25" i="37"/>
  <c r="AE25" i="37"/>
  <c r="AD25" i="37"/>
  <c r="AE26" i="37"/>
  <c r="AD26" i="37"/>
  <c r="AF26" i="37"/>
  <c r="AC26" i="37"/>
  <c r="AB26" i="37"/>
  <c r="B35" i="29" l="1"/>
  <c r="Q29" i="29"/>
  <c r="C35" i="29"/>
  <c r="B8" i="30"/>
  <c r="B18" i="35"/>
  <c r="J8" i="30"/>
  <c r="I28" i="35"/>
  <c r="B7" i="35"/>
  <c r="J22" i="30"/>
  <c r="I18" i="35"/>
  <c r="B22" i="30"/>
  <c r="I7" i="35"/>
  <c r="Q30" i="29" l="1"/>
  <c r="F35" i="29" l="1"/>
  <c r="Q33" i="29"/>
  <c r="Q32" i="29"/>
  <c r="E35" i="29"/>
  <c r="D35" i="29"/>
  <c r="Q31"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s>
  <commentList>
    <comment ref="A118" authorId="0" shapeId="0" xr:uid="{00000000-0006-0000-0200-00000800000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<sst xmlns="http://schemas.openxmlformats.org/spreadsheetml/2006/main" count="1013" uniqueCount="692">
  <si>
    <t>V1.0</t>
  </si>
  <si>
    <t>Информация о гранте</t>
  </si>
  <si>
    <t>Страна:</t>
  </si>
  <si>
    <t>Кыргызстан</t>
  </si>
  <si>
    <t>Название гранта:</t>
  </si>
  <si>
    <t>«Эффективный контроль за ВИЧ-инфекцией и туберкулезом в Кыргызской Республике»</t>
  </si>
  <si>
    <t>Грант №</t>
  </si>
  <si>
    <t>KGZ-C-UNDP</t>
  </si>
  <si>
    <t>Компонент:</t>
  </si>
  <si>
    <t>ВИЧ/СПИД/ТБ</t>
  </si>
  <si>
    <t>Общая сумма:</t>
  </si>
  <si>
    <t xml:space="preserve">34061297
</t>
  </si>
  <si>
    <t>Основной реципиент:</t>
  </si>
  <si>
    <t>ПРООН</t>
  </si>
  <si>
    <t>Раунд:</t>
  </si>
  <si>
    <t>Фаза:</t>
  </si>
  <si>
    <t>Дата начала (дд/ммм/гг):</t>
  </si>
  <si>
    <t>Местный агент Фонда:</t>
  </si>
  <si>
    <t>UNOPS</t>
  </si>
  <si>
    <t>Последняя оценка:</t>
  </si>
  <si>
    <t>Пожалуйста выберите</t>
  </si>
  <si>
    <t>Менеджер портфолио Фонда:</t>
  </si>
  <si>
    <t>Алексей Бобрик</t>
  </si>
  <si>
    <t>Период предоставления отчетной информации</t>
  </si>
  <si>
    <t>Отчетный период</t>
  </si>
  <si>
    <t>P1</t>
  </si>
  <si>
    <t>с:</t>
  </si>
  <si>
    <t>до:</t>
  </si>
  <si>
    <t>Дата ввода информации:</t>
  </si>
  <si>
    <t>Кем подготовлено:</t>
  </si>
  <si>
    <t>Информация об индикаторах</t>
  </si>
  <si>
    <t>Введите данные в ячейки соответствующего цвета</t>
  </si>
  <si>
    <t xml:space="preserve">Информация о финансировании: </t>
  </si>
  <si>
    <t xml:space="preserve">Информация об управлении: </t>
  </si>
  <si>
    <t xml:space="preserve">Информация о программе: </t>
  </si>
  <si>
    <t xml:space="preserve">     Введите финансовые данные в каждую ячейку оранжевого цвета.</t>
  </si>
  <si>
    <t>Валюта финансирования гранта</t>
  </si>
  <si>
    <t>$</t>
  </si>
  <si>
    <t>F1: Бюджет и выплаты Глобальным фондом</t>
  </si>
  <si>
    <t>Выплаты</t>
  </si>
  <si>
    <t>P2</t>
  </si>
  <si>
    <t>P3</t>
  </si>
  <si>
    <t>P4</t>
  </si>
  <si>
    <t>P5</t>
  </si>
  <si>
    <t>P6</t>
  </si>
  <si>
    <t>P7</t>
  </si>
  <si>
    <t>P8</t>
  </si>
  <si>
    <t>P9</t>
  </si>
  <si>
    <t>P10</t>
  </si>
  <si>
    <t>P11</t>
  </si>
  <si>
    <t>P12</t>
  </si>
  <si>
    <t>% Общего объема</t>
  </si>
  <si>
    <t>Бюджет (в $)</t>
  </si>
  <si>
    <t>Общий бюджет</t>
  </si>
  <si>
    <t>Общая сумма выплат</t>
  </si>
  <si>
    <t>F2: Бюджет и фактические расходы согласно задачам гранта</t>
  </si>
  <si>
    <t>Комментарии</t>
  </si>
  <si>
    <t>Снижение рисков для программ по заболеваниям</t>
  </si>
  <si>
    <t>Данная задача включает бюджет по модулю COVID-19 в рамках основного гранта на: Обучение персонала программы, Гонорар тренеров, проведение MИО визитов в рамках повышения потенциала профилактических программ и организаций, работающих с мигрантами, сотрудников по экспресс-тестированию, он-лайн консультированию, психологической поддержке представителей КП в трудной жизненной ситуации. Однако, в начале 2021 г. было принято решение, направить бюджетные средства на закупку масок, в виду требования гФ об использование остатка финансирования первого транша по C19RM с 2020 г. в срок до 30 июня 2021 г. Поэтому, все средства по данной интервенции были использованы на закупку масок и соответствующих затрат на управление поставками и были отражены в соответствующей интервенции.</t>
  </si>
  <si>
    <t>Диагностика и тестирование COVID</t>
  </si>
  <si>
    <t>Данная задача включает бюджет  в рамках С19RM средств, выделенных в 2021 г. на: закупки тестов, лабораторных реагентов, медицинского оборудования для диагностирования, и соответствующие затраты на управление поставками.
 За отчетный период было израсходовано 46% выделенного бюджета.  При этом имеются неоплаченные контрактные обязательства на 24 514$ на 31 декабря 2021 г. по закупкам лабораторного оборудования и соответствующих PSM расходов, которые будут оплачены в начале 2022 г после поступления продукции. С учетом обязательств процент освоения бюджета равен 49%. Закупки на сумму 312 908$ перенесены на 2022 г. в виду остутствия окончательного ТЗ и ценовых предложений на момент размещения заказа.</t>
  </si>
  <si>
    <t>Смягчение негативных воздействий для программ по ВИЧ</t>
  </si>
  <si>
    <t>Остаток бюджета 91 918$ включает в себя:
а. Неиспользованный бюджет в размере 57 825$ по видам деятельности:
     - на поддержку общинного центра для ЛЖВ, т.к. тендер по отбору НПО для реализации данной деятельности объявлялся дважды и не увенчался успехом (заявки не подавались). Объявлен 3-й тендер, если он не будет успешным, ПРООН выберет организацию и будет использовать прямой метод заключения контрактов в 2022 году.
    - оказание психологической поддержки клиентам ЛЖВ, медицинским работникам, обслуживающим ЛЖВ и работающим в «красных» зонах. Эта деятельность находится в рамках Соглашения СП с РЦ СПИД и не была реализована из-за отсутствия профессиональных психологов, РЦ СПИД продолжит попытки нанять сотрудников с соответствующим опытом и квалификацией.
- мониторинг и менторская помощь в области экспресс-тестирования, которое будет начато после набора экспертов;
     - тренинги по профилактике синдрома эмоционального выгорания среди медицинских работников. Средства на реализацию данной деятельности включены в договор СП с РЦ СПИД. Из-за высокой рабочей нагрузки на персонал РЦ СПИД не смог реализовать проект и обратился в ПРООН с просьбой распоряжаться средствами. Тренинги пройдут в 2022 году.
       - В 2021 году в ГСИН был сохранен эпидемиологический режим,  были ограничения по проведению тренингов по консультированию и анализу слюны. Перенесно на 2022 г
    -тренинги для сотрудников НПО по новым подходам, онлайн-приложениям, мерам вакцинации и инфекционной безопасности будут проведены в 2022 году после завершения работы над приложением по ВИЧ и онлайн-форматом базы данных ИСУ.
б. Остаток в размере 34 092$ представляет собой неиспользованный бюджет на 3 квартал 2021 года, в основном из-за того, что СП приступили к реализации программных мероприятий в рамках средств C19RM с 4 квартала 2021 года после того, как были выпущены поправки к соглашениям СП.</t>
  </si>
  <si>
    <t>Устранение препятствий к услугам, связанных с правами человека и гендерными факторами</t>
  </si>
  <si>
    <t>Остаток бюджета в размере 9 678$ возник из-за неиспользованного бюджета за 3 квартал 2021 года, в основном из-за того, что СП приступили к реализации программных мероприятий за счет средств C19RM с 4 квартала 2021 года после того, как были выпущены поправки к соглашениям СП.</t>
  </si>
  <si>
    <t>Кейс-менеджмент, клинические операции и лечение</t>
  </si>
  <si>
    <t>Остаток бюджета в размере 1 576 628$ включает:
а. Финансовые обязательства в размере 475 935$, связанные с приобретением компьютерной томографии, ультразвуковой системы, ЭКГ, лабораторного оборудования и соответствующих затрат на управление поставками. Объем освоения с учетом обязательств составит 31%.
б. Оставшаяся сумма в размере 1 100 692$ предназначена для переноса закупок на 2022 год в связи с отсутствием окончательного ТЗ и ценовых предложений на момент размещения заказа. Данные закупки связаны с медицинским оборудованием, автомобилем скорой помощи для Государственной пенитенциарной службы и соответствующими затратами на управление поставками</t>
  </si>
  <si>
    <t>Профилактика инфекций, контроль и защита медицинских работников</t>
  </si>
  <si>
    <t>Остаток бюджета в размере 330 838$ включает:
а. Финансовые обязательства в размере 92 927$, которые относятся к закупке СИЗ и дезинфицирующих средств, а также к соответствующим затратам на управление поставками. Размещение заказа в 2021 году было отложено из-за отсутствия продукции на момент оформления заказа. Объем освоения с учетом обязательств составит 27%.
б. сумма в 58 939 $ относится к перенесенным закупкам на 2022 год. Перенесенные закупки относятся к маскам и соответствующим затратам на управление поставками
в. Оставшаяся сумма представляет собой экономию, связанную с приобретением дезинфицирующих средств и средств индивидуальной защиты, поскольку фактическая цена за единицу была меньше запланированной в бюджете.</t>
  </si>
  <si>
    <t>Лабораторные системы</t>
  </si>
  <si>
    <t xml:space="preserve">Остаток бюджета в размере  373 992$ включает:
а. Финансовые обязательства в размере 6 909$, связанные с закупкой лабораторного оборудования и сопутствующие затратами на управление поставками. Размещение заказа в 2021 году было отложено из-за отсутствия продукции на момент оформления заказа. Объем освоения с учетом обязательств составит 2%.
б. сумма в 273 862$ относится к перенесенным закупкам на 2022 год в связи с отсутствием окончательного ТЗ и ценовых предложений на момент размещения заказа. Перенесенные закупки связаны с медицинским оборудованием для укрепления лабораторий, обслуживанием лабораторного оборудования и сопутствующими затратами на управление поставками
в. Оставшаяся сумма в размере 93 221 $ представляет собой экономию, связанную с приобретением лабораторного оборудования, поскольку фактическая цена за единицу была меньше запланированной в бюджете.
</t>
  </si>
  <si>
    <t>Смягчение негативных воздействий для программ по ТБ</t>
  </si>
  <si>
    <t>Неиспользованный бюджет в размере 7 502$ относится к деятельности по мониторингу посещений НЦФ противотуберкулезных учреждений и центров семейной медицины, поскольку НЦФ использовал собственные средства для посещений МиО в 2021 г. Остаток будет перенесен на 2022 г. и использован.</t>
  </si>
  <si>
    <t>Мероприятия по изменению поведения</t>
  </si>
  <si>
    <t>Остаток бюджета в размере  93 300$ включает:
а. Финансовые обязательства в размере 18 699$ в рамках основных средств гранта, которые относятся к сопутствующим затратам на управление поставками, таким как таможенная очистка, аренда центрального склада, внутренняя перевозка грузов, предоставление диагностических лабораторных услуг по ИППП и транспортные расходы, которые будут предоставлены в 2022 году. Объем освоения с учетом обязательств составит 82%.
б. Неиспользованный бюджет в размере 67 200$ в рамках основных средств гранта относится к отмене закупок любрикантов из-за достаточного запаса в стране.
в. Оставшаяся сумма представляет собой экономию средств основного гранта и относится к закупке презервативов, так как фактическое закупленное количество было меньше запланированного.</t>
  </si>
  <si>
    <t>Программы обмена игл и шприцев</t>
  </si>
  <si>
    <t>Остаток бюджета в размере  87 935$ включает:
а. Финансовые обязательства в размере 205 207$ в рамках основных средств гранта, которые связаны с закупкой шприцев, спиртовых салфеток и сопутствующимb затратамb на управление поставками. Объем освоения с учетом обязательств составит 138% из-за предварительной закупки товаров, предусмотренных в бюджете на 2022 год, поскольку для закупки продуктов, предусмотренных в бюджете на 2021 и 2022 годы, был создан один сводный заказ на поставку.
б. Неиспользованный бюджет в размере 22 668 $ в рамках основных грантовых фондов, относится к активностям по выплате заработной платы социальным работникам, равным консультантам в рамках РЦН 6 государственных ПОШ. В соответствии с заявкой страны на грант предполагалось иметь социальных работников/равных консультантов в рамках Соглашения СП с РЦН и обеспечить доступ к программам профилактики ВИЧ для тех ЛУИН, которые проживают на территории, не охваченной НПО. Но с началом реализации гранта стало очевидно, что нет необходимости иметь этот персонал на контракте с РЦН, поскольку все районы, где проживает большинство ЛУИН, уже охвачены выбранными НПО ЛУИН. И эта деятельность не была включена в бюджет РЦН.</t>
  </si>
  <si>
    <t>Опиоидная заместительная терапия и другое лечение наркозависимости с медицинской помощью</t>
  </si>
  <si>
    <t>Остаток бюджета в размере  232 598$ включает:
а. Финансовые обязательства в размере 148 412$ в рамках основных средств гранта, которые связаны с закупкой метадона, дозаторов, других лекарств и сопутствующими затратами на управление поставками, такими как таможенное оформление, аренда центрального склада, внутренняя перевозка грузов. Объем освоения с учетом обязательств составит 75%.
б. Оставшаяся сумма представляет собой экономию средств основного гранта и относится к закупке налоксона, поскольку фактическое закупленное количество оказалось меньше запланированного. Закупка некоторых расходных материалов, заложенных в бюджет в рамках данной интервенции, была отменена из-за достаточного запаса в стране.</t>
  </si>
  <si>
    <t>Лечение (МЛУ ТБ)</t>
  </si>
  <si>
    <t>Остаток бюджета в размере  907 203$ включает:
а. Финансовые обязательства в размере 1 302 346$ в рамках основных средств гранта, которые в основном связаны с закупкой противотуберкулезных препаратов и сопутствующими затратами на управление поставками, такими как таможенная очистка, аренда центрального склада, внутренние перевозки грузов, которые будут предоставлены в 2022 году. Объем освоения с учетом обязательств составит 128% из-за предварительных закупок противотуберкулезных препаратов, предусмотренных в бюджете на 2022 год.
б. Плата GLC за 2021 год была выплачена GF в марте 2022 года.
в. Неиспользованный бюджет в размере 9 220$ по основному гранту, который относится к деятельности по обучению врачей первичного звена и фтизиатров по модифицированным режимам, так как эти тренинги, связанные с исследованием, проводились командой в режиме обучения на рабочем месте, средства не были использованы и можно рассматривать как экономию
д. Экономия в размере 72 968$ по основному гранту в рамках компонента по ТБ, который связан с такими мероприятиями, как выплаты по результатам работы медицинскому персоналу государственных противотуберкулезных центров гражданской и пенитенциарной систем здравоохранения, участие в международных тренингах и конференциях, посещения для МиО, заполнение формы и ввод данных в рамках оперативных исследований по краткосрочным модифицированным режимам. Экономия произошла за счет фактических потребностей ТБ СП и напряженной эпидемиологической обстановки в 2021 году, связанной с COVID.</t>
  </si>
  <si>
    <t>Выявление и диагностика случаев (МЛУ-ТБ)</t>
  </si>
  <si>
    <t>Остаток бюджета в размере  217 865$ включает:
а. Финансовые обязательства в размере 190 084$ в рамках основного гранта, которые связаны с закупкой расходных материалов для лечения ТБ, сопутствующими затратами на управление поставками и прочими расходами, такими как таможенное оформление, аренда центрального склада, внутренняя перевозка груза, расходы на транспортировку мокроты, которые будут обеспечены в 2022 году. Объем освоения с учетом обязательств  составит 97%.
б. Оставшаяся сумма представляет собой экономию средств основного гранта и относится к закупке противотуберкулезных расходных материалов за счет снижения удельных затрат на некоторые продукты.</t>
  </si>
  <si>
    <t>Оказание помощи при МЛУ-ТБ по месту жительства</t>
  </si>
  <si>
    <t>Остаток бюджета в размере  145 479$ включает:
а. Финансовые обязательства в размере 8 034 долларов США в рамках основного гранта, относящиеся к компьютерным томографическим исследованиям для детей, которые будут предоставлены в 2022 году.  Объем освоения с учетом обязательств составит 56%.
б. Оставшаяся сумма в размере 137 444 долларов США представляет собой экономию средств основного гранта и в основном относится к денежной мотивации больных ТБ за приверженность лечению из-за меньшего числа больных, чем было предусмотрено в бюджете.</t>
  </si>
  <si>
    <t>Дифференцированное предоставление услуг АРВТ и помощь при ВИЧ</t>
  </si>
  <si>
    <t>Остаток бюджета в размере  39 980$ включает:
а. Финансовые обязательства в размере 98 391$ по основному гранту, которые связаны с закупкой АРВ, BD facspresto,  сопутствующими затратами на управление поставками, услуги по модернизации электронной системы отслеживания случаев ВИЧ-инфекции для перевода на веб-версию, которая будет предоставлена ​​в 2022 году. Объем освоения с учетом обязательств составит 110% из-за авансовых закупок из будущего бюджета и увеличения количества АРВ и тестов по запросу RAC.
б. неиспользованный бюджет на мероприятия по проведению лагеря для детей, живущих с ВИЧ, и техническую поддержку миссии ВОЗ. Проведение лагеря перенесено на 2022 г. в связи с напряженной эпидемиологической обстановкой в ​​2021 г. В 2021 г. Минздрав запросил миссию ВОЗ, подготовительные работы начнутся в 2022 г.</t>
  </si>
  <si>
    <t>Консультации и психосоциальная поддержка</t>
  </si>
  <si>
    <t>Остаток бюджета в размере  74 518$ относится к экономии средств по компоненту ВИЧ в рамках основных средств гранта в рамках деятельности по выплатам по результатам работы персоналу НПО за участие в АРТ и удержание в связи с низкими идентификационными номерами в вовлечении в АРТ и удержании в лечении, а также затрат на персонал для НПО, реализующих профилактические программы, основанные на реальных потребностях СП, отобранных в ходе тендера.</t>
  </si>
  <si>
    <t>Тестирование в учреждениях</t>
  </si>
  <si>
    <t>Остаток бюджета в размере  30 703$ включает:
а. Финансовые обязательства в размере 1 960 долларов США по основным средствам гранта, которые относятся к расходам на управление закупками, которые будут предоставлены в 2022 году. Объем освоения с учетом обязательств составит 14%.
б. Оставшаяся сумма представляет собой экономию средств основного гранта и относится к закупке тестов ИФА на ВИЧ, так как закупка была отменена из-за достаточного запаса в стране.</t>
  </si>
  <si>
    <t>Тестирование в сообществах</t>
  </si>
  <si>
    <t>Остаток бюджета в размере  89 266$ включает:
Финансовые обязательства в размере 150 167 долларов США в рамках основного гранта, которые связаны с приобретением термоэлектрического холодильника, тестов OraQuick Rapid HIV 1/2 Antibody и связанных с этим расходов на PSM. Уровень освоения с учетом сумм обязательств составит 137% из-за предварительной закупки тестов, заложенных в бюджете на 2022 год.</t>
  </si>
  <si>
    <t>Мобилизация сообщества и адвокация (ВИЧ / ТБ)</t>
  </si>
  <si>
    <t>Остаток бюджета в размере  58 034$ включает:
а. Финансовые обязательства в размере 3 576 долларов США по основному гранту, которые относятся к транспортным расходам, которые будут предоставлены в 2022 году.  Объем освоения с учетом обязательств составит 66%.
б. Оставшаяся сумма представляет собой экономию по основным грантовым фондам в рамках компонентов ВИЧ и MF, в основном связанные с затратами на персонал Сетей, исходя из фактических потребностей СП, отобранных в процессе тендера; и связанных с некоторыми мероприятиями, такими как Региональный форум НПО, форум ЛЖВ,МСМ, ЛУИН, СР, которые не проводились из-за напряженной эпидемиологической ситуации в 2021 году.</t>
  </si>
  <si>
    <t>Снижение стигмы и дискриминации (ВИЧ / ТБ)</t>
  </si>
  <si>
    <t>Перерасход в размере 59 002$ связан с перерасходом средств по мероприятиям, связанным с оказанием технической помощи и проведением различных совещаний, тренингов, в результате фактических затрат СП, отобранных по результатам тендера, подрядных организаций по результатам тендеров на оказание консультационных услуг и разработку нормативных документов. Одним из основных драйверов роста расходов стали ограничения на размещение в отелях и пользование общественным транспортом из-за напряженной эпидемиологической ситуации в 2021 году с COVID. В результате возникла необходимость разместить одного человека в одном номере и ограничить предоставление трансферов на несколько человек в пределах одного транспортного средства. Кроме того, фактическая стоимость гонораров экспертов и арендная плата за конференц-зал, оказалась выше предусмотренной в бюджете.</t>
  </si>
  <si>
    <t>Юридические услуги по ВИЧ и ВИЧ/ТБ</t>
  </si>
  <si>
    <t>Отрицательное отклонение в размере 24 001$ связано с перерасходом средств по деятельности по оказанию юридических услуг уличными юристами НПО и оказанию ими технической помощи в судебных процессах, исходя из возросшего количества прецедентов и фактической потребности клиентов в адвокатских услугах. Таким образом, было принято программное решение увеличить количество юристов и увеличить количество рабочих дней, чем было заложено в бюджете, так как была необходимость в полном присутствии юристов в течение каждого месяца, в то время как в бюджет гранта было заложено всего 12 рабочих дней в год.</t>
  </si>
  <si>
    <t>Системы менеджмента качества и аккредитация</t>
  </si>
  <si>
    <t>Остаток бюджета в размере  109 211$ включает:
а. Финансовые обязательства в размере 7 772 $ в рамках основного гранта, которые относятся к вознаграждению Эксперта по ВОК диагностических лабораторий и нелабораторных испытательных центров, затратам на переводы и трансфертным расходам, которые будут предоставлены в 2022 году.  Объем освоения с учетом обязательств составит 23%.
б. Экономия в размере 11 639 долларов США по основным средствам гранта, которая в основном относится к закупке лабораторных тестов для внешнего контроля качества HP, поскольку фактический объем производства был меньше запланированного.
в. Неиспользованный бюджет в размере 3 780$ в рамках основных средств гранта, которые относятся к деятельности по внешней оценке качества лабораторий в связи с тем, что в течение 1-го семестра 2021 года НРЛ занималась диагностикой COVID19, таким образом, не было возможности реализовать данную деятельность (разработать ТЗ и провести эту оценку физически)
д. Оставшаяся сумма в размере 86 019 долларов США предназначена для перенесенных мероприятий на 2022 год в рамках основных фондов гранта, а именно:
   - Участие в Международной ВОК и оплата аккредитации, так как в 2021 году ВОК проведены за счет средств ВОЗ. В 2022 году данная деятельность будет осуществляться за счет грантовых средств;
  - тренинги для специалистов лабораторий по мере их проведения в 2022 г. по мере разработки программ обучения внедрению QMS на основе рекомендаций ВОЗ;
  - Разработка и утверждение программ обучения внедрению QMS на основе рекомендаций ВОЗ, т.к. специалисты, привлекаемые к разработке учебного модуля, занимались тестированием на COVID19,</t>
  </si>
  <si>
    <t>Регулярная отчетность</t>
  </si>
  <si>
    <t>Положительное отклонение в размере 53 229 долларов США в основном связано с неиспользованным бюджетом по основным фондам гранта, которые относятся к перенесенным мероприятиям на 2022 год:
  - закупка компьютеров для Расширения электронной системы отслеживания ВИЧ в ПМСП, так как будет осуществляться после проведения анализа наличия оборудования в пунктах оказания услуг ЛЖВ на уровне ПМСП (оценка потребностей), а также параллельно с разработкой онлайн-базы данных для лучшего понимания параметров закупаемого оборудования
  - проведение IBBB, так исследование начнется в 1 квартале 2022 г., таким образом, средства на экспертное сопровождение перенесены на 2022 г.</t>
  </si>
  <si>
    <t>Управление грантом</t>
  </si>
  <si>
    <t>Остаток бюджета в размере  187 295$ включает:
а. Финансовые обязательства в размере 206 041 $ по основному гранту и средствам C19RM, которые в основном относятся к неиспользованной сумме GMS в размере 7% от общей суммы финансовых обязательств по состоянию на 31 декабря 2021 года. Эта сумма GMS будет взиматься после выполнения платежей по обязательствам. Объем освоения с учетом обязательств  составит 101%.
б. Неиспользованный бюджет в размере 59 071$ в рамках основных средств гранта, которые относятся к расходам МЗ СР на управление ОРП. В 2020 году этот вопрос дважды обсуждался на заседании СКК, где замминистра направил сообщение о том, что Минздрав на тот момент не был готов начать обсуждение. В 2021 году из-за масштабных мероприятий по борьбе с COVID ни Минздрав, ни ПРООН не поднимали этот вопрос. Вопрос о переходе, вероятно, будет обсуждаться в этом году на заседаниях СКК.</t>
  </si>
  <si>
    <t>Всего:</t>
  </si>
  <si>
    <t>F3: Выплаты и расходы</t>
  </si>
  <si>
    <t>До отчетного периода</t>
  </si>
  <si>
    <t>Текущий отчетный период</t>
  </si>
  <si>
    <t>Выплачено Глобальным фондом</t>
  </si>
  <si>
    <t>Расходы и платежи ОР</t>
  </si>
  <si>
    <t>Выплачено субреципиентам</t>
  </si>
  <si>
    <t>Расходы субреципиентов</t>
  </si>
  <si>
    <t>F4: Последний отчетный и платежный цикл ОР</t>
  </si>
  <si>
    <t>Последняя выплата средств: количество календарных дней</t>
  </si>
  <si>
    <t>Расчетные (дни)</t>
  </si>
  <si>
    <t>Фактические (дни)</t>
  </si>
  <si>
    <t xml:space="preserve">Сколько дней понадобилось для подачи ИОР/ЗПС в офис МАФ </t>
  </si>
  <si>
    <t xml:space="preserve">Спустя сколько дней ОР получил платеж </t>
  </si>
  <si>
    <t>н/п</t>
  </si>
  <si>
    <t>Спустя сколько дней суб-реципиенты получили платежи</t>
  </si>
  <si>
    <t>Информация об управлении:</t>
  </si>
  <si>
    <t>Введите данные об управлении в каждую ячейку голубого цвета.</t>
  </si>
  <si>
    <t>M1: Статус Предварительных условий (ПУ) и Действий с установленным сроком исполнения (ДУС)</t>
  </si>
  <si>
    <t>Выполненные</t>
  </si>
  <si>
    <t>Невыполненные, но непросроченные</t>
  </si>
  <si>
    <t>Невыполненные и просроченные</t>
  </si>
  <si>
    <t>Всего</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</si>
  <si>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</si>
  <si>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</si>
  <si>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</si>
  <si>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</si>
  <si>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M2: Статус ключевых руководящих должностей в структуре ОР</t>
  </si>
  <si>
    <t>Отдел управления проектом</t>
  </si>
  <si>
    <t>Запланировано</t>
  </si>
  <si>
    <t>Заполнено</t>
  </si>
  <si>
    <t>Вакантно</t>
  </si>
  <si>
    <t>ВИЧ/СПИД</t>
  </si>
  <si>
    <t>ТБ</t>
  </si>
  <si>
    <t>Общее (оба компонента)</t>
  </si>
  <si>
    <t xml:space="preserve">M3: Контрактные соглашения (СР) </t>
  </si>
  <si>
    <t>Определеные</t>
  </si>
  <si>
    <t>Прошедшие оценку</t>
  </si>
  <si>
    <t>Одобренные</t>
  </si>
  <si>
    <t>Подписавшие соглашение</t>
  </si>
  <si>
    <t>Получающие финансирование</t>
  </si>
  <si>
    <t>СР ВИЧ/СПИД</t>
  </si>
  <si>
    <t>СР ТБ</t>
  </si>
  <si>
    <t>M4: Количество полных отчетов, полученных к установленному сроку</t>
  </si>
  <si>
    <t>Ожидаемое кол-во</t>
  </si>
  <si>
    <t>Полученное кол-во</t>
  </si>
  <si>
    <t>Незавершенные</t>
  </si>
  <si>
    <t>Отчеты ССР для СР ВИЧ/СПИД</t>
  </si>
  <si>
    <t>Отчеты СР для ОР ВИЧ СПИД</t>
  </si>
  <si>
    <t>Отчеты ССР для СР ТБ</t>
  </si>
  <si>
    <t>Отчеты СР для ОР ТБ</t>
  </si>
  <si>
    <t>M5: Бюджет и закупки товаров медицинского назначения, медицинского оборудования,  лекарственных средств и фармацевтических препаратов</t>
  </si>
  <si>
    <t>Утвержденный бюджет*</t>
  </si>
  <si>
    <t>Финансовые обязательства</t>
  </si>
  <si>
    <t>Расходы</t>
  </si>
  <si>
    <t>Совокупный утвердженный бюджет*</t>
  </si>
  <si>
    <t>Общий объем финансовых обязательств</t>
  </si>
  <si>
    <t>Общий объем расходов</t>
  </si>
  <si>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</si>
  <si>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M6: Разница между текущим и резервным запасами</t>
  </si>
  <si>
    <t>Компонент</t>
  </si>
  <si>
    <t>Продукция</t>
  </si>
  <si>
    <t>(1)
Кол-во таблеток на 1 пациента в день
(см. Национальный протокол по лечению)</t>
  </si>
  <si>
    <t>(2 = 1 x 30)
Месячный курс лечения 
(кол-во таблеток на 1 пациента на 30 дней)</t>
  </si>
  <si>
    <t>(3)
Общее кол-во пациентов, получающих лечение</t>
  </si>
  <si>
    <t>(4 = 2 x 3)
Общее кол-во таблеток, необходимое для всех пациентов на 1месяц</t>
  </si>
  <si>
    <t>(5)
Текущие запасы на центральном складе (с действительным сроком годности на ближайшие 3 месяца)</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</si>
  <si>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</si>
  <si>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</si>
  <si>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</si>
  <si>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РЦ СПИД\НЦФ</t>
  </si>
  <si>
    <t>FDC (AZT+3TC) 300/150 mg</t>
  </si>
  <si>
    <t>EFV 200</t>
  </si>
  <si>
    <t>LPV/r 200/50 mg</t>
  </si>
  <si>
    <t>NVP 200</t>
  </si>
  <si>
    <t>FDC (TDF/FTC) 300/200 mg</t>
  </si>
  <si>
    <t>FDC  (TDF/FTC/EFV) 300/200/600 mg</t>
  </si>
  <si>
    <t>FDC (ABC/3TC) 600/300 mg</t>
  </si>
  <si>
    <t>FDC (ABC/3TC) 60/30 mg</t>
  </si>
  <si>
    <t>LPV/r_сироп_80</t>
  </si>
  <si>
    <t>LPV/r 40/10 mg</t>
  </si>
  <si>
    <t>FDC (AZT+3TC) 60/30</t>
  </si>
  <si>
    <t>DTG 50 mg</t>
  </si>
  <si>
    <t>DRV 600mg</t>
  </si>
  <si>
    <t>FDC (TDF/FTC/DTG) 300/200/50 mg</t>
  </si>
  <si>
    <t>ATV/r 300mg</t>
  </si>
  <si>
    <t>Ral 100mg (жеват табл)</t>
  </si>
  <si>
    <t>Ral 100mg (пакетики)</t>
  </si>
  <si>
    <t>Capreomycin  1000mg  Порошок для инъекций</t>
  </si>
  <si>
    <t>Kanamycin  1000mg  Порошок для инъекций</t>
  </si>
  <si>
    <t>Amikacin 500 mg/2 ml инъекции</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</si>
  <si>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</si>
  <si>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</si>
  <si>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</si>
  <si>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</si>
  <si>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</si>
  <si>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</si>
  <si>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</si>
  <si>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</si>
  <si>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Pretomanid 200 mg Таблетки</t>
  </si>
  <si>
    <t>Pyrazinamide  400mg  Таблетки без оболочки</t>
  </si>
  <si>
    <t>Клофаземин 100 мг</t>
  </si>
  <si>
    <t>Имипенем500/Циластатин 500</t>
  </si>
  <si>
    <t>Линезолид 600 мг</t>
  </si>
  <si>
    <t>Бедаквилин 100 мг</t>
  </si>
  <si>
    <t>Деламанид 50 мг</t>
  </si>
  <si>
    <t>Информация о программе: ВИЧ/СПИД</t>
  </si>
  <si>
    <t xml:space="preserve">     Введите данные о реализации программы в каждую ячейку желтого цвета.</t>
  </si>
  <si>
    <t>Программные показатели (Система оценки результатов реализации)</t>
  </si>
  <si>
    <t>Код</t>
  </si>
  <si>
    <t>Связаны напрямую?</t>
  </si>
  <si>
    <t>KP-1d⁽ᴹ⁾ Процент ЛУИН, охваченных программами по профилактике ВИЧ - минимальный пакет услуг</t>
  </si>
  <si>
    <t>Топ 10</t>
  </si>
  <si>
    <t>с текущим грантом</t>
  </si>
  <si>
    <t>Целевой показатель</t>
  </si>
  <si>
    <t>Достигнуто </t>
  </si>
  <si>
    <t>HTS-5 Процент людей с впервые выявленным ВИЧ, начавших АРТ</t>
  </si>
  <si>
    <t>TCS-1.1⁽ᴹ⁾ Процент людей, получающих АРТ, среди всех людей, живущих с ВИЧ, на конец отчетного периода</t>
  </si>
  <si>
    <t>KP-5 Процент ЛУИН, получающих ОЗТ, которые находятся на лечении не менее 6 месяцев после начала лечения</t>
  </si>
  <si>
    <t>HTS-3f⁽ᴹ⁾ Количество людей в тюрьмах или других закрытых учреждениях, которые прошли тест на ВИЧ в течение отчетного периода и знают свои результаты</t>
  </si>
  <si>
    <t>KP-1c⁽ᴹ⁾ Процент СР, охваченных программами по профилактике ВИЧ - минимальный пакет услуг</t>
  </si>
  <si>
    <t>KP-1a⁽ᴹ⁾ Процент МСМ, охваченных программами по профилактике ВИЧ - минимальный пакет услуг</t>
  </si>
  <si>
    <t xml:space="preserve"> Топ 10</t>
  </si>
  <si>
    <t>74,44%</t>
  </si>
  <si>
    <t>HTS-3d⁽ᴹ⁾ Процент ЛУИН, протестированных на ВИЧ за отчетный период и знающих свой результат</t>
  </si>
  <si>
    <t>55,04%</t>
  </si>
  <si>
    <t>56,28%</t>
  </si>
  <si>
    <t>HTS-3c⁽ᴹ⁾ Процент СР, протестированных на ВИЧ за отчетный период и знающих свой результат</t>
  </si>
  <si>
    <t>60,00%</t>
  </si>
  <si>
    <t>45,40%</t>
  </si>
  <si>
    <t>HTS-3a⁽ᴹ⁾ Процент МСМ, протестированных на ВИЧ за отчетный период и знающих свой результат</t>
  </si>
  <si>
    <t>53,25%</t>
  </si>
  <si>
    <t>KP-6a Процент МСМ, подходящих по критериям для начала доконтактной профилактики (ДКП), которые начали антиретровирусную ДКП в течение отчетного периода</t>
  </si>
  <si>
    <t xml:space="preserve"> с текущим грантом</t>
  </si>
  <si>
    <t>22,00%</t>
  </si>
  <si>
    <t>TB/HIV-6⁽ᴹ⁾ Процент ВИЧ-позитивных пациентов с новым и/или рецидивным туберкулезом, получающих АРТ во время лечения туберкулеза</t>
  </si>
  <si>
    <t>94,00%</t>
  </si>
  <si>
    <t>95,21%</t>
  </si>
  <si>
    <t>Таблица обновляется автоматически. Данные в эти ячейки не вводятся</t>
  </si>
  <si>
    <t>Информация о программе: ТБ</t>
  </si>
  <si>
    <t>Р1</t>
  </si>
  <si>
    <t>Р2</t>
  </si>
  <si>
    <t>MDR TB-6: Процент ТБ пациентов с результатом ТЛЧ как минимум к рифампицину среди общего количества зарегистрированных (новых и ранее леченных) случаев том же году.</t>
  </si>
  <si>
    <t>да</t>
  </si>
  <si>
    <t>Достигнуто</t>
  </si>
  <si>
    <t xml:space="preserve">MDR TB-2: Количество бактериологически подтвержденных зарегистрированных ЛУ-ТБ случаев (РУ-ТБ и/или МЛУ-ТБ)		</t>
  </si>
  <si>
    <t>MDR TB-3: Количество случаев с РУ/МЛУ ТБ, начавших лечение препаратами второго ряда</t>
  </si>
  <si>
    <t>MDR TB-7: Процент подтвержденных МЛУ-ТБ случаев, протестированных на чувствительность к фторхинолонам и инъекционным препаратам второго ряда</t>
  </si>
  <si>
    <t xml:space="preserve">WPTM_1: Реализация плана по расширению лечения на амбулаторном уровне: К концу 2023 года 23% больных с туберкулезом получают лечение исключительно на амбулаторном уровне		</t>
  </si>
  <si>
    <t>WPTM</t>
  </si>
  <si>
    <t>WPTM_2: Улучшение доступа к быстрой и высококачественной диагностике ТБ в южном регионе через строительство новой модульной лаборатории третьего уровня биологической безопасности расположенной на территории ООЦБТ.  Цель на 2021 год: Отобрана и законтрактирована строительная фирма для строительства модульной лаборатории</t>
  </si>
  <si>
    <t>завершено</t>
  </si>
  <si>
    <t xml:space="preserve">Достигнуто </t>
  </si>
  <si>
    <t>начато</t>
  </si>
  <si>
    <t>Финансирование</t>
  </si>
  <si>
    <t>Наименование:</t>
  </si>
  <si>
    <t>Определение</t>
  </si>
  <si>
    <t>Измерение</t>
  </si>
  <si>
    <t>Источник данных</t>
  </si>
  <si>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</si>
  <si>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</si>
  <si>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Банковская или бухгалтерская информация ОР; уведомления ГФ о выплате средств; ОПР/ЗПС; веб-сайт ГФ.</t>
  </si>
  <si>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</si>
  <si>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</si>
  <si>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</si>
  <si>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</si>
  <si>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rPr>
        <sz val="11"/>
        <rFont val="Arial"/>
        <family val="2"/>
      </rPr>
      <t>ОПР/ЗПС</t>
    </r>
    <r>
      <rPr>
        <sz val="11"/>
        <color indexed="8"/>
        <rFont val="Arial"/>
        <family val="2"/>
      </rPr>
      <t>; данные ОР; отчеты СР  основному реципиенту.</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</si>
  <si>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</si>
  <si>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</si>
  <si>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</si>
  <si>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Управление</t>
  </si>
  <si>
    <t>Источники Данных</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</si>
  <si>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</si>
  <si>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</si>
  <si>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</si>
  <si>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</si>
  <si>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t>Количество в текущем отчетном периоде.</t>
  </si>
  <si>
    <t xml:space="preserve">Документация ОР. </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</si>
  <si>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</si>
  <si>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</si>
  <si>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Документация ОР; соглашения с субреципиентами/ меморандум о взаимопонимании (МоВ); документация СКК.</t>
  </si>
  <si>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</si>
  <si>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Количество  полученных отчетов. Эта цифра отражает только отчетный период; она не является совокупной.</t>
  </si>
  <si>
    <t>Документация ОР и СР.</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</si>
  <si>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</si>
  <si>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Валюта финансирования гранта (долл. США или евро).</t>
  </si>
  <si>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</si>
  <si>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</si>
  <si>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</si>
  <si>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Количество месяцев.</t>
  </si>
  <si>
    <t>Документация ОР: складские данные</t>
  </si>
  <si>
    <t>Показатель по ВИЧ /СПИД</t>
  </si>
  <si>
    <t>Определение (на основании Плана мониторинга и оценки)</t>
  </si>
  <si>
    <t>Индикатор  отражает процент ЛУИН из оценочного числа, которые хотя бы один раз в течении отчетного периода получили минимальный пакет услуг (шприцы, иглы, салфетки), презервативы и информационный материал (в виде информационных брошюр или информационных сессий).</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</si>
  <si>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ЛУИН за отчетный период, включая заключенных ЛУИН; знаменатель: оценочное количество ЛУИН за 2013 г. </t>
  </si>
  <si>
    <t>Отчетная документация организаций - СР (ежеквартально), БД МИС.</t>
  </si>
  <si>
    <t>Индикатор отражает процент  лиц с известным статусом на конец отчетного периода получающие АРТ в соответствии с утвержденным национальным протоколом лечения из оценочного числа ЛЖВ. </t>
  </si>
  <si>
    <t>Индикатор не кумулятивный, состоит из двух частей. Числитель: Число людей, находящихся на АРТ на конец отчетного периода, знаменатель: оценочное число ЛЖВ по Спектруму. </t>
  </si>
  <si>
    <t>Данные РЦ СПИД, ЭС.</t>
  </si>
  <si>
    <t xml:space="preserve">Индикатор отражает процент  лиц, получающих АРТ на конец отчетного периода из оценочного количества ЛЖВ. </t>
  </si>
  <si>
    <t>Числитель: Число ЛЖВ, получающих АРТ на конец отчетного периода.
Знаменатель: Оценочное число ЛЖВ.
Данные необходимо направлять в разбивке по полу, возрасту, указывать продолжительность лечения и принадлежность к ключевой группе.</t>
  </si>
  <si>
    <t>Индикатор отражает приверженность/удержание на опиоидной заместительной терапии и охватывает гражданский и пенитенциарный системы (по стране). </t>
  </si>
  <si>
    <t xml:space="preserve">Не куммулятивный. Числитель: количество  ЛУИН (новых), начавших лечение в период, предшествующий отчетному, включая тех, которые умерли после начала лечения, которые прекратили лечение, и тех, за кем был утрачен контроль через 6 месяцев, а также по числу ЛУИН продолжающих непрерывный курс ПТМ лечения спустя 6 месяцев после его начала, по стране включая ГСИН, знаменатель: количество ЛУИН, которые  были вовлечены в программу ОЗТ за период, предшествующий отчетному.		</t>
  </si>
  <si>
    <t>Данные РЦН, ЭРЗПТ</t>
  </si>
  <si>
    <t>Процент заключенных,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</si>
  <si>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</si>
  <si>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СР, которые получили хотя бы один раз минимальный пакет услуг в течение отчетного периода из оценочного числа СР.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</si>
  <si>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СР за отчетный период; знаменатель: оценочное количество СР за 2013 г. 		</t>
  </si>
  <si>
    <t>Процент МСМ, которые получили хотя бы один раз минимальный пакет услуг в течение отчетного периода из оценочного числа МСМ.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</si>
  <si>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МСМ за отчетный период; знаменатель: оценочное количество МСМ за 2016 г. 		</t>
  </si>
  <si>
    <t>Отчетная документация организаций - СР (ежеквартально), БД МИС</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</si>
  <si>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</si>
  <si>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ЛУИН за 2013 г. </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</si>
  <si>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</si>
  <si>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</si>
  <si>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</si>
  <si>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МСМ, прошедших тестирование и знающих свои результаты за отчетный период; знаменатель: оценочное количество МСМ за 2016 г. </t>
  </si>
  <si>
    <t>Процент МСМ, начавших ДКП в течении отчетного периода из числа запланированных (150 МСМ будут получать ДКП ежегодно).</t>
  </si>
  <si>
    <t xml:space="preserve">Не куммулятивный: Числитель: Количество отвечающих критериям МСМ, которые начали ДКП* в течение отчетного периода. 
*К людям, которые начали ДКП, относятся те, кто начал ДКП впервые, и те, кто, возможно, прекратил ДКП и возобновил ДКП в отчетный период. 
Критериями для начала ДКП будет: ВИЧ-отрицательный статус, отсутствие признаков и симптомов острой ВИЧ-инфекции, а также наличие у МСМ высокого риска заразиться ВИЧ и возможная польза от ДКП. Все дополнительные критерии будут зависеть от контекста и будут основываться на критериях, описанных в национальном клиническом протоколе. </t>
  </si>
  <si>
    <t xml:space="preserve">TB/HIV-6⁽ᴹ⁾ Процент ВИЧ-позитивных пациентов с новым и/или рецидивным туберкулезом, получающих АРТ во время лечения туберкулеза </t>
  </si>
  <si>
    <t xml:space="preserve">Процент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t>
  </si>
  <si>
    <t>Не куммулятивный: Числитель: количество ЛЖВ с впервые выявленным ТБ или с рецидивом ТБ , которые начали противотуберкулезное лечение при этом уже получают АРТ, или среди тех кто начал АРТ во время лечения туберкулеза, в течение отчетного периода.</t>
  </si>
  <si>
    <t>Данные РЦ СПИД, программа ЭС.</t>
  </si>
  <si>
    <t>Показатель по ТБ</t>
  </si>
  <si>
    <t>Знаменатель: Фактическое число ЛЖВ с впервые или повторно выявленным ТБ, зарегистрированных за отчетный период.</t>
  </si>
  <si>
    <t xml:space="preserve">Числитель: Кол-во ТБ пациентов, зарегистрированных в отчетный период, имеющих ТЛЧ результат. Охват методами ТЛЧ включает как быстрые молекулярные тесты (Xpert  MBT Rif), так и стандартные культуральные тесты. Знаменатель: Общее количество зарегистрированных ТБ случаев в этом же году; знаменатель включает все бактериологически подтвержденные новые и ранее леченые ТБ случаи. </t>
  </si>
  <si>
    <t>Данные в разбивке по возрасту и полу указать в примечаниях</t>
  </si>
  <si>
    <t>Отчетный инструмент  относится к форме ТБ 06, табл. 1. </t>
  </si>
  <si>
    <t>MDR TB-2: Количество бактериологически подтвержденных зарегистрированных ЛУ-ТБ случаев (РУ-ТБ и/или МЛУ-ТБ)</t>
  </si>
  <si>
    <t xml:space="preserve">Кыргызстан сфокусирован на достижении целей ООН; исходя из ресурсов и возможностей национальной противотуберкулезной программы ожидается, что охват составит 80% от целей ООН.  Абсолютное количество бактериологически подтвержденных случаев ЛУ РУ ТБ и/или МЛУ/ШЛУ (включая ШЛУ), зарегистрированных за отчетный период.                                      
</t>
  </si>
  <si>
    <t>Измеряется в абсолютных числах  на основании ежеквартальных статистических данных РЦИиЭ НЦФ.</t>
  </si>
  <si>
    <t>Отчетный инструмент  относится к форме ТБ 06 У, табл. 1. </t>
  </si>
  <si>
    <t>MDR TB-3: Количество случаев с РУ/МЛУ ТБ, начавших лечение препаратами второго ряда</t>
  </si>
  <si>
    <t xml:space="preserve">Кыргызстан сфокусирован на достижении целей ООН; исходя из ресурсов и возможностей национальной противотуберкулезной программы ожидается, что охват составит 80% от целей ООН. Индикатор включает абсолютное число всех лабораторно-подтвержденных и предполагаемых (клинических) случаев РУ/МЛУ/ШЛУ ТБ, взятых на лечение препаратами второго ряда в отчетный период. Основываясь на историческом разрыве между числом выявленных ТБ случаев и числом случаев, взятых на лечение, ожидается, что в первый год будет охвачено 95% от всех зарегистрированных случаев ТБ. </t>
  </si>
  <si>
    <t>База данных МЛУ-ТБ НЦФ РЦИиЭ</t>
  </si>
  <si>
    <t>Измеряется количество подтвержденных РУ/МЛУ ТБ случаев, протестированных на устойчивость к  препаратам второго ряда в отчетный период любым методом (Хайн-тест 2го ряда или фенотипический ТЛЧ). </t>
  </si>
  <si>
    <t>Числитель: Количество подтвержденных РУ/МЛУ ТБ случаев протестированных на устойчивость к препаратам второго ряда в отчетный период. Знаменатель: Общее количество подтвержденных случаев РУ/МЛУ, зарегистрированных в отчетный период. </t>
  </si>
  <si>
    <t>Отчетный инструмент  относится к форме ТБ 06, табл. 3а и 3б. </t>
  </si>
  <si>
    <t>WPTM_1: Реализация плана по расширению лечения на амбулаторном уровне: К концу 2023 года 23% больных с туберкулезом получают лечение исключительно на амбулаторном уровне</t>
  </si>
  <si>
    <t xml:space="preserve">"Начато"- План по расширению лечения на амбулаторном уровне в КР на период 2021-2023 года одобрен МЗ КР; "В процессе" - Создана рабочая группа по реализацию Плана; "Завершено" - 23% больных с туберкулезом получают лечение исключительно на амбулаторном уровне. </t>
  </si>
  <si>
    <t xml:space="preserve">Числитель: количество всех ТБ случаев (бактериологически подтвержденных и клинически диагностированных), новых и ранее леченых, получавших лечение на амбулаторном уровне (период их госпитализации составил менее 30 дней) в отчетный период  Знаменатель: Общее количество всех ТБ случаев (бактериологически подтвержденных и клинически диагностированных), новых и ранее леченых, зарегистрированных и начавших лечение в течение отчетного периода. </t>
  </si>
  <si>
    <t>Программные документы, Отчетный инструмент  относится к форме ТБ 06, табл. 1. </t>
  </si>
  <si>
    <t xml:space="preserve">"Не начато" - Окончательное решение по юной лаборатории еще не принято; "Начато" - Тендер на строительную компанию запущен; "в процессе" - строительная компания отобрана, "Завершено" - подписан контракт со строительной компанией.  </t>
  </si>
  <si>
    <t>Проектные документы</t>
  </si>
  <si>
    <t>Номер показателя: название (№ в Системе оценки результатов реализации)</t>
  </si>
  <si>
    <t>Показатели должны быть выбраны ОР и членами СКК или Техническим комитетом СКК, см. Систему оценки результатов реализации</t>
  </si>
  <si>
    <t>Система оценки результатов реализации</t>
  </si>
  <si>
    <t>Грант №:</t>
  </si>
  <si>
    <t>Дата начала:</t>
  </si>
  <si>
    <t>Общ. финансирование:</t>
  </si>
  <si>
    <t>Отчетный период:</t>
  </si>
  <si>
    <t>дo:</t>
  </si>
  <si>
    <t>Последняя оценка</t>
  </si>
  <si>
    <t>Портфолио Менеджер  Фонда:</t>
  </si>
  <si>
    <t>Кем подготовлен:</t>
  </si>
  <si>
    <t>Дата подготовки отчета:</t>
  </si>
  <si>
    <t>Финансовые показатели</t>
  </si>
  <si>
    <t>Комментарии:</t>
  </si>
  <si>
    <t xml:space="preserve">ГФ в отчетном периоде произвел выплату двумя траншами на общую сумму 18 761 018$.  Данная сумма включает в себя выплату на буферный период январь-июнь 2022 г в размере бюджета 8 029 062$. Итого, ГФ выплатил 55% от кумулятивного бюджета </t>
  </si>
  <si>
    <t xml:space="preserve">В отчетном периоде ГФ произвел выплату согласно утвержденного годового графика выплат.
Расходы ОП составили 3 823 162$. При этом имеются финансовые обязательства, в основном, по закупкам товаров медицинского назначения и медицинского оборудования, лекарственных средств и фармацевтических препаратов, GMS  на 31 декабря 2021 в 2 946 982$. Итого за текущий период с учетом обязательств освоено 80% выделенных средств на ОП. В текущем периоде ПРООН произвел выплаты 24 СП на общую сумму в 1 971 063$ по запросу от СП в рамках 38 подписанных Соглашений и бюджетов. </t>
  </si>
  <si>
    <t xml:space="preserve">Расходы  связаны с обеспечением всех направлений деятельности программы по задачам. За отчетный период было израсходовано  53% выделенного бюджета согласно фактическим потребностям. При этом на конец отчетного периода имеются финансовые обязательства на 2 946 982$, с учетом которых освоение будет 80%. </t>
  </si>
  <si>
    <t>В отчетном периоде, в виду изменений в отчетности в ГФ, а также внедрения сдачи отчета через Портал ГФ, дата предоставления отчета была установлена 26 апреля 2022г. ОП предоставил отчет в ГФ в установленные сроки, 26 апреля 2022 г.</t>
  </si>
  <si>
    <t>Совокупный бюджет</t>
  </si>
  <si>
    <t>Совокупные расходы</t>
  </si>
  <si>
    <t>Показатели по управлению</t>
  </si>
  <si>
    <t xml:space="preserve">По обоим компонентам предварительных условий (ПУ) нет </t>
  </si>
  <si>
    <t xml:space="preserve">По ВИЧ\ТБ  гранту всего 24  штатные позиции, из них 5 - по компоненту ВИЧ,  2 - по компоненту ТБ.,  оставшиеся  17   относятся к обоим компонентам,  23 штатные позиции было заполнено, 1 вакантно (Специалист по МиО ВИЧ) </t>
  </si>
  <si>
    <t xml:space="preserve">По компоненту ВИЧ -  реализацию программы осуществлял всего 21 Суб-получатель в рамках 32 СП-Соглашений, по всем Соглашениям СП получали финансирование. 
По компоненту ТБ -   реализацию программы осуществляло всего 5 Суб-получателей в рамках 5 СП-Соглашений, по всем Соглашениям СП получали финансирование. </t>
  </si>
  <si>
    <t>Комментарии по ВИЧ:</t>
  </si>
  <si>
    <t>По компоненту ВИЧ -  32 из 32 ожидаемых программных отчетов СП были получены своевременно,  они  были проверены, доработаны СП и приняты в установленные сроки.
По компоненту   ТБ - 5 из 5 ожидаемых программных отчетов СП были получены своевременно,  они  были проверены, доработаны СП и приняты в установленные сроки.</t>
  </si>
  <si>
    <t>Медикаменты и ИМН закуплены согласно потребности на 2020 год. В расчетах потребности учтены текущий запас, ожидаемые поставки и наличие бюджета</t>
  </si>
  <si>
    <t>Комментарии по ТБ:</t>
  </si>
  <si>
    <t xml:space="preserve">Запас  имеющихся  ПТП для лечения ЛУ-ТБ составляет от 9 до 48 месяцев. Большие запасы и запасы менее 12 месяцев относятся к препаратам группы "С" (по новой классификации ВОЗ), запас пиразинамида - 48 мес, данный препарат был закуплен до выхода новых рекомендаций ВОЗ об изменениях режимов лечения ЛУ-ТБ больных, в связи с чем его использование в индивидуальных режимах лечения ЛУ-ТБ снизилось, более того, прогнозируется еще большее снижение использования препартов группы "С" после  рекомендаций миссии GLC/ВОЗ проведенного в 2021 году.  Имеющийся запас препарата будет использован и ПРООН его не будет закупать, но поскольку невысокая необходимость в препаратах группы "С" будет оставаться, в дальнейшем  их закупка будет покрываться за счет гос.бюджета.  Во избежание возникновения ситуации истечения срока годности до полного использования препарата, пиразинамид будет использоваться для лечения чувствительного туберкулеза, так как входит в схему лечения чувствительного ТБ. Проблема потери протионамида, связанная с истечением срока годности до момента полного использования препарата все еще остается  и более того увеличивается количество к возможной потере, т.к. миссия  GLC, проходившая в 2021, категорически не рекомендовала его использование в схемах лечения согласно  рекомендациям ВОЗ ( очень низкая степень предполагаемого эффекта,  не включается в схемы лечения в сочетании с новыми ПТП (Bdq, Cfz, Lnz),  очень частые НЯ). Протионамид со сроком годности 31.10.2021 истек в количестве 3300 уп и есть риск истечения  со сроком годности. 31.07.2022 г, при текущем его расходе остается 8,5 месячный запас, что составляет 2100 уп.  Запас имеющегося имипенема составляет 9 месяцев, однако, вместе с ожидаемой поставкой составляет 25 месяцев, рисков перерыва в поставках нет, так как срок поставкив май 2022 года. Ситуация по запасам "новых" ПТП составляет 13-24 месяцев, за исключением претоманида, препарат поступил в конце июля 2021, набор пациентов на BPal режим начали с сентября,  расход препарата с каждым месяцем будет увеличиваться и запасы в месяцах будут меняться,  сроки годности соответствует срокам использования препаратов. Как говорилось ранее,  в период пандемии коронавирусной инфекции количество ЛУ ТБ больных, находящихся на лечении снизилось на 40-43%, соответсвенно, снизился  и расход ПТП, на основании проведенного анализа остатков были осуществлены изменения дат поставок некоторых ПТП. Запасы Genexpert картриджей составляют  при среднемесячном расходе 14 месяцев. ПАСК также относится к группе "С". Инъекционные препараты (капреомицин, канамицин, амикацин) выбыли из схем лечения. </t>
  </si>
  <si>
    <t>Запасы антиретровирусных препаратов (АРВП) и тестов отслеживаются, критических ситуаций с запасами не наблюдается. Принимая во внимание изменение клинического протокола на основании последних рекомендации ВОЗ, преобладают схемы на основе Долутегравира (DTG) (в основном на TLD), схемы же с монопрепаратами (отдельными) постепенно не будут использоваться. У препаратов с запасом свыше 10 месяцев срок годности приемлемый и они будут использован до истечения срока годности. АРВ препараты закупаются и за счет бюджетных средств (FDC (TLD), FDC (TDF/FTC) 300/200 mg, FDC (TDF/FTC/EFV, DRV). Согласно рекомендациям ВОЗ, страна постепенно использует имеющиеся запасы LPV/r (как для взрослых, так и для детей) и далее превалирующими схемами в особенности у детей будут схемы на основе DTG в детской дозировке и RAL. Взрослые пациенты постепенно с (ABC/3TC) будут переведены на (ABC/3TC/DTG). Необходимо принять во внимание что АРТ выдаётся стабильным пациентам на период от 3-6 мес. (то есть АРТ на руках у пациентов имеются). ЭТ поставлены в мае, прошли оценку диагностической эффективности экспресс тестов для диагностики ВИЧ по околодесневой жидкости «OraQuick» HlV ½.</t>
  </si>
  <si>
    <t>Лекарственные средства и продукты медицинского назначения</t>
  </si>
  <si>
    <t>Уровень запасов, выраженный в месяцах лечения для всех имеющихся пациентов</t>
  </si>
  <si>
    <t xml:space="preserve">Уровень резервных запасов в месяцах </t>
  </si>
  <si>
    <t>Разница между имеющимся и безопасным уровнем запасов</t>
  </si>
  <si>
    <t>ВИЧ</t>
  </si>
  <si>
    <t>ATV 300mg</t>
  </si>
  <si>
    <t>Метадон</t>
  </si>
  <si>
    <t>Картриджи (Вирусная нагрузка)</t>
  </si>
  <si>
    <t>Экспресс тестирование (по околодесновой жидкости)</t>
  </si>
  <si>
    <t>Genexpert картриджи</t>
  </si>
  <si>
    <t>Raiting</t>
  </si>
  <si>
    <t>Valor</t>
  </si>
  <si>
    <t>Программные показатели по ВИЧ/СПИД</t>
  </si>
  <si>
    <t>Комментрии:</t>
  </si>
  <si>
    <t xml:space="preserve">В  отчетном периоде 16 973 (ЛУИН), в том числе 2 186 женщин, 1 601 заключенных, 392 потребителя новых психоактивных веществ (клиенты пилотного проекта в Бишкеке и западной части Чуйской области) были охвачены минимальным пакетом услуг. 7 НПО и Республиканский наркологический центр осуществляют  мероприятия по всей стране и в пенитенциарной системе. Планировалось охватить минимальным пакетом услуг 70% от оценочного числа ЛУИН (25 000, последняя оценка 2013 года), достигнуто 68%, так процент достижения индикатора составил 98%. 					</t>
  </si>
  <si>
    <t>656 из 746 впервые выявленных ЛЖВ начали АРТ в отчетный период (из них 132 из ключевых групп населения). Все они начали АРВ-терапию в течение 30 дней после постановки диагноза. Целевой показатель составлял 90%, достигнуто 87,94%, так процент достижения составил 98%.</t>
  </si>
  <si>
    <t xml:space="preserve">На 31 декабря 2021 года получали АРВ терапию 4 994 ЛЖВ – 4 797 взрослых (женщин – 2213, мужчин – 2584) и 197 детей (женщин – 89, мужчин – 108). Последние доступные данные о знаменателе  составляют 9 200 по данным ЮНЭЙДС/SPECTRUM.Целевой показатель составлял 71,62%, выполнено 54,28%, так процент достижения составил 76%.                                                                                                                                                                                         				</t>
  </si>
  <si>
    <t>Показатели</t>
  </si>
  <si>
    <t>0% - 59%</t>
  </si>
  <si>
    <t>60% - 89%</t>
  </si>
  <si>
    <t>&gt; 90%</t>
  </si>
  <si>
    <t>Замечания</t>
  </si>
  <si>
    <t>min</t>
  </si>
  <si>
    <t>67,89%</t>
  </si>
  <si>
    <t>В  отчетном периоде 16 973 (ЛУИН), в том числе 2 186 женщин, 1 601 заключенных, 392 потребителя новых психоактивных веществ (клиенты пилотного проекта в Бишкеке и западной части Чуйской области) были охвачены минимальным пакетом услуг. 7 НПО и Республиканский наркологический центр осуществляют  мероприятия по всей стране и в пенитенциарной системе. 
Согласно отчетам организаций, распространено 2 918 103 шприца и 600 416 презервативов. В среднем на каждого ЛУИН было получено 170 шприцев и 35 презервативов.7 НПО и Республиканский наркологический центр осуществляют соответствующие мероприятия по всей стране и в пенитенциарной системе.</t>
  </si>
  <si>
    <t>max</t>
  </si>
  <si>
    <t>90,00%</t>
  </si>
  <si>
    <t>87,94%</t>
  </si>
  <si>
    <t>656 из 746 впервые выявленных ЛЖВ начали АРТ в отчетный период (из них 132 из ключевых групп населения). Все они начали АРВ-терапию в течение 30 дней после постановки диагноза.</t>
  </si>
  <si>
    <t>Rating</t>
  </si>
  <si>
    <t>71,62%</t>
  </si>
  <si>
    <t>54,28%</t>
  </si>
  <si>
    <t xml:space="preserve">На 31 декабря 2021 года получали АРВ-препараты 4 994 ЛЖВ – 4 797 взрослых (женщин – 2213, мужчин – 2584) и 197 детей (женщин – 89, мужчин – 108).   Проведен ряд мероприятий  для достижения данного показателя: (1) для обеспечения безопасного и непрерывного приема АРТ - выдача АРВ-препаратов на более длительный период  (3-6 месяцев), доставка АРВ-препаратов больным, поддержка в мультидисциплинарных и мобильных бригадах; (2) продолжена социальная поддержка ВИЧ-позитивных детей; (3) большинство пациентов перешли на новую терапию на основе DTG, согласно рекомендации ВОЗ; (4) поддержка 2-х центров ЛЖВ для обеспечения адаптации ЛЖВ к АРТ среди вновь подключенных к лечению и уходу. Цель достигнута на 76%. </t>
  </si>
  <si>
    <t>75,00%</t>
  </si>
  <si>
    <t xml:space="preserve">За период с 1 июля 2020 г. по 30 июня 2021 г. 154 ЛУИН вошли в программу ПТМ, из них 82 продолжают получать терапию через 6 мес после даты начала, что составляет 53,2%. 
</t>
  </si>
  <si>
    <t>70,63%</t>
  </si>
  <si>
    <t>70,41%</t>
  </si>
  <si>
    <t>4 422 заключенных (муж-4234/жен-188, 70,41% от общего числа заключенных) прошли тестирование на ВИЧ (ИФА и/или экспресс-тестирование по слюне) и знали свои результаты за отчетный период. Процент достижения индикатора составил 100%. Среди всех протестированных у 27 заключенных выявлена ВИЧ инфекция (0,6% от числа протестированных клиентов).</t>
  </si>
  <si>
    <t>70,39%</t>
  </si>
  <si>
    <t>62,78%</t>
  </si>
  <si>
    <t xml:space="preserve">В отчетном периоде 4 459 секс-работников были охвачены минимальным пакетом услуг, из них 35 СР идентифицировали себя как трансгендерные люди.
Согласно отчетам НПО было роздано 1 022 040 презервативов. В среднем каждое СР за отчетный период получила по 229 презерватива.
Пять НПО реализовали проекты среди СР по стране: г. Бишкек, Чуйская область, г. Ош, Ошская область, г. Жалал-Абад, Жалал-Абадская область, г. Нарын, Нарынская область, г. Талас и Таласская область, гг. Кызыл-Кия, Чолпон-Ата, Балыкчи, Каракол и Иссык-Кульская область.
</t>
  </si>
  <si>
    <t>73,96%</t>
  </si>
  <si>
    <t xml:space="preserve">В отчетном периоде 12 581 МСМ были охвачены минимальным пакетом услуг, из них 123 МСМ идентифицировали себя как трансгендерные люди.
Согласно отчетам СР, всего МСМ было роздано 335 397 презервативов, таким образом, каждый МСМ в среднем за отчетный период получил по 27 презервативов.
Три НПО проводят мероприятия среди МСМ в гг.Бишкек, Ош, Жалал-Абад, Талас, Иссык-Кульской, Ошской и Чуйской областях.
</t>
  </si>
  <si>
    <t>Количество ЛУИН, прошедших тестирование на ВИЧ и знающих свой результат, составляет 14 070 ЛУИН (83% от клиентов получили МПС), целевой показатель достигнут на 102%.  Все протестированнные ЛУИН (100%) прошли тестирование методом экспресс-тестирования,  выявлено 3  ЛУИН с предварительным положительным результатом экспресс-тестирования на ВИЧ (что составляет 0,02% от случая ВИЧ-инфекции), предварительные результаты были подтверждены в центрах СПИД.</t>
  </si>
  <si>
    <t xml:space="preserve">В отчетном периоде 3 225 секс-работников прошли тестирование на ВИЧ, что составило 45,40% от оценочного числа СР. 
Все протестированные СР прошли тестиролвание методом экспресс-тестирования. Индикатор достигнут на 76%. 
</t>
  </si>
  <si>
    <t>В отчетном периоде 8 999 МСМ прошли тестирование на ВИЧ (72% от клиентов, охваченных МПУ). Все протестированные МСМ прошли тестирование методом экспресс-тестирования, выявлено 22 случая ВИЧ-инфекции среди МСМ с предварительным положительным результатом экспресс-тестирования на ВИЧ (что составляет 0,24% от числа всех протестированных клиентов), затем результаты были подтверждены в центрах СПИД. Причина недостижения цели заключается в том, что из-за высокой текучести кадров в ОО «Кыргыз Индиго» не смогли достигнуть целевой показатель (показатель достигнут на 67%), что повлияло на общий показатель среди МСМ.</t>
  </si>
  <si>
    <t xml:space="preserve">В отчетном периоде 33 МСМ, подходящие по критерям включения, начали доконтактную профилактику (ДКП), 32 из них начали профилактическую терапию впервые в жизни, 10 МСМ из 33 прекратили терапию в 2021 г., поскольку больше не ведут рискованное поведение, планировалось охватытвать ДКП 150 МСМ в год. Показатель достугнут только на 22%. </t>
  </si>
  <si>
    <t>139 из 146 новых и с рецидивирующим туберкулезом ВИЧ-положительных больных туберкулезом получили ПТТ. 6 ЛЖВ не начали АРТ попричине смерти от туберкулеза (АРТ не назначали), 1 ЛЖВ начал АРТ, но не начал ПТТ по собственному решению, с ним продолжается мотивационная работа. Процент дотижения составил 101%.</t>
  </si>
  <si>
    <t>Программные показатели по ТБ</t>
  </si>
  <si>
    <t xml:space="preserve">MDR TB-3: Количество случаев с РУ/МЛУ ТБ, начавших лечение препаратами второго ряда	</t>
  </si>
  <si>
    <t xml:space="preserve">MDR TB-7: Процент подтвержденных МЛУ-ТБ случаев, протестированных на чувствительность к фторхинолонам и инъекционным препаратам второго ряда	</t>
  </si>
  <si>
    <t xml:space="preserve"> Основными причинами, по которым индикатор не достигнут, являются неаккуратность переноса данных в регистрационные формы и % ошибок при проведении GenExpert выше нормального показателя. </t>
  </si>
  <si>
    <t xml:space="preserve">Снижение в выявлении РУ/МЛУ случаев, в первую очередь, связано с общей тенденцией в снижении выявления случаев ТБ: по сравнению с доковидным периодом, кол-во зарегистрированных РУ/МЛУ ТБ случаев снизилось на 30%. Основной причиной по-прежнему остается влияние пандемии как на работу системы здравоохранения, так и на установки и практики людей в отношении профилактики и обращения за медицинской помощью. </t>
  </si>
  <si>
    <t xml:space="preserve"> Ключевыми факторами, внесшими вклад в достижение этого индикатора, являются улучшение системы передачи  лабораторных данных и функционирование системы транпортировки мокроты. </t>
  </si>
  <si>
    <t>Замечания и комментарии</t>
  </si>
  <si>
    <t xml:space="preserve">MDR TB-6: Процент ТБ пациентов с результатом ТЛЧ как минимум к рифампицину среди общего количества зарегистрированных (новых и ранее леченных) случаев том же году.		</t>
  </si>
  <si>
    <t>Из 2910 бактериологически подтвержденных ТБ случаев, зарегистрированных в отчетный период, 2737 имеют результат ТЛЧ как минимум к рифампицину (94%). 2211 из них имеют результат LPA (Хайн-теста) или стандартный ТЛЧ (МЖИТ и/или Л-Й), и 526 имеют только результат GeneXpert. Цель достигнута на 97%. Если сравнивать с предыдущим отчетным периодом, охват методом GeneXpert постоянно улучшается: 80% случаев легочного туберкулеза в 2018 были обследованы методом GeneXpert, и 90% - в 2019 году. Забор мокроты для обследования на GeneXpert осуществляется у всех легочных случаев ТБ. Мониторинговые визиты, проведенные в 2021 году, показали, что в некоторых случаях тест GeneXpert  был проведен, но результат не внесен в электронную БД, ТБ регистры и карты пациентов. Это в большей степени касается тех пациентов, которые проходили обследование в маленьких ТБ стационарах на юге КР. Проблема была обсуждена с НЦФ и областными центрами по борьбе с ТБ в декабре 2021 года. Доля нерезультативных тестов на GeneXpert составила 7% (цель – менее 5%); для того, чтобы улучшить ситуацию областные координаторы по системе транспортировки проводят регулярный мониторинг и тренинги на рабочем месте для персонала ПМСП.</t>
  </si>
  <si>
    <t>В течение отчетного периода 4 кв 2020 – 3 кв 2021 года было зарегистрировано 914 бактериологически-подтвержденных РУ/МЛУ/ШЛУ ТБ, в то время как цель составляла 1697 случаев. Количество РУ/МЛУ ТБ случаев снизилось на 30% по сравнению в пре-КОВИДным периодом. Снижение в регистрации РУ-ТБ случаев отражает продолжающееся снижение в регистрации числа случаев туберкулеза, которое в большей степени связано с отношением и поведенческими практиками населения в обращении за медицинской помощью, которое сформировалось во время пандемии, и усиливающейся низкой настороженностью системы здравоохранения к выявлению ТБ случаев (Нет системы активного выявления случаев, слабая система обследования контактов).  В 2021 году ОР провел серию встреч с командой Национального Центра Фтизиатрии и с руководителями южных областных центров по борьбе с туберкулезом, чтобы обсудить меры по улучшению выявления туберкулеза среди населения. Новая Национальная Программа по ТБ, находящаяся в процессе разработки, включает активности по активному выявлению случаев.</t>
  </si>
  <si>
    <t>976 РУ/МЛУ/ШЛУ ТБ случаев были диагностированы в отчетный период, 934 из низ были взяты на лечение препаратами второго ряда. Т.к. число зарегистрированных РУ/МЛУ/ШЛУ ТБ случаев существенно сократилось в 2020-2021 году, целевой показатель по этому индикатору не был достигнут. Среди взятых на лечение 871 случай – бактериологически подтвержденные, и 63 – клинически диагностированные (Риф-устойчивость была определена в предыдущем эпизоде). Охват лечением был улучшен: 96% диагностированных РУ/МЛУ/ШЛУ ТБ случаев начали лечение. Все схемы лечения основываются на последних рекомендациях ВОЗ: 755 (81%) пациентов были взяты на лечение с Бедаквилином, 139 (15%) взяты на короткие схемы лечения.  BPAL и модифицированные краткосрочные режимы были внедрены в рамках операционных исследований в 2021 году, 5 пациентов были взяты на лечение BPAL, и 39 – на модифицированные КР в 1-3 кв 2021 года.</t>
  </si>
  <si>
    <t xml:space="preserve">В течение отчетного периода 722 из 914 РУ/МЛУ ТБ случаев были протестированы на чувствительность к препаратам второго ряда, таким образом 79% случаев охвачены ТЛЧ к ПВР; цель достигнута на 110%. Факторы, способствующие достижению этого индикатора, следующие: (1) функционирующая по всей стране система транспортировки, поддерживаемая в рамках гранта ГФ и ФОМС; (2) Лабораторная система, установленная во всех районных тубкабинетах и больницах, которая позволяет получать результаты в режиме реального времени; (3) областные ЛУ ТБ координаторы и координаторы по системе транспортировки отслеживают реализацию алгоритма на местах. </t>
  </si>
  <si>
    <t xml:space="preserve">ОР инициировал дискуссию по обсуждению комментариев Технической обзорной панели (ТОП) на встрече СКК 26 октября 2021 года; результатом встречи стало решение направить письмо в МЗ КР с запросом организовать рабочую группу, МЗ КР номинировал ответственных сотрудников для реализации дальнейших мероприятий, но по факту рабочая группа так и не начала работу. Тем не менее, несколько мероприятий были выполнены с целью реализации Плана Перехода на амбулаторное лечение:   
• Постепенный переход по расширению амбулаторной помощи для ТБ пациентов: снижение количества ТБ стационаров с 25 в 2013 году 15 в 2021 (5 стационаров были закрыты в 2021 году); 
• Снижение общего количества: сокращение 450 коек в 2021 году, фактически кол-во коек в конце 2021 года составило 1 845 в сравнении с плановым показателем для 2021 года в 2100 коек. 
•Продвижение амбулаторного лечения: В 1-3 квартале 2021 года было зарегистрировано 3901 ТБ случаев, 3838 из них начали лечение, в т.ч. 689 из них – на амбулаторном уровне (17.9%).  Согласно процедурам МиО НЦФ, этот индикатор включает все ТБ случаи, которые начали лечение и провели в стационаре менее 30 дней в течение интенсивной фазы лечения. 
Основываясь на вышеобозначенном объяснении, ОР оценил выполнение этого показателя как «В процессе».
</t>
  </si>
  <si>
    <t xml:space="preserve">Учитывая официальное обязательство страны перед Глобальным фондом в виде плана по улучшению лабораторно-диагностического потенциала на юге страны, представленного в рамках процесса рассмотрения замечаний ТОП (июль 2020 г.), ОР постоянно поднимал этот вопрос перед НПТ начиная с последнего квартала 2020 года. В связи с этим с начала 2021 года НТП направила несколько писем в Минздрав КР для принятия окончательного решения по вопросу - открыть в г.Ош полноценно функционирующую лабораторию, выполняющую весь спектр необходимых тестов на лекарственную чувствительность. В связи с эпидемиологической ситуацией этот вопрос не считался приоритетным для МЗ КР, и в феврале 2021 года ОР снова инициировал обсуждение этого вопроса с новым директором НЦФ, было предложено вместо планируемой закупки лабораторного модуля для национальной референс-лаборатории в рамках гранта C19RM, закупить ее для Ошской лаборатории. 
ПРООН инициировал сотрудничество с референс-лабораторией в Гаутинге (Германия) и с GIZ с целью разработать технические спецификации, обсудить дорожную карту процесса, и определить потребности в обучении, оборудовании, со-финансировании и т.д. Спецификации должны быть готовы в мае 2022 года. 
</t>
  </si>
  <si>
    <t>Решения и действия</t>
  </si>
  <si>
    <t>Какой общий статус реализации этого гранта?</t>
  </si>
  <si>
    <t>Основные рекомендации Комитета по надзору</t>
  </si>
  <si>
    <t>Решение СКК</t>
  </si>
  <si>
    <t>Срок</t>
  </si>
  <si>
    <t>Ответственное лицо</t>
  </si>
  <si>
    <t>Запланированные действия/Предыдущий период</t>
  </si>
  <si>
    <t>Каково общее состояние действий, осуществленных за предыдущий период?</t>
  </si>
  <si>
    <t>Предпринятые действия</t>
  </si>
  <si>
    <t>Дата</t>
  </si>
  <si>
    <t>Предыдущий отчетный период</t>
  </si>
  <si>
    <t>Рекомендации</t>
  </si>
  <si>
    <t>Осваиваются ли все средства и расходуются ли они согласно бюджету?</t>
  </si>
  <si>
    <t>Заключительные комментарии</t>
  </si>
  <si>
    <t>F1</t>
  </si>
  <si>
    <t>F2</t>
  </si>
  <si>
    <t>F3</t>
  </si>
  <si>
    <t>F4</t>
  </si>
  <si>
    <t>Осуществляются ли закупки и набор персонала согласно графику?</t>
  </si>
  <si>
    <t>M1</t>
  </si>
  <si>
    <t>M2</t>
  </si>
  <si>
    <t>M3</t>
  </si>
  <si>
    <t>M4</t>
  </si>
  <si>
    <t>M5</t>
  </si>
  <si>
    <t>M6</t>
  </si>
  <si>
    <t>Достигаются ли технические целевые показатели?</t>
  </si>
  <si>
    <t>Программа</t>
  </si>
  <si>
    <t>P1 - тенденция</t>
  </si>
  <si>
    <t>P2 - тенденция</t>
  </si>
  <si>
    <t>P3 - тенденция</t>
  </si>
  <si>
    <t>Set-up = List of validation for Grant Detail page</t>
  </si>
  <si>
    <t>Component</t>
  </si>
  <si>
    <t>Currency</t>
  </si>
  <si>
    <t>Round</t>
  </si>
  <si>
    <t>Phase</t>
  </si>
  <si>
    <t>Period</t>
  </si>
  <si>
    <t>LFA</t>
  </si>
  <si>
    <t>Medicaments</t>
  </si>
  <si>
    <t>Countries</t>
  </si>
  <si>
    <t>ВИЧ / СПИД</t>
  </si>
  <si>
    <t>Раунд 1</t>
  </si>
  <si>
    <t>Фаза 1</t>
  </si>
  <si>
    <t>A1</t>
  </si>
  <si>
    <t>CA (Crown Agents)</t>
  </si>
  <si>
    <t>Изониазид</t>
  </si>
  <si>
    <t>Афганистан</t>
  </si>
  <si>
    <t>МАЛЯРИЯ</t>
  </si>
  <si>
    <t>€</t>
  </si>
  <si>
    <t>Раунд 2</t>
  </si>
  <si>
    <t>Фаза 2</t>
  </si>
  <si>
    <t>A2</t>
  </si>
  <si>
    <t>DEL (Deloitte)</t>
  </si>
  <si>
    <t>Этамбутол</t>
  </si>
  <si>
    <t>Албания</t>
  </si>
  <si>
    <t>Раунд 3</t>
  </si>
  <si>
    <t>RCC</t>
  </si>
  <si>
    <t>B1</t>
  </si>
  <si>
    <t>DTT (DTT Emerging Markets)</t>
  </si>
  <si>
    <t>Рифампицин</t>
  </si>
  <si>
    <t>Алжир</t>
  </si>
  <si>
    <t>Раунд 4</t>
  </si>
  <si>
    <t>B2</t>
  </si>
  <si>
    <t>FIN (Finconsult)</t>
  </si>
  <si>
    <t>Пиразинамид</t>
  </si>
  <si>
    <t>Ангола</t>
  </si>
  <si>
    <t>УСЗ</t>
  </si>
  <si>
    <t>Раунд 5</t>
  </si>
  <si>
    <t>C</t>
  </si>
  <si>
    <t>GT (Grant Thornton)</t>
  </si>
  <si>
    <t>RDT</t>
  </si>
  <si>
    <t>Аргентина</t>
  </si>
  <si>
    <t>Раунд 6</t>
  </si>
  <si>
    <t>H-C (Hodar-Conseil)</t>
  </si>
  <si>
    <t>NVP</t>
  </si>
  <si>
    <t>Армения</t>
  </si>
  <si>
    <t>Раунд 7</t>
  </si>
  <si>
    <t>KPMG (KPMG)</t>
  </si>
  <si>
    <t>3TC</t>
  </si>
  <si>
    <t>Азербайджан</t>
  </si>
  <si>
    <t>Раунд 8</t>
  </si>
  <si>
    <t>MSCI (MSCI)</t>
  </si>
  <si>
    <t>D4T</t>
  </si>
  <si>
    <t>Бангладеш</t>
  </si>
  <si>
    <t>Раунд 9</t>
  </si>
  <si>
    <t>PwC (PricewaterhouseCoopers)</t>
  </si>
  <si>
    <t>AZT</t>
  </si>
  <si>
    <t>Беларусь</t>
  </si>
  <si>
    <t>Раунд 10</t>
  </si>
  <si>
    <t xml:space="preserve">STI (Swiss Tropical Institute), </t>
  </si>
  <si>
    <t>DDI</t>
  </si>
  <si>
    <t>Белиз</t>
  </si>
  <si>
    <t>EFV</t>
  </si>
  <si>
    <t>Бенин</t>
  </si>
  <si>
    <t>AS/LF</t>
  </si>
  <si>
    <t>Бутан</t>
  </si>
  <si>
    <t>AS/AQ</t>
  </si>
  <si>
    <t>Боливия</t>
  </si>
  <si>
    <t>AS/MQ</t>
  </si>
  <si>
    <t>Босния и Герцеговина</t>
  </si>
  <si>
    <t>Al/Lum</t>
  </si>
  <si>
    <t>Ботсвана</t>
  </si>
  <si>
    <t>Бразилия</t>
  </si>
  <si>
    <t>Пищевые добавки для ТБ</t>
  </si>
  <si>
    <t>Болгария</t>
  </si>
  <si>
    <t>E-PAP</t>
  </si>
  <si>
    <t>Буркина Фасо</t>
  </si>
  <si>
    <t>ZDV/3TC/NVP</t>
  </si>
  <si>
    <t>Бурунди</t>
  </si>
  <si>
    <t>ZDV/3TC</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</si>
  <si>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</si>
  <si>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</si>
  <si>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</si>
  <si>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</si>
  <si>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</si>
  <si>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</si>
  <si>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</si>
  <si>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</si>
  <si>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</si>
  <si>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</si>
  <si>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</si>
  <si>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</si>
  <si>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</si>
  <si>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</si>
  <si>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</si>
  <si>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</si>
  <si>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</si>
  <si>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</si>
  <si>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</si>
  <si>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</si>
  <si>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</si>
  <si>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</si>
  <si>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</si>
  <si>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</si>
  <si>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</si>
  <si>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</si>
  <si>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</si>
  <si>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</si>
  <si>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</si>
  <si>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Глобальный (LWF)</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</si>
  <si>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</si>
  <si>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</si>
  <si>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</si>
  <si>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</si>
  <si>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</si>
  <si>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</si>
  <si>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</si>
  <si>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</si>
  <si>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</si>
  <si>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</si>
  <si>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</si>
  <si>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</si>
  <si>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</si>
  <si>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</si>
  <si>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</si>
  <si>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</si>
  <si>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</si>
  <si>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</si>
  <si>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</si>
  <si>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</si>
  <si>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</si>
  <si>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</si>
  <si>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</si>
  <si>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</si>
  <si>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</si>
  <si>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</si>
  <si>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</si>
  <si>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</si>
  <si>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</si>
  <si>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</si>
  <si>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</si>
  <si>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</si>
  <si>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</si>
  <si>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</si>
  <si>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</si>
  <si>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</si>
  <si>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</si>
  <si>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</si>
  <si>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</si>
  <si>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</si>
  <si>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</si>
  <si>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</si>
  <si>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</si>
  <si>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</si>
  <si>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</si>
  <si>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</si>
  <si>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</si>
  <si>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</si>
  <si>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</si>
  <si>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</si>
  <si>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</si>
  <si>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</si>
  <si>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</si>
  <si>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</si>
  <si>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</si>
  <si>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</si>
  <si>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</si>
  <si>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</si>
  <si>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</si>
  <si>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</si>
  <si>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</si>
  <si>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</si>
  <si>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</si>
  <si>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</si>
  <si>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</si>
  <si>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</si>
  <si>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</si>
  <si>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</si>
  <si>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</si>
  <si>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</si>
  <si>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</si>
  <si>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</si>
  <si>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</si>
  <si>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</si>
  <si>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</si>
  <si>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</si>
  <si>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</si>
  <si>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</si>
  <si>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</si>
  <si>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</si>
  <si>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</si>
  <si>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</si>
  <si>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</si>
  <si>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АРВ</t>
  </si>
  <si>
    <t>Анти-ретровирусные препараты</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</si>
  <si>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</si>
  <si>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</si>
  <si>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</si>
  <si>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</si>
  <si>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</si>
  <si>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</si>
  <si>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</si>
  <si>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</si>
  <si>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</si>
  <si>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</si>
  <si>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</si>
  <si>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</si>
  <si>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</si>
  <si>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</si>
  <si>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Принципиальный Реципиент</t>
  </si>
  <si>
    <t>ПУ</t>
  </si>
  <si>
    <t>Предварительное условие</t>
  </si>
  <si>
    <t>СКМ</t>
  </si>
  <si>
    <t>Страновой Координационный Механизм</t>
  </si>
  <si>
    <t>СР</t>
  </si>
  <si>
    <t>Суб-реципиент</t>
  </si>
  <si>
    <t>ССР</t>
  </si>
  <si>
    <t>Суб-суб-реципиент</t>
  </si>
  <si>
    <t>УЗС</t>
  </si>
  <si>
    <t>Управление Закупками и Снабжением</t>
  </si>
  <si>
    <t>УФО</t>
  </si>
  <si>
    <t>Улучшенный Финансовый Отчет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</si>
</sst>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0.00_-;\-* #,##0.00_-;_-* &quot;-&quot;??_-;_-@_-"/>
    <numFmt numFmtId="165" formatCode="_-* #,##0.00\ _₽_-;\-* #,##0.00\ _₽_-;_-* &quot;-&quot;??\ _₽_-;_-@_-"/>
    <numFmt numFmtId="166" formatCode="_-* #,##0.00_р_._-;\-* #,##0.00_р_._-;_-* &quot;-&quot;??_р_._-;_-@_-"/>
    <numFmt numFmtId="167" formatCode="&quot;Q&quot;#,##0_);[Red]\(&quot;Q&quot;#,##0\)"/>
    <numFmt numFmtId="168" formatCode="_(* #,##0_);_(* \(#,##0\);_(* &quot;-&quot;??_);_(@_)"/>
    <numFmt numFmtId="169" formatCode=";;;"/>
    <numFmt numFmtId="170" formatCode="0.0"/>
    <numFmt numFmtId="171" formatCode=";;;&quot;Financial Variance in %&quot;"/>
    <numFmt numFmtId="172" formatCode="_([$€]* #,##0.00_);_([$€]* \(#,##0.00\);_([$€]* &quot;-&quot;??_);_(@_)"/>
    <numFmt numFmtId="173" formatCode="[$$-409]#,##0"/>
    <numFmt numFmtId="174" formatCode="[$-409]d/mmm/yyyy;@"/>
    <numFmt numFmtId="175" formatCode="[$$-409]#,##0_);\([$$-409]#,##0\)"/>
    <numFmt numFmtId="176" formatCode="0.0%"/>
    <numFmt numFmtId="177" formatCode="#,##0.0"/>
    <numFmt numFmtId="178" formatCode="_-&quot;$&quot;* #,##0_-;\-&quot;$&quot;* #,##0_-;_-&quot;$&quot;* &quot;-&quot;_-;_-@_-"/>
    <numFmt numFmtId="179" formatCode="_ [$€-413]\ * #,##0.00_ ;_ [$€-413]\ * \-#,##0.00_ ;_ [$€-413]\ * &quot;-&quot;_ ;_ @_ "/>
    <numFmt numFmtId="180" formatCode="_-* #,##0.00\ &quot;€&quot;_-;\-* #,##0.00\ &quot;€&quot;_-;_-* &quot;-&quot;??\ &quot;€&quot;_-;_-@_-"/>
    <numFmt numFmtId="181" formatCode="_-[$€-2]\ * #,##0.00_-;\-[$€-2]\ * #,##0.00_-;_-[$€-2]\ * &quot;-&quot;??_-;_-@_-"/>
  </numFmts>
  <fonts count="183">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4"/>
      <color indexed="52"/>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i/>
      <sz val="11"/>
      <color indexed="8"/>
      <name val="Calibri"/>
      <family val="2"/>
    </font>
    <font>
      <b/>
      <sz val="11"/>
      <color indexed="60"/>
      <name val="Calibri"/>
      <family val="2"/>
    </font>
    <font>
      <sz val="10"/>
      <color indexed="60"/>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8"/>
      <name val="Arial"/>
      <family val="2"/>
    </font>
    <font>
      <sz val="8"/>
      <color indexed="81"/>
      <name val="Tahoma"/>
      <family val="2"/>
    </font>
    <font>
      <b/>
      <sz val="20"/>
      <color indexed="8"/>
      <name val="Calibri"/>
      <family val="2"/>
    </font>
    <font>
      <sz val="20"/>
      <color indexed="8"/>
      <name val="Calibri"/>
      <family val="2"/>
    </font>
    <font>
      <b/>
      <sz val="11"/>
      <color indexed="53"/>
      <name val="Arial"/>
      <family val="2"/>
    </font>
    <font>
      <sz val="9"/>
      <color indexed="8"/>
      <name val="Calibri"/>
      <family val="2"/>
    </font>
    <font>
      <sz val="11"/>
      <color indexed="8"/>
      <name val="Symbol"/>
      <family val="1"/>
      <charset val="2"/>
    </font>
    <font>
      <b/>
      <sz val="11"/>
      <color indexed="8"/>
      <name val="Arial"/>
      <family val="2"/>
      <charset val="204"/>
    </font>
    <font>
      <b/>
      <sz val="22"/>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sz val="11"/>
      <color theme="1"/>
      <name val="Calibri"/>
      <family val="2"/>
    </font>
    <font>
      <sz val="11"/>
      <color indexed="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4"/>
      <color rgb="FFFF0000"/>
      <name val="Calibri"/>
      <family val="2"/>
    </font>
    <font>
      <b/>
      <sz val="11"/>
      <color indexed="8"/>
      <name val="Calibri"/>
      <family val="2"/>
      <charset val="204"/>
    </font>
    <font>
      <sz val="10"/>
      <name val="Arial Cyr"/>
      <charset val="204"/>
    </font>
    <font>
      <sz val="10"/>
      <name val="Arial"/>
      <family val="2"/>
      <charset val="238"/>
    </font>
    <font>
      <sz val="8"/>
      <name val="Arial"/>
      <family val="2"/>
      <charset val="238"/>
    </font>
    <font>
      <sz val="8"/>
      <color indexed="12"/>
      <name val="Arial"/>
      <family val="2"/>
      <charset val="238"/>
    </font>
    <font>
      <b/>
      <i/>
      <sz val="8"/>
      <name val="Arial"/>
      <family val="2"/>
      <charset val="238"/>
    </font>
    <font>
      <u/>
      <sz val="10"/>
      <color indexed="12"/>
      <name val="Arial"/>
      <family val="2"/>
    </font>
    <font>
      <sz val="8"/>
      <name val="Verdana"/>
      <family val="2"/>
      <charset val="238"/>
    </font>
    <font>
      <sz val="11"/>
      <color theme="1"/>
      <name val="Calibri"/>
      <family val="2"/>
      <charset val="238"/>
      <scheme val="minor"/>
    </font>
    <font>
      <b/>
      <sz val="10"/>
      <name val="Arial"/>
      <family val="2"/>
      <charset val="204"/>
    </font>
    <font>
      <u/>
      <sz val="10"/>
      <color indexed="12"/>
      <name val="Arial Cyr"/>
      <charset val="204"/>
    </font>
    <font>
      <sz val="12"/>
      <name val="Times New Roman"/>
      <family val="1"/>
    </font>
    <font>
      <b/>
      <sz val="12"/>
      <name val="Arial"/>
      <family val="2"/>
      <charset val="204"/>
    </font>
    <font>
      <sz val="8"/>
      <color indexed="8"/>
      <name val="Arial"/>
      <family val="2"/>
    </font>
    <font>
      <u/>
      <sz val="7.5"/>
      <color indexed="12"/>
      <name val="Arial Cyr"/>
    </font>
    <font>
      <u/>
      <sz val="7.5"/>
      <color indexed="36"/>
      <name val="Arial Cyr"/>
    </font>
    <font>
      <sz val="11"/>
      <color indexed="9"/>
      <name val="Calibri"/>
      <family val="2"/>
      <charset val="204"/>
    </font>
    <font>
      <i/>
      <sz val="8"/>
      <color indexed="55"/>
      <name val="Arial"/>
      <family val="2"/>
    </font>
    <font>
      <u/>
      <sz val="10"/>
      <color indexed="36"/>
      <name val="Arial Cyr"/>
    </font>
    <font>
      <sz val="11"/>
      <color theme="1"/>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3"/>
      <color theme="1" tint="0.24994659260841701"/>
      <name val="Cambria"/>
      <family val="2"/>
      <scheme val="major"/>
    </font>
    <font>
      <sz val="12"/>
      <name val="Georgia"/>
      <family val="1"/>
    </font>
    <font>
      <sz val="10"/>
      <color indexed="8"/>
      <name val="Calibri"/>
      <family val="2"/>
      <charset val="204"/>
    </font>
    <font>
      <sz val="8"/>
      <color rgb="FF000000"/>
      <name val="Calibri"/>
      <family val="2"/>
    </font>
    <font>
      <sz val="10"/>
      <color rgb="FF0D0D0D"/>
      <name val="Calibri"/>
      <family val="2"/>
    </font>
    <font>
      <sz val="8"/>
      <color rgb="FF000000"/>
      <name val="Calibri"/>
      <family val="2"/>
      <charset val="204"/>
    </font>
    <font>
      <sz val="8"/>
      <name val="Calibri"/>
      <family val="2"/>
      <charset val="204"/>
    </font>
    <font>
      <sz val="11"/>
      <color indexed="8"/>
      <name val="Arial"/>
      <family val="2"/>
      <charset val="204"/>
    </font>
    <font>
      <b/>
      <sz val="11"/>
      <name val="Arial"/>
      <family val="2"/>
      <charset val="204"/>
    </font>
    <font>
      <sz val="11"/>
      <color rgb="FF000000"/>
      <name val="Arial"/>
      <family val="2"/>
    </font>
    <font>
      <b/>
      <sz val="11"/>
      <color rgb="FF000000"/>
      <name val="Arial"/>
      <family val="2"/>
    </font>
    <font>
      <sz val="11"/>
      <color rgb="FF000000"/>
      <name val="Calibri"/>
      <family val="2"/>
      <charset val="204"/>
    </font>
    <font>
      <sz val="10"/>
      <color rgb="FF000000"/>
      <name val="Calibri"/>
      <family val="2"/>
    </font>
    <font>
      <sz val="11"/>
      <color rgb="FF000000"/>
      <name val="Calibri"/>
      <family val="2"/>
    </font>
    <font>
      <sz val="11"/>
      <color rgb="FF800000"/>
      <name val="Calibri"/>
      <family val="2"/>
    </font>
  </fonts>
  <fills count="5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theme="9" tint="-0.249977111117893"/>
        <bgColor indexed="64"/>
      </patternFill>
    </fill>
    <fill>
      <patternFill patternType="solid">
        <fgColor indexed="3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24"/>
      </patternFill>
    </fill>
    <fill>
      <patternFill patternType="solid">
        <fgColor indexed="62"/>
      </patternFill>
    </fill>
    <fill>
      <patternFill patternType="solid">
        <fgColor theme="4" tint="0.79998168889431442"/>
        <bgColor indexed="64"/>
      </patternFill>
    </fill>
    <fill>
      <patternFill patternType="solid">
        <fgColor rgb="FFFFF2CC"/>
        <bgColor indexed="64"/>
      </patternFill>
    </fill>
    <fill>
      <patternFill patternType="solid">
        <fgColor rgb="FFD9D9D9"/>
        <bgColor indexed="64"/>
      </patternFill>
    </fill>
    <fill>
      <patternFill patternType="solid">
        <fgColor rgb="FFFFCC99"/>
        <bgColor rgb="FF000000"/>
      </patternFill>
    </fill>
    <fill>
      <patternFill patternType="solid">
        <fgColor rgb="FF99CCFF"/>
        <bgColor rgb="FF000000"/>
      </patternFill>
    </fill>
    <fill>
      <patternFill patternType="solid">
        <fgColor rgb="FFFABF8F"/>
        <bgColor rgb="FF000000"/>
      </patternFill>
    </fill>
  </fills>
  <borders count="2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medium">
        <color indexed="51"/>
      </left>
      <right style="hair">
        <color indexed="64"/>
      </right>
      <top style="hair">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0"/>
      </right>
      <top style="dotted">
        <color indexed="64"/>
      </top>
      <bottom style="dotted">
        <color indexed="64"/>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right style="medium">
        <color indexed="60"/>
      </right>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style="medium">
        <color indexed="60"/>
      </right>
      <top/>
      <bottom style="medium">
        <color indexed="60"/>
      </bottom>
      <diagonal/>
    </border>
    <border>
      <left style="dotted">
        <color indexed="64"/>
      </left>
      <right/>
      <top style="medium">
        <color indexed="60"/>
      </top>
      <bottom style="dotted">
        <color indexed="64"/>
      </bottom>
      <diagonal/>
    </border>
    <border>
      <left/>
      <right/>
      <top style="medium">
        <color indexed="60"/>
      </top>
      <bottom style="dotted">
        <color indexed="64"/>
      </bottom>
      <diagonal/>
    </border>
    <border>
      <left/>
      <right style="medium">
        <color indexed="60"/>
      </right>
      <top style="medium">
        <color indexed="60"/>
      </top>
      <bottom style="dotted">
        <color indexed="64"/>
      </bottom>
      <diagonal/>
    </border>
    <border>
      <left style="medium">
        <color indexed="60"/>
      </left>
      <right/>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top style="medium">
        <color indexed="18"/>
      </top>
      <bottom style="medium">
        <color indexed="62"/>
      </bottom>
      <diagonal/>
    </border>
    <border>
      <left/>
      <right/>
      <top style="medium">
        <color indexed="18"/>
      </top>
      <bottom style="medium">
        <color indexed="62"/>
      </bottom>
      <diagonal/>
    </border>
    <border>
      <left/>
      <right style="medium">
        <color indexed="18"/>
      </right>
      <top style="medium">
        <color indexed="18"/>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dotted">
        <color indexed="64"/>
      </left>
      <right/>
      <top style="medium">
        <color indexed="62"/>
      </top>
      <bottom/>
      <diagonal/>
    </border>
    <border>
      <left/>
      <right/>
      <top style="medium">
        <color indexed="62"/>
      </top>
      <bottom/>
      <diagonal/>
    </border>
    <border>
      <left/>
      <right style="medium">
        <color indexed="18"/>
      </right>
      <top style="medium">
        <color indexed="62"/>
      </top>
      <bottom/>
      <diagonal/>
    </border>
    <border>
      <left/>
      <right style="medium">
        <color indexed="18"/>
      </right>
      <top style="dotted">
        <color indexed="64"/>
      </top>
      <bottom style="dotted">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style="medium">
        <color indexed="52"/>
      </right>
      <top/>
      <bottom style="medium">
        <color indexed="52"/>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dotted">
        <color indexed="64"/>
      </left>
      <right/>
      <top style="dotted">
        <color indexed="64"/>
      </top>
      <bottom style="medium">
        <color indexed="18"/>
      </bottom>
      <diagonal/>
    </border>
    <border>
      <left/>
      <right/>
      <top style="dotted">
        <color indexed="64"/>
      </top>
      <bottom style="medium">
        <color indexed="18"/>
      </bottom>
      <diagonal/>
    </border>
    <border>
      <left/>
      <right style="medium">
        <color indexed="18"/>
      </right>
      <top style="dotted">
        <color indexed="64"/>
      </top>
      <bottom style="medium">
        <color indexed="18"/>
      </bottom>
      <diagonal/>
    </border>
    <border>
      <left style="hair">
        <color indexed="64"/>
      </left>
      <right/>
      <top style="hair">
        <color indexed="64"/>
      </top>
      <bottom style="medium">
        <color indexed="51"/>
      </bottom>
      <diagonal/>
    </border>
    <border>
      <left/>
      <right/>
      <top style="hair">
        <color indexed="64"/>
      </top>
      <bottom style="medium">
        <color indexed="51"/>
      </bottom>
      <diagonal/>
    </border>
    <border>
      <left/>
      <right style="medium">
        <color indexed="51"/>
      </right>
      <top style="hair">
        <color indexed="64"/>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hair">
        <color indexed="64"/>
      </right>
      <top style="medium">
        <color indexed="57"/>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57"/>
      </left>
      <right style="hair">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57"/>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hair">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57"/>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style="medium">
        <color indexed="57"/>
      </top>
      <bottom/>
      <diagonal/>
    </border>
    <border>
      <left style="hair">
        <color indexed="57"/>
      </left>
      <right/>
      <top style="medium">
        <color indexed="57"/>
      </top>
      <bottom style="medium">
        <color indexed="57"/>
      </bottom>
      <diagonal/>
    </border>
    <border>
      <left style="hair">
        <color indexed="64"/>
      </left>
      <right/>
      <top/>
      <bottom style="medium">
        <color indexed="64"/>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style="medium">
        <color indexed="51"/>
      </left>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thin">
        <color indexed="16"/>
      </left>
      <right style="medium">
        <color indexed="64"/>
      </right>
      <top style="medium">
        <color indexed="64"/>
      </top>
      <bottom style="thin">
        <color indexed="64"/>
      </bottom>
      <diagonal/>
    </border>
    <border>
      <left/>
      <right/>
      <top style="thin">
        <color auto="1"/>
      </top>
      <bottom/>
      <diagonal/>
    </border>
    <border>
      <left/>
      <right/>
      <top/>
      <bottom style="thick">
        <color indexed="62"/>
      </bottom>
      <diagonal/>
    </border>
    <border>
      <left/>
      <right/>
      <top style="thin">
        <color indexed="62"/>
      </top>
      <bottom style="double">
        <color indexed="62"/>
      </bottom>
      <diagonal/>
    </border>
    <border>
      <left style="hair">
        <color theme="8"/>
      </left>
      <right style="hair">
        <color theme="8"/>
      </right>
      <top style="hair">
        <color theme="8"/>
      </top>
      <bottom style="hair">
        <color theme="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51"/>
      </right>
      <top style="medium">
        <color indexed="51"/>
      </top>
      <bottom style="thin">
        <color indexed="64"/>
      </bottom>
      <diagonal/>
    </border>
    <border>
      <left/>
      <right style="medium">
        <color indexed="51"/>
      </right>
      <top style="thin">
        <color indexed="64"/>
      </top>
      <bottom/>
      <diagonal/>
    </border>
    <border>
      <left/>
      <right style="medium">
        <color indexed="51"/>
      </right>
      <top/>
      <bottom style="thin">
        <color indexed="64"/>
      </bottom>
      <diagonal/>
    </border>
    <border>
      <left/>
      <right style="medium">
        <color indexed="51"/>
      </right>
      <top/>
      <bottom style="medium">
        <color indexed="51"/>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51"/>
      </left>
      <right style="medium">
        <color indexed="51"/>
      </right>
      <top/>
      <bottom style="medium">
        <color indexed="51"/>
      </bottom>
      <diagonal/>
    </border>
    <border>
      <left style="medium">
        <color indexed="51"/>
      </left>
      <right style="medium">
        <color indexed="51"/>
      </right>
      <top style="medium">
        <color indexed="51"/>
      </top>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800000"/>
      </left>
      <right style="thin">
        <color rgb="FF800000"/>
      </right>
      <top style="thin">
        <color rgb="FF800000"/>
      </top>
      <bottom/>
      <diagonal/>
    </border>
    <border>
      <left style="thin">
        <color rgb="FF993300"/>
      </left>
      <right style="thin">
        <color rgb="FF993300"/>
      </right>
      <top style="thin">
        <color rgb="FF993300"/>
      </top>
      <bottom style="thin">
        <color rgb="FF993300"/>
      </bottom>
      <diagonal/>
    </border>
    <border>
      <left/>
      <right style="medium">
        <color indexed="64"/>
      </right>
      <top style="thin">
        <color rgb="FF993300"/>
      </top>
      <bottom style="thin">
        <color rgb="FF993300"/>
      </bottom>
      <diagonal/>
    </border>
    <border>
      <left style="thin">
        <color rgb="FF993300"/>
      </left>
      <right style="thin">
        <color rgb="FF993300"/>
      </right>
      <top/>
      <bottom style="thin">
        <color rgb="FF993300"/>
      </bottom>
      <diagonal/>
    </border>
    <border>
      <left/>
      <right style="medium">
        <color indexed="64"/>
      </right>
      <top/>
      <bottom style="thin">
        <color rgb="FF993300"/>
      </bottom>
      <diagonal/>
    </border>
    <border>
      <left style="medium">
        <color indexed="64"/>
      </left>
      <right style="thin">
        <color rgb="FF993300"/>
      </right>
      <top style="thin">
        <color rgb="FF993300"/>
      </top>
      <bottom style="thin">
        <color rgb="FF993300"/>
      </bottom>
      <diagonal/>
    </border>
    <border>
      <left style="medium">
        <color indexed="64"/>
      </left>
      <right style="thin">
        <color rgb="FF993300"/>
      </right>
      <top/>
      <bottom style="thin">
        <color rgb="FF993300"/>
      </bottom>
      <diagonal/>
    </border>
  </borders>
  <cellStyleXfs count="17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72"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2" fillId="0" borderId="4" applyNumberFormat="0" applyFill="0" applyAlignment="0" applyProtection="0"/>
    <xf numFmtId="0" fontId="73"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16" fillId="0" borderId="0"/>
    <xf numFmtId="43" fontId="116" fillId="0" borderId="0"/>
    <xf numFmtId="43" fontId="116" fillId="0" borderId="0"/>
    <xf numFmtId="43" fontId="116" fillId="0" borderId="0"/>
    <xf numFmtId="0" fontId="66" fillId="0" borderId="0"/>
    <xf numFmtId="0" fontId="2" fillId="4" borderId="7" applyNumberFormat="0" applyFont="0" applyAlignment="0" applyProtection="0"/>
    <xf numFmtId="0" fontId="8" fillId="2" borderId="8" applyNumberFormat="0" applyAlignment="0" applyProtection="0"/>
    <xf numFmtId="0" fontId="41" fillId="0" borderId="0" applyNumberFormat="0" applyFill="0" applyBorder="0" applyAlignment="0" applyProtection="0"/>
    <xf numFmtId="43" fontId="116"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16" fillId="0" borderId="9" applyNumberFormat="0" applyFill="0" applyAlignment="0" applyProtection="0"/>
    <xf numFmtId="0" fontId="74"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16" fillId="0" borderId="0"/>
    <xf numFmtId="0" fontId="134" fillId="0" borderId="0"/>
    <xf numFmtId="0" fontId="135" fillId="0" borderId="0"/>
    <xf numFmtId="9" fontId="2" fillId="0" borderId="0" applyFont="0" applyFill="0" applyBorder="0" applyAlignment="0" applyProtection="0"/>
    <xf numFmtId="9" fontId="135" fillId="0" borderId="0" applyFont="0" applyFill="0" applyBorder="0" applyAlignment="0" applyProtection="0"/>
    <xf numFmtId="164" fontId="135" fillId="0" borderId="0" applyFont="0" applyFill="0" applyBorder="0" applyAlignment="0" applyProtection="0"/>
    <xf numFmtId="3" fontId="136" fillId="42" borderId="0">
      <alignment horizontal="center"/>
    </xf>
    <xf numFmtId="9" fontId="136" fillId="42" borderId="0">
      <alignment horizontal="center"/>
    </xf>
    <xf numFmtId="3" fontId="137" fillId="0" borderId="0">
      <alignment horizontal="center" vertical="center"/>
      <protection locked="0"/>
    </xf>
    <xf numFmtId="176" fontId="137" fillId="0" borderId="0">
      <alignment horizontal="center" vertical="center"/>
      <protection locked="0"/>
    </xf>
    <xf numFmtId="49" fontId="138" fillId="0" borderId="0">
      <alignment horizontal="left"/>
    </xf>
    <xf numFmtId="0" fontId="139" fillId="0" borderId="0" applyNumberFormat="0" applyFill="0" applyBorder="0" applyAlignment="0" applyProtection="0"/>
    <xf numFmtId="0" fontId="2" fillId="0" borderId="0"/>
    <xf numFmtId="0" fontId="140" fillId="0" borderId="0"/>
    <xf numFmtId="0" fontId="135" fillId="0" borderId="0"/>
    <xf numFmtId="0" fontId="135" fillId="0" borderId="0"/>
    <xf numFmtId="0" fontId="135" fillId="0" borderId="0"/>
    <xf numFmtId="0" fontId="129" fillId="0" borderId="0"/>
    <xf numFmtId="0" fontId="129" fillId="0" borderId="0"/>
    <xf numFmtId="166" fontId="141" fillId="0" borderId="0" applyFont="0" applyFill="0" applyBorder="0" applyAlignment="0" applyProtection="0"/>
    <xf numFmtId="9" fontId="141" fillId="0" borderId="0" applyFont="0" applyFill="0" applyBorder="0" applyAlignment="0" applyProtection="0"/>
    <xf numFmtId="0" fontId="144" fillId="0" borderId="0"/>
    <xf numFmtId="165" fontId="144" fillId="0" borderId="0" applyFont="0" applyFill="0" applyBorder="0" applyAlignment="0" applyProtection="0"/>
    <xf numFmtId="164" fontId="141" fillId="0" borderId="0" applyFont="0" applyFill="0" applyBorder="0" applyAlignment="0" applyProtection="0"/>
    <xf numFmtId="165" fontId="135" fillId="0" borderId="0" applyFont="0" applyFill="0" applyBorder="0" applyAlignment="0" applyProtection="0"/>
    <xf numFmtId="9" fontId="141" fillId="0" borderId="0" applyFont="0" applyFill="0" applyBorder="0" applyAlignment="0" applyProtection="0"/>
    <xf numFmtId="178" fontId="136" fillId="0" borderId="239">
      <alignment horizontal="center" vertical="center"/>
    </xf>
    <xf numFmtId="179" fontId="146" fillId="0" borderId="0">
      <protection locked="0"/>
    </xf>
    <xf numFmtId="179" fontId="107" fillId="0" borderId="0">
      <alignment horizontal="center" vertical="center"/>
    </xf>
    <xf numFmtId="0" fontId="147"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179" fontId="124" fillId="43" borderId="0" applyNumberFormat="0" applyBorder="0" applyAlignment="0" applyProtection="0"/>
    <xf numFmtId="179" fontId="124" fillId="6" borderId="0" applyNumberFormat="0" applyBorder="0" applyAlignment="0" applyProtection="0"/>
    <xf numFmtId="179" fontId="124" fillId="7" borderId="0" applyNumberFormat="0" applyBorder="0" applyAlignment="0" applyProtection="0"/>
    <xf numFmtId="179" fontId="124" fillId="44" borderId="0" applyNumberFormat="0" applyBorder="0" applyAlignment="0" applyProtection="0"/>
    <xf numFmtId="179" fontId="124" fillId="5" borderId="0" applyNumberFormat="0" applyBorder="0" applyAlignment="0" applyProtection="0"/>
    <xf numFmtId="179" fontId="124" fillId="3" borderId="0" applyNumberFormat="0" applyBorder="0" applyAlignment="0" applyProtection="0"/>
    <xf numFmtId="179" fontId="124" fillId="11" borderId="0" applyNumberFormat="0" applyBorder="0" applyAlignment="0" applyProtection="0"/>
    <xf numFmtId="179" fontId="124" fillId="9" borderId="0" applyNumberFormat="0" applyBorder="0" applyAlignment="0" applyProtection="0"/>
    <xf numFmtId="179" fontId="124" fillId="45" borderId="0" applyNumberFormat="0" applyBorder="0" applyAlignment="0" applyProtection="0"/>
    <xf numFmtId="179" fontId="124" fillId="44" borderId="0" applyNumberFormat="0" applyBorder="0" applyAlignment="0" applyProtection="0"/>
    <xf numFmtId="179" fontId="124" fillId="11" borderId="0" applyNumberFormat="0" applyBorder="0" applyAlignment="0" applyProtection="0"/>
    <xf numFmtId="179" fontId="124" fillId="46" borderId="0" applyNumberFormat="0" applyBorder="0" applyAlignment="0" applyProtection="0"/>
    <xf numFmtId="179" fontId="149" fillId="47" borderId="0" applyNumberFormat="0" applyBorder="0" applyAlignment="0" applyProtection="0"/>
    <xf numFmtId="179" fontId="149" fillId="9" borderId="0" applyNumberFormat="0" applyBorder="0" applyAlignment="0" applyProtection="0"/>
    <xf numFmtId="179" fontId="149" fillId="45" borderId="0" applyNumberFormat="0" applyBorder="0" applyAlignment="0" applyProtection="0"/>
    <xf numFmtId="179" fontId="149" fillId="48" borderId="0" applyNumberFormat="0" applyBorder="0" applyAlignment="0" applyProtection="0"/>
    <xf numFmtId="179" fontId="149" fillId="12" borderId="0" applyNumberFormat="0" applyBorder="0" applyAlignment="0" applyProtection="0"/>
    <xf numFmtId="179" fontId="149" fillId="49" borderId="0" applyNumberFormat="0" applyBorder="0" applyAlignment="0" applyProtection="0"/>
    <xf numFmtId="0" fontId="143" fillId="0" borderId="0" applyNumberFormat="0" applyFill="0" applyBorder="0" applyAlignment="0" applyProtection="0">
      <alignment vertical="top"/>
      <protection locked="0"/>
    </xf>
    <xf numFmtId="164" fontId="135" fillId="0" borderId="0" applyFont="0" applyFill="0" applyBorder="0" applyAlignment="0" applyProtection="0"/>
    <xf numFmtId="165" fontId="124" fillId="0" borderId="0" applyFont="0" applyFill="0" applyBorder="0" applyAlignment="0" applyProtection="0"/>
    <xf numFmtId="180" fontId="135" fillId="0" borderId="0" applyFont="0" applyFill="0" applyBorder="0" applyAlignment="0" applyProtection="0"/>
    <xf numFmtId="179" fontId="139" fillId="0" borderId="0" applyNumberFormat="0" applyFill="0" applyBorder="0" applyAlignment="0" applyProtection="0">
      <alignment vertical="top"/>
      <protection locked="0"/>
    </xf>
    <xf numFmtId="0" fontId="150" fillId="0" borderId="0"/>
    <xf numFmtId="0" fontId="151" fillId="0" borderId="0" applyNumberFormat="0" applyFill="0" applyBorder="0" applyAlignment="0" applyProtection="0">
      <alignment vertical="top"/>
      <protection locked="0"/>
    </xf>
    <xf numFmtId="0" fontId="135" fillId="7" borderId="10" applyBorder="0">
      <alignment vertical="top"/>
    </xf>
    <xf numFmtId="179" fontId="136" fillId="0" borderId="0"/>
    <xf numFmtId="0" fontId="141" fillId="0" borderId="0"/>
    <xf numFmtId="0" fontId="135" fillId="0" borderId="0"/>
    <xf numFmtId="0" fontId="141" fillId="0" borderId="0"/>
    <xf numFmtId="179" fontId="135" fillId="0" borderId="0"/>
    <xf numFmtId="0" fontId="141" fillId="0" borderId="0"/>
    <xf numFmtId="9" fontId="141" fillId="0" borderId="0" applyFont="0" applyFill="0" applyBorder="0" applyAlignment="0" applyProtection="0"/>
    <xf numFmtId="9" fontId="141" fillId="0" borderId="0" applyFont="0" applyFill="0" applyBorder="0" applyAlignment="0" applyProtection="0"/>
    <xf numFmtId="9" fontId="141" fillId="0" borderId="0" applyFont="0" applyFill="0" applyBorder="0" applyAlignment="0" applyProtection="0"/>
    <xf numFmtId="9" fontId="152" fillId="0" borderId="0" applyFont="0" applyFill="0" applyBorder="0" applyAlignment="0" applyProtection="0"/>
    <xf numFmtId="0" fontId="145" fillId="8" borderId="41">
      <alignment horizontal="centerContinuous"/>
    </xf>
    <xf numFmtId="49" fontId="142" fillId="50" borderId="10">
      <alignment horizontal="center" vertical="center" wrapText="1"/>
    </xf>
    <xf numFmtId="179" fontId="149" fillId="51" borderId="0" applyNumberFormat="0" applyBorder="0" applyAlignment="0" applyProtection="0"/>
    <xf numFmtId="179" fontId="149" fillId="13" borderId="0" applyNumberFormat="0" applyBorder="0" applyAlignment="0" applyProtection="0"/>
    <xf numFmtId="179" fontId="149" fillId="15" borderId="0" applyNumberFormat="0" applyBorder="0" applyAlignment="0" applyProtection="0"/>
    <xf numFmtId="179" fontId="149" fillId="48" borderId="0" applyNumberFormat="0" applyBorder="0" applyAlignment="0" applyProtection="0"/>
    <xf numFmtId="179" fontId="149" fillId="12" borderId="0" applyNumberFormat="0" applyBorder="0" applyAlignment="0" applyProtection="0"/>
    <xf numFmtId="179" fontId="149" fillId="14" borderId="0" applyNumberFormat="0" applyBorder="0" applyAlignment="0" applyProtection="0"/>
    <xf numFmtId="179" fontId="153" fillId="3" borderId="1" applyNumberFormat="0" applyAlignment="0" applyProtection="0"/>
    <xf numFmtId="179" fontId="154" fillId="8" borderId="8" applyNumberFormat="0" applyAlignment="0" applyProtection="0"/>
    <xf numFmtId="179" fontId="155" fillId="8" borderId="1" applyNumberFormat="0" applyAlignment="0" applyProtection="0"/>
    <xf numFmtId="0" fontId="139"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179" fontId="157" fillId="0" borderId="240" applyNumberFormat="0" applyFill="0" applyAlignment="0" applyProtection="0"/>
    <xf numFmtId="179" fontId="158" fillId="0" borderId="5" applyNumberFormat="0" applyFill="0" applyAlignment="0" applyProtection="0"/>
    <xf numFmtId="179" fontId="159" fillId="0" borderId="9" applyNumberFormat="0" applyFill="0" applyAlignment="0" applyProtection="0"/>
    <xf numFmtId="179" fontId="159" fillId="0" borderId="0" applyNumberFormat="0" applyFill="0" applyBorder="0" applyAlignment="0" applyProtection="0"/>
    <xf numFmtId="179" fontId="133" fillId="0" borderId="241" applyNumberFormat="0" applyFill="0" applyAlignment="0" applyProtection="0"/>
    <xf numFmtId="179" fontId="160" fillId="18" borderId="2" applyNumberFormat="0" applyAlignment="0" applyProtection="0"/>
    <xf numFmtId="179" fontId="161" fillId="0" borderId="0" applyNumberFormat="0" applyFill="0" applyBorder="0" applyAlignment="0" applyProtection="0"/>
    <xf numFmtId="179" fontId="162" fillId="10" borderId="0" applyNumberFormat="0" applyBorder="0" applyAlignment="0" applyProtection="0"/>
    <xf numFmtId="0" fontId="134" fillId="0" borderId="0"/>
    <xf numFmtId="0" fontId="141" fillId="0" borderId="0"/>
    <xf numFmtId="0" fontId="135" fillId="0" borderId="0"/>
    <xf numFmtId="0" fontId="124" fillId="0" borderId="0"/>
    <xf numFmtId="0" fontId="124" fillId="0" borderId="0"/>
    <xf numFmtId="0" fontId="135" fillId="0" borderId="0"/>
    <xf numFmtId="0" fontId="134" fillId="0" borderId="0"/>
    <xf numFmtId="179" fontId="163" fillId="6" borderId="0" applyNumberFormat="0" applyBorder="0" applyAlignment="0" applyProtection="0"/>
    <xf numFmtId="179" fontId="164" fillId="0" borderId="0" applyNumberFormat="0" applyFill="0" applyBorder="0" applyAlignment="0" applyProtection="0"/>
    <xf numFmtId="179" fontId="135" fillId="4" borderId="7" applyNumberFormat="0" applyFont="0" applyAlignment="0" applyProtection="0"/>
    <xf numFmtId="9" fontId="134" fillId="0" borderId="0" applyFont="0" applyFill="0" applyBorder="0" applyAlignment="0" applyProtection="0"/>
    <xf numFmtId="179" fontId="165" fillId="0" borderId="3" applyNumberFormat="0" applyFill="0" applyAlignment="0" applyProtection="0"/>
    <xf numFmtId="179" fontId="166" fillId="0" borderId="0" applyNumberFormat="0" applyFill="0" applyBorder="0" applyAlignment="0" applyProtection="0"/>
    <xf numFmtId="165" fontId="135" fillId="0" borderId="0" applyFont="0" applyFill="0" applyBorder="0" applyAlignment="0" applyProtection="0"/>
    <xf numFmtId="165" fontId="141" fillId="0" borderId="0" applyFont="0" applyFill="0" applyBorder="0" applyAlignment="0" applyProtection="0"/>
    <xf numFmtId="177" fontId="135" fillId="0" borderId="0" applyFont="0" applyFill="0" applyBorder="0" applyAlignment="0" applyProtection="0"/>
    <xf numFmtId="170" fontId="135" fillId="0" borderId="0" applyFont="0" applyFill="0" applyBorder="0" applyAlignment="0" applyProtection="0"/>
    <xf numFmtId="166" fontId="134" fillId="0" borderId="0" applyFont="0" applyFill="0" applyBorder="0" applyAlignment="0" applyProtection="0"/>
    <xf numFmtId="166" fontId="135" fillId="0" borderId="0" applyFont="0" applyFill="0" applyBorder="0" applyAlignment="0" applyProtection="0"/>
    <xf numFmtId="179" fontId="167" fillId="7" borderId="0" applyNumberFormat="0" applyBorder="0" applyAlignment="0" applyProtection="0"/>
    <xf numFmtId="181" fontId="167" fillId="7" borderId="0" applyNumberFormat="0" applyBorder="0" applyAlignment="0" applyProtection="0"/>
    <xf numFmtId="0" fontId="20" fillId="0" borderId="0"/>
    <xf numFmtId="0" fontId="168" fillId="0" borderId="0" applyFill="0" applyBorder="0" applyProtection="0">
      <alignment horizontal="left"/>
    </xf>
  </cellStyleXfs>
  <cellXfs count="1124">
    <xf numFmtId="0" fontId="0" fillId="0" borderId="0" xfId="0"/>
    <xf numFmtId="43" fontId="16" fillId="0" borderId="0" xfId="38" applyFont="1" applyAlignment="1">
      <alignment vertical="center"/>
    </xf>
    <xf numFmtId="43" fontId="22" fillId="0" borderId="0" xfId="38" applyFont="1" applyAlignment="1">
      <alignment vertical="center"/>
    </xf>
    <xf numFmtId="0" fontId="21" fillId="0" borderId="0" xfId="0" applyFont="1"/>
    <xf numFmtId="43" fontId="19" fillId="0" borderId="0" xfId="49" applyFont="1"/>
    <xf numFmtId="43" fontId="19" fillId="0" borderId="0" xfId="49" applyFont="1" applyAlignment="1">
      <alignment horizontal="center"/>
    </xf>
    <xf numFmtId="43" fontId="19" fillId="0" borderId="0" xfId="49" applyFont="1" applyAlignment="1">
      <alignment horizontal="right"/>
    </xf>
    <xf numFmtId="43" fontId="116" fillId="0" borderId="0" xfId="48"/>
    <xf numFmtId="43" fontId="15" fillId="0" borderId="0" xfId="48" applyFont="1"/>
    <xf numFmtId="0" fontId="18" fillId="0" borderId="0" xfId="48" applyNumberFormat="1" applyFont="1"/>
    <xf numFmtId="43" fontId="116" fillId="0" borderId="0" xfId="50"/>
    <xf numFmtId="43" fontId="116" fillId="0" borderId="0" xfId="50" applyAlignment="1">
      <alignment horizontal="left"/>
    </xf>
    <xf numFmtId="0" fontId="15" fillId="0" borderId="0" xfId="0" applyFont="1"/>
    <xf numFmtId="43" fontId="15" fillId="0" borderId="0" xfId="50" applyFont="1"/>
    <xf numFmtId="15" fontId="29" fillId="0" borderId="0" xfId="0" applyNumberFormat="1" applyFont="1" applyAlignment="1" applyProtection="1">
      <alignment horizontal="center" vertical="center" wrapText="1"/>
      <protection locked="0"/>
    </xf>
    <xf numFmtId="43" fontId="28" fillId="0" borderId="0" xfId="0" applyNumberFormat="1" applyFont="1"/>
    <xf numFmtId="168" fontId="28" fillId="0" borderId="0" xfId="62" applyNumberFormat="1" applyFont="1" applyAlignment="1">
      <alignment horizontal="left"/>
    </xf>
    <xf numFmtId="43" fontId="16" fillId="0" borderId="0" xfId="47" applyFont="1" applyAlignment="1">
      <alignment vertical="center"/>
    </xf>
    <xf numFmtId="0" fontId="0" fillId="0" borderId="10" xfId="0" applyBorder="1" applyAlignment="1">
      <alignment horizontal="center"/>
    </xf>
    <xf numFmtId="0" fontId="1" fillId="0" borderId="0" xfId="0" applyFont="1"/>
    <xf numFmtId="0" fontId="42" fillId="0" borderId="0" xfId="0" applyFont="1"/>
    <xf numFmtId="0" fontId="42" fillId="0" borderId="0" xfId="0" applyFont="1" applyAlignment="1">
      <alignment horizontal="right"/>
    </xf>
    <xf numFmtId="0" fontId="45" fillId="0" borderId="0" xfId="0" applyFont="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43" fontId="116" fillId="0" borderId="0" xfId="59" applyFill="1" applyBorder="1" applyAlignment="1" applyProtection="1">
      <alignment vertical="center"/>
      <protection locked="0"/>
    </xf>
    <xf numFmtId="167" fontId="32" fillId="0" borderId="0" xfId="0" applyNumberFormat="1" applyFont="1" applyAlignment="1">
      <alignment horizontal="center"/>
    </xf>
    <xf numFmtId="0" fontId="26" fillId="0" borderId="0" xfId="0" applyFont="1" applyAlignment="1">
      <alignment horizontal="centerContinuous"/>
    </xf>
    <xf numFmtId="0" fontId="0" fillId="0" borderId="0" xfId="0" applyAlignment="1">
      <alignment horizontal="centerContinuous"/>
    </xf>
    <xf numFmtId="43" fontId="38" fillId="0" borderId="0" xfId="59" applyFont="1" applyFill="1" applyBorder="1" applyAlignment="1" applyProtection="1">
      <alignment vertical="center"/>
      <protection locked="0"/>
    </xf>
    <xf numFmtId="0" fontId="0" fillId="0" borderId="10" xfId="0" applyBorder="1"/>
    <xf numFmtId="0" fontId="0" fillId="0" borderId="0" xfId="0" applyAlignment="1">
      <alignment horizontal="center"/>
    </xf>
    <xf numFmtId="22" fontId="0" fillId="0" borderId="0" xfId="0" applyNumberFormat="1"/>
    <xf numFmtId="2" fontId="0" fillId="0" borderId="0" xfId="0" applyNumberFormat="1"/>
    <xf numFmtId="2" fontId="116" fillId="0" borderId="0" xfId="56" applyNumberFormat="1" applyFill="1" applyBorder="1" applyAlignment="1" applyProtection="1">
      <alignment horizontal="center"/>
      <protection locked="0"/>
    </xf>
    <xf numFmtId="0" fontId="15" fillId="0" borderId="0" xfId="0" applyFont="1" applyAlignment="1">
      <alignment horizontal="center"/>
    </xf>
    <xf numFmtId="0" fontId="23" fillId="0" borderId="0" xfId="0" applyFont="1"/>
    <xf numFmtId="0" fontId="15" fillId="0" borderId="0" xfId="0" applyFont="1" applyAlignment="1">
      <alignment horizontal="left" indent="1"/>
    </xf>
    <xf numFmtId="0" fontId="18" fillId="0" borderId="0" xfId="0" applyFont="1" applyAlignment="1">
      <alignment horizontal="left" indent="1"/>
    </xf>
    <xf numFmtId="43" fontId="68" fillId="0" borderId="0" xfId="48" applyFont="1"/>
    <xf numFmtId="43" fontId="68" fillId="0" borderId="0" xfId="50" applyFont="1"/>
    <xf numFmtId="0" fontId="68" fillId="0" borderId="10" xfId="0" applyFont="1" applyBorder="1" applyAlignment="1">
      <alignment horizontal="center"/>
    </xf>
    <xf numFmtId="0" fontId="68" fillId="0" borderId="10" xfId="0" applyFont="1" applyBorder="1"/>
    <xf numFmtId="43" fontId="68" fillId="0" borderId="10" xfId="50" applyFont="1" applyBorder="1"/>
    <xf numFmtId="0" fontId="69" fillId="0" borderId="10" xfId="0" applyFont="1" applyBorder="1" applyAlignment="1">
      <alignment horizontal="left" indent="1"/>
    </xf>
    <xf numFmtId="0" fontId="70"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0" fontId="15" fillId="20" borderId="11" xfId="0" applyFont="1" applyFill="1" applyBorder="1"/>
    <xf numFmtId="9" fontId="15" fillId="20" borderId="11" xfId="61" applyFont="1" applyFill="1" applyBorder="1" applyAlignment="1">
      <alignment horizontal="center"/>
    </xf>
    <xf numFmtId="0" fontId="14" fillId="0" borderId="0" xfId="0" applyFont="1"/>
    <xf numFmtId="0" fontId="77" fillId="19" borderId="12" xfId="0" applyFont="1" applyFill="1" applyBorder="1" applyAlignment="1">
      <alignment vertical="center"/>
    </xf>
    <xf numFmtId="0" fontId="75" fillId="0" borderId="0" xfId="52" applyFont="1" applyAlignment="1">
      <alignment horizontal="center" vertical="center" wrapText="1"/>
    </xf>
    <xf numFmtId="15" fontId="0" fillId="0" borderId="0" xfId="0" applyNumberFormat="1" applyAlignment="1">
      <alignment horizontal="center"/>
    </xf>
    <xf numFmtId="1" fontId="21" fillId="0" borderId="0" xfId="0" applyNumberFormat="1" applyFont="1" applyAlignment="1">
      <alignment horizontal="center"/>
    </xf>
    <xf numFmtId="1" fontId="80" fillId="20" borderId="0" xfId="0" applyNumberFormat="1" applyFont="1" applyFill="1" applyAlignment="1">
      <alignment horizontal="center"/>
    </xf>
    <xf numFmtId="0" fontId="80" fillId="0" borderId="0" xfId="0" applyFont="1" applyAlignment="1">
      <alignment horizontal="left"/>
    </xf>
    <xf numFmtId="0" fontId="81" fillId="0" borderId="0" xfId="0" applyFont="1"/>
    <xf numFmtId="43" fontId="38" fillId="0" borderId="0" xfId="59" applyFont="1" applyFill="1" applyBorder="1" applyAlignment="1" applyProtection="1">
      <alignment horizontal="center" vertical="center"/>
      <protection locked="0"/>
    </xf>
    <xf numFmtId="15" fontId="0" fillId="0" borderId="0" xfId="0" applyNumberFormat="1"/>
    <xf numFmtId="43" fontId="31" fillId="0" borderId="14" xfId="59" applyFont="1" applyBorder="1" applyAlignment="1" applyProtection="1"/>
    <xf numFmtId="43" fontId="116" fillId="0" borderId="14" xfId="59" applyFill="1" applyBorder="1" applyAlignment="1" applyProtection="1">
      <alignment vertical="center"/>
    </xf>
    <xf numFmtId="43" fontId="31" fillId="0" borderId="0" xfId="59" applyFont="1" applyBorder="1" applyAlignment="1" applyProtection="1"/>
    <xf numFmtId="43" fontId="116" fillId="0" borderId="0" xfId="59" applyFill="1" applyBorder="1" applyAlignment="1" applyProtection="1">
      <alignment vertical="center"/>
    </xf>
    <xf numFmtId="0" fontId="32" fillId="0" borderId="15" xfId="0" applyFont="1" applyBorder="1" applyAlignment="1">
      <alignment horizontal="center"/>
    </xf>
    <xf numFmtId="15" fontId="32" fillId="0" borderId="16" xfId="0" applyNumberFormat="1" applyFont="1" applyBorder="1" applyAlignment="1">
      <alignment horizontal="center"/>
    </xf>
    <xf numFmtId="0" fontId="32" fillId="0" borderId="17" xfId="0" applyFont="1" applyBorder="1" applyAlignment="1">
      <alignment horizontal="center"/>
    </xf>
    <xf numFmtId="168" fontId="15" fillId="0" borderId="0" xfId="0" applyNumberFormat="1" applyFont="1"/>
    <xf numFmtId="0" fontId="6" fillId="0" borderId="0" xfId="0" applyFont="1" applyAlignment="1">
      <alignment horizontal="centerContinuous"/>
    </xf>
    <xf numFmtId="10" fontId="6" fillId="0" borderId="0" xfId="61" applyNumberFormat="1" applyFont="1" applyFill="1" applyBorder="1" applyAlignment="1" applyProtection="1">
      <alignment horizontal="center"/>
    </xf>
    <xf numFmtId="0" fontId="6" fillId="0" borderId="0" xfId="0" applyFont="1"/>
    <xf numFmtId="0" fontId="26" fillId="0" borderId="0" xfId="0" applyFont="1" applyAlignment="1">
      <alignment horizontal="centerContinuous" wrapText="1"/>
    </xf>
    <xf numFmtId="43" fontId="37" fillId="0" borderId="18" xfId="59" applyFont="1" applyBorder="1" applyAlignment="1" applyProtection="1"/>
    <xf numFmtId="43" fontId="38" fillId="0" borderId="18" xfId="59" applyFont="1" applyFill="1" applyBorder="1" applyAlignment="1" applyProtection="1">
      <alignment vertical="center"/>
    </xf>
    <xf numFmtId="43" fontId="38" fillId="0" borderId="0" xfId="59" applyFont="1" applyFill="1" applyBorder="1" applyAlignment="1" applyProtection="1">
      <alignment vertical="center"/>
    </xf>
    <xf numFmtId="43" fontId="37" fillId="0" borderId="0" xfId="59" applyFont="1" applyBorder="1" applyAlignment="1" applyProtection="1"/>
    <xf numFmtId="43" fontId="39" fillId="0" borderId="0" xfId="59" applyFont="1" applyFill="1" applyBorder="1" applyAlignment="1" applyProtection="1">
      <alignment vertical="center"/>
    </xf>
    <xf numFmtId="0" fontId="14" fillId="0" borderId="0" xfId="0" applyFont="1" applyAlignment="1">
      <alignment horizontal="center"/>
    </xf>
    <xf numFmtId="0" fontId="14" fillId="0" borderId="19" xfId="0" applyFont="1" applyBorder="1" applyAlignment="1">
      <alignment horizontal="center"/>
    </xf>
    <xf numFmtId="0" fontId="14" fillId="0" borderId="19" xfId="0" applyFont="1" applyBorder="1" applyAlignment="1">
      <alignment horizontal="center" wrapText="1"/>
    </xf>
    <xf numFmtId="1" fontId="21" fillId="20" borderId="20" xfId="0" applyNumberFormat="1" applyFont="1" applyFill="1" applyBorder="1" applyAlignment="1">
      <alignment horizontal="center"/>
    </xf>
    <xf numFmtId="1" fontId="21" fillId="20" borderId="22" xfId="0" applyNumberFormat="1" applyFont="1" applyFill="1" applyBorder="1" applyAlignment="1">
      <alignment horizontal="center"/>
    </xf>
    <xf numFmtId="0" fontId="0" fillId="0" borderId="24" xfId="0" applyBorder="1" applyAlignment="1">
      <alignment horizontal="center"/>
    </xf>
    <xf numFmtId="0" fontId="0" fillId="0" borderId="0" xfId="0" applyAlignment="1">
      <alignment horizontal="center" wrapText="1"/>
    </xf>
    <xf numFmtId="43" fontId="0" fillId="0" borderId="0" xfId="0" applyNumberFormat="1"/>
    <xf numFmtId="43" fontId="67" fillId="0" borderId="25" xfId="59" applyFont="1" applyFill="1" applyBorder="1" applyAlignment="1" applyProtection="1"/>
    <xf numFmtId="43" fontId="38" fillId="0" borderId="25" xfId="59" applyFont="1" applyFill="1" applyBorder="1" applyAlignment="1" applyProtection="1">
      <alignment vertical="center"/>
    </xf>
    <xf numFmtId="168" fontId="28" fillId="0" borderId="0" xfId="62" applyNumberFormat="1" applyFont="1" applyAlignment="1" applyProtection="1">
      <alignment horizontal="left"/>
    </xf>
    <xf numFmtId="15" fontId="28" fillId="0" borderId="0" xfId="0" applyNumberFormat="1" applyFont="1" applyAlignment="1">
      <alignment horizontal="left"/>
    </xf>
    <xf numFmtId="43" fontId="28" fillId="0" borderId="0" xfId="0" applyNumberFormat="1" applyFont="1" applyAlignment="1">
      <alignment horizontal="right"/>
    </xf>
    <xf numFmtId="168" fontId="28" fillId="0" borderId="0" xfId="62" applyNumberFormat="1" applyFont="1" applyBorder="1" applyAlignment="1" applyProtection="1">
      <alignment horizontal="left"/>
    </xf>
    <xf numFmtId="0" fontId="19" fillId="0" borderId="0" xfId="0" applyFont="1" applyAlignment="1">
      <alignment horizontal="center"/>
    </xf>
    <xf numFmtId="0" fontId="34" fillId="0" borderId="0" xfId="0" applyFont="1"/>
    <xf numFmtId="15" fontId="26" fillId="0" borderId="0" xfId="0" applyNumberFormat="1" applyFont="1"/>
    <xf numFmtId="15" fontId="26" fillId="0" borderId="0" xfId="0" applyNumberFormat="1" applyFont="1" applyAlignment="1">
      <alignment horizontal="center" wrapText="1"/>
    </xf>
    <xf numFmtId="0" fontId="26" fillId="0" borderId="0" xfId="0" applyFont="1"/>
    <xf numFmtId="0" fontId="44" fillId="0" borderId="0" xfId="0" applyFont="1" applyAlignment="1">
      <alignment horizontal="left" vertical="center"/>
    </xf>
    <xf numFmtId="0" fontId="44" fillId="0" borderId="0" xfId="0" applyFont="1" applyAlignment="1">
      <alignment horizontal="left"/>
    </xf>
    <xf numFmtId="169" fontId="44" fillId="0" borderId="0" xfId="0" applyNumberFormat="1" applyFont="1" applyAlignment="1">
      <alignment horizontal="left"/>
    </xf>
    <xf numFmtId="0" fontId="46" fillId="0" borderId="0" xfId="0" applyFont="1"/>
    <xf numFmtId="0" fontId="47" fillId="0" borderId="0" xfId="0" applyFont="1"/>
    <xf numFmtId="0" fontId="49" fillId="0" borderId="0" xfId="0" applyFont="1" applyAlignment="1">
      <alignment horizontal="right"/>
    </xf>
    <xf numFmtId="0" fontId="50" fillId="0" borderId="0" xfId="0" applyFont="1" applyAlignment="1">
      <alignment horizontal="center"/>
    </xf>
    <xf numFmtId="0" fontId="34" fillId="0" borderId="0" xfId="0" applyFont="1" applyAlignment="1">
      <alignment horizontal="center" vertical="center"/>
    </xf>
    <xf numFmtId="0" fontId="51" fillId="20" borderId="0" xfId="0" applyFont="1" applyFill="1" applyAlignment="1">
      <alignment horizontal="left" vertical="center"/>
    </xf>
    <xf numFmtId="3" fontId="56" fillId="0" borderId="0" xfId="0" applyNumberFormat="1" applyFont="1" applyAlignment="1">
      <alignment horizontal="right" vertical="center"/>
    </xf>
    <xf numFmtId="0" fontId="57" fillId="20" borderId="0" xfId="0" applyFont="1" applyFill="1" applyAlignment="1">
      <alignment horizontal="left" vertical="center"/>
    </xf>
    <xf numFmtId="171" fontId="51" fillId="20" borderId="0" xfId="0" applyNumberFormat="1" applyFont="1" applyFill="1" applyAlignment="1">
      <alignment vertical="center"/>
    </xf>
    <xf numFmtId="0" fontId="52" fillId="20" borderId="0" xfId="0" applyFont="1" applyFill="1" applyAlignment="1">
      <alignment horizontal="right"/>
    </xf>
    <xf numFmtId="0" fontId="62" fillId="20" borderId="0" xfId="0" applyFont="1" applyFill="1" applyAlignment="1">
      <alignment horizontal="center" vertical="center"/>
    </xf>
    <xf numFmtId="0" fontId="53" fillId="20" borderId="0" xfId="0" applyFont="1" applyFill="1" applyAlignment="1">
      <alignment horizontal="center" vertical="center"/>
    </xf>
    <xf numFmtId="170" fontId="51" fillId="20" borderId="0" xfId="61" applyNumberFormat="1" applyFont="1" applyFill="1" applyBorder="1" applyAlignment="1" applyProtection="1">
      <alignment horizontal="right"/>
    </xf>
    <xf numFmtId="9" fontId="54" fillId="20" borderId="0" xfId="0" applyNumberFormat="1" applyFont="1" applyFill="1"/>
    <xf numFmtId="0" fontId="55" fillId="20" borderId="0" xfId="0" applyFont="1" applyFill="1" applyAlignment="1">
      <alignment horizontal="center" vertical="center"/>
    </xf>
    <xf numFmtId="9" fontId="54" fillId="20" borderId="0" xfId="0" applyNumberFormat="1" applyFont="1" applyFill="1" applyAlignment="1">
      <alignment horizontal="left"/>
    </xf>
    <xf numFmtId="0" fontId="63" fillId="0" borderId="0" xfId="0"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right" vertical="center" indent="1"/>
    </xf>
    <xf numFmtId="0" fontId="52" fillId="0" borderId="27" xfId="0" applyFont="1" applyBorder="1" applyAlignment="1">
      <alignment horizontal="right"/>
    </xf>
    <xf numFmtId="0" fontId="52" fillId="0" borderId="28" xfId="0" applyFont="1" applyBorder="1" applyAlignment="1">
      <alignment horizontal="right"/>
    </xf>
    <xf numFmtId="0" fontId="52" fillId="0" borderId="29" xfId="0" applyFont="1" applyBorder="1" applyAlignment="1">
      <alignment horizontal="right"/>
    </xf>
    <xf numFmtId="0" fontId="61" fillId="0" borderId="0" xfId="0" applyFont="1" applyAlignment="1">
      <alignment horizontal="center"/>
    </xf>
    <xf numFmtId="0" fontId="52" fillId="0" borderId="0" xfId="0" applyFont="1" applyAlignment="1">
      <alignment horizontal="right"/>
    </xf>
    <xf numFmtId="0" fontId="62" fillId="0" borderId="0" xfId="0" applyFont="1" applyAlignment="1">
      <alignment horizontal="center" vertical="center"/>
    </xf>
    <xf numFmtId="9" fontId="65" fillId="0" borderId="0" xfId="0" applyNumberFormat="1" applyFont="1"/>
    <xf numFmtId="9" fontId="65" fillId="0" borderId="0" xfId="0" applyNumberFormat="1" applyFont="1" applyAlignment="1">
      <alignment horizontal="center"/>
    </xf>
    <xf numFmtId="0" fontId="52" fillId="0" borderId="30" xfId="0" applyFont="1" applyBorder="1" applyAlignment="1">
      <alignment horizontal="right"/>
    </xf>
    <xf numFmtId="9" fontId="54" fillId="0" borderId="0" xfId="0" applyNumberFormat="1" applyFont="1"/>
    <xf numFmtId="0" fontId="52" fillId="0" borderId="31" xfId="0" applyFont="1" applyBorder="1" applyAlignment="1">
      <alignment horizontal="right"/>
    </xf>
    <xf numFmtId="0" fontId="52" fillId="0" borderId="32" xfId="0" applyFont="1" applyBorder="1" applyAlignment="1">
      <alignment horizontal="right"/>
    </xf>
    <xf numFmtId="0" fontId="34" fillId="0" borderId="33" xfId="0" applyFont="1" applyBorder="1" applyAlignment="1">
      <alignment vertical="center"/>
    </xf>
    <xf numFmtId="0" fontId="34" fillId="0" borderId="34" xfId="0" applyFont="1" applyBorder="1" applyAlignment="1">
      <alignment vertical="center"/>
    </xf>
    <xf numFmtId="0" fontId="34" fillId="0" borderId="35" xfId="0" applyFont="1" applyBorder="1" applyAlignment="1">
      <alignment vertical="center"/>
    </xf>
    <xf numFmtId="0" fontId="43" fillId="0" borderId="0" xfId="0" applyFont="1"/>
    <xf numFmtId="0" fontId="64" fillId="0" borderId="0" xfId="0" applyFont="1"/>
    <xf numFmtId="0" fontId="58" fillId="0" borderId="0" xfId="0" applyFont="1"/>
    <xf numFmtId="0" fontId="71" fillId="0" borderId="0" xfId="0" applyFont="1" applyAlignment="1">
      <alignment wrapText="1"/>
    </xf>
    <xf numFmtId="0" fontId="68" fillId="0" borderId="0" xfId="0" applyFont="1"/>
    <xf numFmtId="43" fontId="15" fillId="0" borderId="0" xfId="0" applyNumberFormat="1" applyFont="1"/>
    <xf numFmtId="0" fontId="28" fillId="0" borderId="0" xfId="0" applyFont="1" applyAlignment="1">
      <alignment horizontal="center"/>
    </xf>
    <xf numFmtId="15" fontId="28" fillId="0" borderId="0" xfId="0" applyNumberFormat="1" applyFont="1" applyAlignment="1">
      <alignment horizontal="center"/>
    </xf>
    <xf numFmtId="43" fontId="0" fillId="0" borderId="0" xfId="0" applyNumberFormat="1" applyAlignment="1">
      <alignment horizontal="right"/>
    </xf>
    <xf numFmtId="3" fontId="0" fillId="0" borderId="0" xfId="0" applyNumberFormat="1"/>
    <xf numFmtId="43" fontId="36" fillId="0" borderId="0" xfId="0" applyNumberFormat="1" applyFont="1"/>
    <xf numFmtId="168" fontId="6" fillId="0" borderId="0" xfId="62" applyNumberFormat="1" applyFont="1" applyFill="1" applyBorder="1" applyAlignment="1" applyProtection="1">
      <protection locked="0"/>
    </xf>
    <xf numFmtId="168" fontId="6" fillId="0" borderId="0" xfId="62" applyNumberFormat="1" applyFont="1" applyFill="1" applyBorder="1" applyProtection="1">
      <protection locked="0"/>
    </xf>
    <xf numFmtId="0" fontId="15" fillId="20" borderId="0" xfId="0" applyFont="1" applyFill="1"/>
    <xf numFmtId="167" fontId="15" fillId="20" borderId="0" xfId="0" applyNumberFormat="1" applyFont="1" applyFill="1"/>
    <xf numFmtId="168" fontId="15" fillId="20" borderId="0" xfId="0" applyNumberFormat="1" applyFont="1" applyFill="1"/>
    <xf numFmtId="3" fontId="15" fillId="20" borderId="0" xfId="0" applyNumberFormat="1" applyFont="1" applyFill="1"/>
    <xf numFmtId="0" fontId="34" fillId="0" borderId="0" xfId="0" applyFont="1" applyAlignment="1" applyProtection="1">
      <alignment horizontal="left"/>
      <protection locked="0"/>
    </xf>
    <xf numFmtId="43" fontId="17" fillId="0" borderId="0" xfId="46" applyFont="1" applyAlignment="1">
      <alignment horizontal="center" vertical="center"/>
    </xf>
    <xf numFmtId="43" fontId="16" fillId="0" borderId="0" xfId="46" applyFont="1" applyAlignment="1">
      <alignment vertical="center"/>
    </xf>
    <xf numFmtId="0" fontId="82" fillId="0" borderId="0" xfId="0" applyFont="1"/>
    <xf numFmtId="43" fontId="20" fillId="0" borderId="38" xfId="56" applyFont="1" applyBorder="1" applyAlignment="1" applyProtection="1">
      <alignment horizontal="right"/>
    </xf>
    <xf numFmtId="0" fontId="12" fillId="0" borderId="0" xfId="0" applyFont="1"/>
    <xf numFmtId="0" fontId="0" fillId="20" borderId="0" xfId="0" applyFill="1"/>
    <xf numFmtId="0" fontId="0" fillId="20" borderId="39" xfId="0" applyFill="1" applyBorder="1"/>
    <xf numFmtId="43" fontId="88" fillId="0" borderId="0" xfId="0" applyNumberFormat="1" applyFont="1"/>
    <xf numFmtId="0" fontId="88" fillId="0" borderId="0" xfId="0" applyFont="1"/>
    <xf numFmtId="43" fontId="0" fillId="0" borderId="0" xfId="0" quotePrefix="1" applyNumberFormat="1"/>
    <xf numFmtId="0" fontId="34" fillId="0" borderId="40" xfId="0" applyFont="1" applyBorder="1" applyAlignment="1">
      <alignment vertical="center"/>
    </xf>
    <xf numFmtId="43" fontId="116" fillId="0" borderId="0" xfId="51" applyAlignment="1">
      <alignment horizontal="center"/>
    </xf>
    <xf numFmtId="0" fontId="34" fillId="0" borderId="0" xfId="0" quotePrefix="1" applyFont="1"/>
    <xf numFmtId="43" fontId="89" fillId="0" borderId="25" xfId="59" applyFont="1" applyFill="1" applyBorder="1" applyAlignment="1" applyProtection="1"/>
    <xf numFmtId="43" fontId="9" fillId="0" borderId="25" xfId="59" applyFont="1" applyFill="1" applyBorder="1" applyAlignment="1" applyProtection="1">
      <alignment vertical="center"/>
    </xf>
    <xf numFmtId="0" fontId="2" fillId="0" borderId="44" xfId="0" applyFont="1" applyBorder="1" applyAlignment="1">
      <alignment horizontal="center"/>
    </xf>
    <xf numFmtId="43" fontId="91" fillId="0" borderId="25" xfId="59" applyFont="1" applyFill="1" applyBorder="1" applyAlignment="1" applyProtection="1">
      <alignment vertical="center"/>
    </xf>
    <xf numFmtId="0" fontId="90" fillId="0" borderId="0" xfId="0" applyFont="1"/>
    <xf numFmtId="15" fontId="6" fillId="0" borderId="0" xfId="0" applyNumberFormat="1" applyFont="1" applyAlignment="1">
      <alignment horizontal="centerContinuous"/>
    </xf>
    <xf numFmtId="15" fontId="6" fillId="0" borderId="0" xfId="0" applyNumberFormat="1" applyFont="1" applyAlignment="1">
      <alignment horizontal="center"/>
    </xf>
    <xf numFmtId="1" fontId="21" fillId="25" borderId="10" xfId="0" applyNumberFormat="1" applyFont="1" applyFill="1" applyBorder="1" applyAlignment="1" applyProtection="1">
      <alignment horizontal="center"/>
      <protection locked="0"/>
    </xf>
    <xf numFmtId="1" fontId="21" fillId="25" borderId="45" xfId="0" applyNumberFormat="1" applyFont="1" applyFill="1" applyBorder="1" applyAlignment="1" applyProtection="1">
      <alignment horizontal="center"/>
      <protection locked="0"/>
    </xf>
    <xf numFmtId="1" fontId="0" fillId="25" borderId="10" xfId="0" applyNumberFormat="1" applyFill="1" applyBorder="1" applyAlignment="1" applyProtection="1">
      <alignment horizontal="center"/>
      <protection locked="0"/>
    </xf>
    <xf numFmtId="168" fontId="0" fillId="0" borderId="0" xfId="0" applyNumberFormat="1"/>
    <xf numFmtId="0" fontId="94" fillId="0" borderId="0" xfId="0" applyFont="1" applyAlignment="1">
      <alignment horizontal="right"/>
    </xf>
    <xf numFmtId="43" fontId="95" fillId="0" borderId="14" xfId="59" applyFont="1" applyFill="1" applyBorder="1" applyAlignment="1" applyProtection="1">
      <alignment horizontal="left" vertical="center"/>
    </xf>
    <xf numFmtId="0" fontId="94" fillId="0" borderId="0" xfId="0" applyFont="1"/>
    <xf numFmtId="3" fontId="6" fillId="0" borderId="0" xfId="0" applyNumberFormat="1" applyFont="1" applyAlignment="1">
      <alignment horizontal="right"/>
    </xf>
    <xf numFmtId="0" fontId="97" fillId="0" borderId="0" xfId="0" applyFont="1" applyAlignment="1">
      <alignment horizontal="center" wrapText="1"/>
    </xf>
    <xf numFmtId="0" fontId="94" fillId="0" borderId="0" xfId="0" applyFont="1" applyAlignment="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15" fontId="32" fillId="0" borderId="46" xfId="0" applyNumberFormat="1" applyFont="1" applyBorder="1" applyAlignment="1">
      <alignment horizontal="center"/>
    </xf>
    <xf numFmtId="15" fontId="29" fillId="0" borderId="0" xfId="0" applyNumberFormat="1" applyFont="1" applyAlignment="1">
      <alignment horizontal="center" vertical="center" wrapText="1"/>
    </xf>
    <xf numFmtId="43" fontId="101" fillId="0" borderId="0" xfId="38" applyFont="1" applyAlignment="1">
      <alignment vertical="center"/>
    </xf>
    <xf numFmtId="0" fontId="0" fillId="0" borderId="0" xfId="0" applyProtection="1">
      <protection locked="0"/>
    </xf>
    <xf numFmtId="0" fontId="6" fillId="0" borderId="0" xfId="0" applyFont="1" applyProtection="1">
      <protection locked="0"/>
    </xf>
    <xf numFmtId="0" fontId="98" fillId="0" borderId="0" xfId="0" applyFont="1" applyAlignment="1" applyProtection="1">
      <alignment horizontal="left"/>
      <protection locked="0"/>
    </xf>
    <xf numFmtId="0" fontId="96" fillId="0" borderId="0" xfId="0" applyFont="1" applyAlignment="1">
      <alignment horizontal="center" vertical="center"/>
    </xf>
    <xf numFmtId="0" fontId="26" fillId="0" borderId="48" xfId="0" applyFont="1" applyBorder="1"/>
    <xf numFmtId="0" fontId="32" fillId="26" borderId="49" xfId="0" applyFont="1" applyFill="1" applyBorder="1" applyAlignment="1">
      <alignment horizontal="centerContinuous"/>
    </xf>
    <xf numFmtId="15" fontId="99" fillId="0" borderId="37" xfId="0" applyNumberFormat="1" applyFont="1" applyBorder="1" applyAlignment="1">
      <alignment horizontal="center" wrapText="1"/>
    </xf>
    <xf numFmtId="15" fontId="99" fillId="0" borderId="50" xfId="0" applyNumberFormat="1" applyFont="1" applyBorder="1" applyAlignment="1">
      <alignment horizontal="center" wrapText="1"/>
    </xf>
    <xf numFmtId="0" fontId="36" fillId="0" borderId="48" xfId="0" applyFont="1" applyBorder="1" applyAlignment="1">
      <alignment horizontal="center"/>
    </xf>
    <xf numFmtId="0" fontId="36" fillId="0" borderId="51" xfId="0" applyFont="1" applyBorder="1" applyAlignment="1">
      <alignment horizontal="center"/>
    </xf>
    <xf numFmtId="0" fontId="32" fillId="26" borderId="52" xfId="0" applyFont="1" applyFill="1" applyBorder="1" applyAlignment="1">
      <alignment horizontal="centerContinuous"/>
    </xf>
    <xf numFmtId="0" fontId="0" fillId="0" borderId="0" xfId="0" applyAlignment="1" applyProtection="1">
      <alignment horizontal="left" vertical="top"/>
      <protection locked="0"/>
    </xf>
    <xf numFmtId="15" fontId="0" fillId="0" borderId="0" xfId="0" applyNumberFormat="1" applyAlignment="1" applyProtection="1">
      <alignment horizontal="center"/>
      <protection locked="0"/>
    </xf>
    <xf numFmtId="14" fontId="0" fillId="0" borderId="10" xfId="0" applyNumberFormat="1" applyBorder="1" applyAlignment="1" applyProtection="1">
      <alignment horizontal="center"/>
      <protection locked="0"/>
    </xf>
    <xf numFmtId="3" fontId="2" fillId="23" borderId="10" xfId="0" applyNumberFormat="1" applyFont="1" applyFill="1" applyBorder="1" applyAlignment="1" applyProtection="1">
      <alignment horizontal="right" vertical="center"/>
      <protection locked="0"/>
    </xf>
    <xf numFmtId="0" fontId="75" fillId="0" borderId="55" xfId="0" applyFont="1" applyBorder="1" applyAlignment="1">
      <alignment horizontal="center" vertical="center"/>
    </xf>
    <xf numFmtId="0" fontId="24" fillId="0" borderId="0" xfId="0" applyFont="1"/>
    <xf numFmtId="43" fontId="99" fillId="0" borderId="0" xfId="0" applyNumberFormat="1" applyFont="1" applyAlignment="1">
      <alignment vertical="center" wrapText="1"/>
    </xf>
    <xf numFmtId="0" fontId="99" fillId="0" borderId="0" xfId="0" applyFont="1" applyAlignment="1">
      <alignment wrapText="1"/>
    </xf>
    <xf numFmtId="43" fontId="20" fillId="0" borderId="38" xfId="56" applyFont="1" applyFill="1" applyBorder="1" applyAlignment="1" applyProtection="1">
      <alignment horizontal="right"/>
    </xf>
    <xf numFmtId="0" fontId="28" fillId="0" borderId="0" xfId="0" applyFont="1" applyAlignment="1">
      <alignment wrapText="1"/>
    </xf>
    <xf numFmtId="0" fontId="0" fillId="0" borderId="25" xfId="0" applyBorder="1"/>
    <xf numFmtId="9" fontId="15" fillId="0" borderId="0" xfId="61" applyFont="1" applyProtection="1"/>
    <xf numFmtId="43" fontId="24" fillId="25" borderId="38" xfId="56" applyFont="1" applyFill="1" applyBorder="1" applyAlignment="1" applyProtection="1">
      <alignment horizontal="center" vertical="center"/>
    </xf>
    <xf numFmtId="15" fontId="24" fillId="25" borderId="38" xfId="56" applyNumberFormat="1" applyFont="1" applyFill="1" applyBorder="1" applyAlignment="1" applyProtection="1">
      <alignment horizontal="center" vertical="center"/>
    </xf>
    <xf numFmtId="0" fontId="30" fillId="22" borderId="0" xfId="0" applyFont="1" applyFill="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xf numFmtId="3" fontId="0" fillId="25" borderId="10" xfId="0" applyNumberFormat="1" applyFill="1" applyBorder="1" applyAlignment="1" applyProtection="1">
      <alignment horizontal="right" wrapText="1"/>
      <protection locked="0"/>
    </xf>
    <xf numFmtId="3" fontId="0" fillId="0" borderId="10" xfId="0" applyNumberFormat="1" applyBorder="1" applyAlignment="1">
      <alignment horizontal="right" wrapText="1"/>
    </xf>
    <xf numFmtId="173" fontId="21" fillId="20" borderId="0" xfId="0" applyNumberFormat="1" applyFont="1" applyFill="1"/>
    <xf numFmtId="4" fontId="0" fillId="0" borderId="0" xfId="0" applyNumberFormat="1" applyProtection="1">
      <protection locked="0"/>
    </xf>
    <xf numFmtId="4" fontId="0" fillId="0" borderId="0" xfId="0" applyNumberFormat="1"/>
    <xf numFmtId="167" fontId="32" fillId="19" borderId="59" xfId="0" applyNumberFormat="1" applyFont="1" applyFill="1" applyBorder="1" applyAlignment="1" applyProtection="1">
      <alignment horizontal="center"/>
      <protection locked="0"/>
    </xf>
    <xf numFmtId="167" fontId="32" fillId="19" borderId="60" xfId="0" applyNumberFormat="1" applyFont="1" applyFill="1" applyBorder="1" applyAlignment="1" applyProtection="1">
      <alignment horizontal="center"/>
      <protection locked="0"/>
    </xf>
    <xf numFmtId="167" fontId="32" fillId="19" borderId="61" xfId="0" applyNumberFormat="1" applyFont="1" applyFill="1" applyBorder="1" applyAlignment="1" applyProtection="1">
      <alignment horizontal="center"/>
      <protection locked="0"/>
    </xf>
    <xf numFmtId="167" fontId="32" fillId="19" borderId="62" xfId="0" applyNumberFormat="1" applyFont="1" applyFill="1" applyBorder="1" applyAlignment="1" applyProtection="1">
      <alignment horizontal="center"/>
      <protection locked="0"/>
    </xf>
    <xf numFmtId="0" fontId="0" fillId="0" borderId="0" xfId="0" applyAlignment="1">
      <alignment horizontal="left" wrapText="1"/>
    </xf>
    <xf numFmtId="43" fontId="35" fillId="0" borderId="0" xfId="0" applyNumberFormat="1" applyFont="1"/>
    <xf numFmtId="0" fontId="0" fillId="0" borderId="0" xfId="0" applyAlignment="1">
      <alignment horizontal="left"/>
    </xf>
    <xf numFmtId="3" fontId="28" fillId="26" borderId="59" xfId="0" applyNumberFormat="1" applyFont="1" applyFill="1" applyBorder="1" applyProtection="1">
      <protection locked="0"/>
    </xf>
    <xf numFmtId="3" fontId="28" fillId="26" borderId="64" xfId="0" applyNumberFormat="1" applyFont="1" applyFill="1" applyBorder="1" applyProtection="1">
      <protection locked="0"/>
    </xf>
    <xf numFmtId="3" fontId="28" fillId="0" borderId="10" xfId="0" applyNumberFormat="1" applyFont="1" applyBorder="1"/>
    <xf numFmtId="3" fontId="28" fillId="0" borderId="58" xfId="0" applyNumberFormat="1" applyFont="1" applyBorder="1"/>
    <xf numFmtId="167" fontId="14" fillId="19" borderId="65" xfId="0" applyNumberFormat="1" applyFont="1" applyFill="1" applyBorder="1" applyAlignment="1" applyProtection="1">
      <alignment horizontal="center"/>
      <protection locked="0"/>
    </xf>
    <xf numFmtId="0" fontId="0" fillId="26" borderId="10" xfId="0" applyFill="1" applyBorder="1"/>
    <xf numFmtId="0" fontId="0" fillId="25" borderId="10" xfId="0" applyFill="1" applyBorder="1"/>
    <xf numFmtId="49" fontId="26" fillId="0" borderId="67" xfId="0" applyNumberFormat="1" applyFont="1" applyBorder="1" applyProtection="1">
      <protection locked="0"/>
    </xf>
    <xf numFmtId="0" fontId="0" fillId="0" borderId="69" xfId="0" applyBorder="1"/>
    <xf numFmtId="0" fontId="0" fillId="0" borderId="72" xfId="0" applyBorder="1"/>
    <xf numFmtId="49" fontId="82" fillId="0" borderId="10" xfId="0" applyNumberFormat="1" applyFont="1" applyBorder="1" applyAlignment="1" applyProtection="1">
      <alignment horizontal="center"/>
      <protection locked="0"/>
    </xf>
    <xf numFmtId="0" fontId="75" fillId="0" borderId="74" xfId="0" applyFont="1" applyBorder="1" applyAlignment="1">
      <alignment horizontal="center" vertical="center" wrapText="1"/>
    </xf>
    <xf numFmtId="0" fontId="75" fillId="0" borderId="75" xfId="0" applyFont="1" applyBorder="1" applyAlignment="1">
      <alignment horizontal="center"/>
    </xf>
    <xf numFmtId="0" fontId="75" fillId="0" borderId="76" xfId="0" applyFont="1" applyBorder="1" applyAlignment="1">
      <alignment horizontal="center"/>
    </xf>
    <xf numFmtId="0" fontId="75" fillId="0" borderId="77" xfId="0" applyFont="1" applyBorder="1" applyAlignment="1">
      <alignment horizontal="center"/>
    </xf>
    <xf numFmtId="0" fontId="75" fillId="0" borderId="78" xfId="0" applyFont="1" applyBorder="1" applyAlignment="1">
      <alignment horizontal="center"/>
    </xf>
    <xf numFmtId="0" fontId="75" fillId="0" borderId="78" xfId="0" applyFont="1" applyBorder="1" applyAlignment="1">
      <alignment horizontal="center" vertical="center"/>
    </xf>
    <xf numFmtId="0" fontId="75" fillId="0" borderId="79" xfId="0" applyFont="1" applyBorder="1" applyAlignment="1">
      <alignment horizontal="center" vertical="center"/>
    </xf>
    <xf numFmtId="0" fontId="79" fillId="0" borderId="80" xfId="0" applyFont="1" applyBorder="1" applyAlignment="1">
      <alignment horizontal="center" vertical="center"/>
    </xf>
    <xf numFmtId="0" fontId="79" fillId="0" borderId="81" xfId="0" applyFont="1" applyBorder="1" applyAlignment="1">
      <alignment horizontal="center" vertical="center"/>
    </xf>
    <xf numFmtId="0" fontId="79" fillId="0" borderId="82" xfId="0" applyFont="1" applyBorder="1" applyAlignment="1">
      <alignment horizontal="center" vertical="center"/>
    </xf>
    <xf numFmtId="0" fontId="0" fillId="0" borderId="19" xfId="0" applyBorder="1" applyAlignment="1">
      <alignment horizontal="center"/>
    </xf>
    <xf numFmtId="0" fontId="14" fillId="0" borderId="19" xfId="0" applyFont="1" applyBorder="1" applyAlignment="1">
      <alignment horizontal="center" vertical="center" wrapText="1"/>
    </xf>
    <xf numFmtId="0" fontId="14" fillId="0" borderId="24" xfId="0" applyFont="1" applyBorder="1" applyAlignment="1">
      <alignment horizontal="center" vertical="center"/>
    </xf>
    <xf numFmtId="0" fontId="75" fillId="0" borderId="83" xfId="0" applyFont="1" applyBorder="1" applyAlignment="1">
      <alignment horizontal="center" vertical="center" wrapText="1"/>
    </xf>
    <xf numFmtId="3" fontId="24" fillId="25" borderId="38" xfId="56" applyNumberFormat="1" applyFont="1" applyFill="1" applyBorder="1" applyAlignment="1" applyProtection="1">
      <alignment horizontal="center" wrapText="1"/>
    </xf>
    <xf numFmtId="14" fontId="24" fillId="25" borderId="38" xfId="56" applyNumberFormat="1" applyFont="1" applyFill="1" applyBorder="1" applyAlignment="1" applyProtection="1">
      <alignment horizontal="center" vertical="center" wrapText="1"/>
    </xf>
    <xf numFmtId="174" fontId="24" fillId="25" borderId="38" xfId="56" applyNumberFormat="1" applyFont="1" applyFill="1" applyBorder="1" applyAlignment="1" applyProtection="1">
      <alignment horizontal="center" wrapText="1"/>
    </xf>
    <xf numFmtId="43" fontId="1" fillId="0" borderId="38" xfId="56" applyFont="1" applyBorder="1" applyAlignment="1" applyProtection="1">
      <alignment horizontal="right" vertical="center"/>
    </xf>
    <xf numFmtId="43" fontId="1" fillId="0" borderId="38" xfId="56" applyFont="1" applyBorder="1" applyAlignment="1" applyProtection="1">
      <alignment horizontal="right" vertical="center" wrapText="1"/>
    </xf>
    <xf numFmtId="43" fontId="28" fillId="0" borderId="0" xfId="0" applyNumberFormat="1" applyFont="1" applyAlignment="1">
      <alignment horizontal="right" wrapText="1"/>
    </xf>
    <xf numFmtId="49" fontId="25" fillId="0" borderId="84" xfId="0" applyNumberFormat="1" applyFont="1" applyBorder="1" applyAlignment="1">
      <alignment vertical="center" wrapText="1"/>
    </xf>
    <xf numFmtId="0" fontId="0" fillId="0" borderId="0" xfId="0" applyAlignment="1">
      <alignment vertical="center" wrapText="1"/>
    </xf>
    <xf numFmtId="43" fontId="28" fillId="0" borderId="0" xfId="0" applyNumberFormat="1" applyFont="1" applyAlignment="1">
      <alignment horizontal="right" vertical="center" wrapText="1"/>
    </xf>
    <xf numFmtId="0" fontId="33" fillId="0" borderId="0" xfId="0" applyFont="1"/>
    <xf numFmtId="0" fontId="30" fillId="0" borderId="0" xfId="0" applyFont="1" applyAlignment="1" applyProtection="1">
      <alignment horizontal="left" wrapText="1"/>
      <protection locked="0"/>
    </xf>
    <xf numFmtId="43" fontId="1" fillId="0" borderId="38" xfId="56" applyFont="1" applyBorder="1" applyAlignment="1" applyProtection="1">
      <alignment horizontal="right" wrapText="1"/>
    </xf>
    <xf numFmtId="43" fontId="28" fillId="0" borderId="38" xfId="56" applyFont="1" applyBorder="1" applyAlignment="1" applyProtection="1">
      <alignment horizontal="center"/>
    </xf>
    <xf numFmtId="43" fontId="34" fillId="0" borderId="0" xfId="0" applyNumberFormat="1" applyFont="1" applyAlignment="1">
      <alignment horizontal="center" wrapText="1"/>
    </xf>
    <xf numFmtId="43" fontId="112" fillId="0" borderId="0" xfId="0" applyNumberFormat="1" applyFont="1" applyAlignment="1">
      <alignment horizontal="right"/>
    </xf>
    <xf numFmtId="43" fontId="34" fillId="0" borderId="0" xfId="0" applyNumberFormat="1" applyFont="1" applyAlignment="1">
      <alignment horizontal="left" vertical="center" wrapText="1"/>
    </xf>
    <xf numFmtId="43" fontId="34" fillId="0" borderId="0" xfId="0" applyNumberFormat="1" applyFont="1" applyAlignment="1">
      <alignment horizontal="left" wrapText="1"/>
    </xf>
    <xf numFmtId="0" fontId="0" fillId="0" borderId="87" xfId="0" applyBorder="1"/>
    <xf numFmtId="0" fontId="0" fillId="0" borderId="21" xfId="0" applyBorder="1" applyAlignment="1">
      <alignment horizontal="center"/>
    </xf>
    <xf numFmtId="3" fontId="2" fillId="28"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2" fillId="28" borderId="10" xfId="0" applyNumberFormat="1" applyFont="1" applyFill="1" applyBorder="1" applyAlignment="1" applyProtection="1">
      <alignment horizontal="right" vertical="center"/>
      <protection locked="0"/>
    </xf>
    <xf numFmtId="0" fontId="79" fillId="0" borderId="93" xfId="0" applyFont="1" applyBorder="1" applyAlignment="1">
      <alignment horizontal="center" vertical="center"/>
    </xf>
    <xf numFmtId="0" fontId="35" fillId="0" borderId="10" xfId="0" applyFont="1" applyBorder="1" applyAlignment="1">
      <alignment horizontal="center" vertical="center" wrapText="1"/>
    </xf>
    <xf numFmtId="3" fontId="117" fillId="0" borderId="41" xfId="0" applyNumberFormat="1" applyFont="1" applyBorder="1" applyAlignment="1" applyProtection="1">
      <alignment horizontal="center" vertical="center" wrapText="1"/>
      <protection locked="0"/>
    </xf>
    <xf numFmtId="9" fontId="120" fillId="27" borderId="10" xfId="61" applyFont="1" applyFill="1" applyBorder="1" applyAlignment="1" applyProtection="1">
      <alignment horizontal="center" vertical="center" wrapText="1"/>
    </xf>
    <xf numFmtId="14" fontId="0" fillId="0" borderId="10" xfId="56" applyNumberFormat="1" applyFont="1" applyFill="1" applyBorder="1" applyAlignment="1" applyProtection="1">
      <alignment horizontal="center"/>
      <protection locked="0"/>
    </xf>
    <xf numFmtId="15" fontId="26" fillId="0" borderId="88" xfId="0" applyNumberFormat="1" applyFont="1" applyBorder="1" applyAlignment="1">
      <alignment horizontal="center"/>
    </xf>
    <xf numFmtId="0" fontId="0" fillId="0" borderId="0" xfId="0" applyAlignment="1">
      <alignment wrapText="1"/>
    </xf>
    <xf numFmtId="3" fontId="0" fillId="0" borderId="0" xfId="0" quotePrefix="1" applyNumberFormat="1"/>
    <xf numFmtId="0" fontId="25" fillId="0" borderId="119" xfId="0" applyFont="1" applyBorder="1" applyAlignment="1">
      <alignment vertical="distributed"/>
    </xf>
    <xf numFmtId="15" fontId="27" fillId="0" borderId="224" xfId="0" applyNumberFormat="1" applyFont="1" applyBorder="1" applyAlignment="1">
      <alignment horizontal="center" vertical="center" wrapText="1"/>
    </xf>
    <xf numFmtId="15" fontId="27" fillId="0" borderId="225" xfId="0" applyNumberFormat="1" applyFont="1" applyBorder="1" applyAlignment="1">
      <alignment horizontal="center" vertical="center" wrapText="1"/>
    </xf>
    <xf numFmtId="0" fontId="6" fillId="0" borderId="48" xfId="0" applyFont="1" applyBorder="1"/>
    <xf numFmtId="0" fontId="6" fillId="0" borderId="51" xfId="0" applyFont="1" applyBorder="1"/>
    <xf numFmtId="3" fontId="6" fillId="0" borderId="49" xfId="62" applyNumberFormat="1" applyFont="1" applyFill="1" applyBorder="1" applyAlignment="1" applyProtection="1"/>
    <xf numFmtId="3" fontId="6" fillId="0" borderId="52" xfId="62" applyNumberFormat="1" applyFont="1" applyFill="1" applyBorder="1" applyAlignment="1" applyProtection="1"/>
    <xf numFmtId="0" fontId="0" fillId="0" borderId="37" xfId="0" applyBorder="1"/>
    <xf numFmtId="0" fontId="0" fillId="0" borderId="63" xfId="0" applyBorder="1" applyAlignment="1">
      <alignment horizontal="center"/>
    </xf>
    <xf numFmtId="0" fontId="0" fillId="0" borderId="53" xfId="0" applyBorder="1" applyAlignment="1">
      <alignment horizontal="center"/>
    </xf>
    <xf numFmtId="3" fontId="2" fillId="23" borderId="10" xfId="0" applyNumberFormat="1" applyFont="1" applyFill="1" applyBorder="1" applyAlignment="1" applyProtection="1">
      <alignment vertical="center" wrapText="1"/>
      <protection locked="0"/>
    </xf>
    <xf numFmtId="4" fontId="28" fillId="26" borderId="59" xfId="0" applyNumberFormat="1" applyFont="1" applyFill="1" applyBorder="1" applyProtection="1">
      <protection locked="0"/>
    </xf>
    <xf numFmtId="4" fontId="1" fillId="37" borderId="66" xfId="62" applyNumberFormat="1" applyFont="1" applyFill="1" applyBorder="1" applyProtection="1">
      <protection locked="0"/>
    </xf>
    <xf numFmtId="15" fontId="26" fillId="0" borderId="53" xfId="0" applyNumberFormat="1" applyFont="1" applyBorder="1"/>
    <xf numFmtId="15" fontId="26" fillId="0" borderId="205" xfId="0" applyNumberFormat="1" applyFont="1" applyBorder="1" applyAlignment="1">
      <alignment horizontal="center"/>
    </xf>
    <xf numFmtId="0" fontId="26" fillId="0" borderId="51" xfId="0" applyFont="1" applyBorder="1"/>
    <xf numFmtId="0" fontId="0" fillId="0" borderId="57" xfId="0" applyBorder="1"/>
    <xf numFmtId="15" fontId="27" fillId="0" borderId="105" xfId="0" applyNumberFormat="1" applyFont="1" applyBorder="1" applyAlignment="1">
      <alignment horizontal="center" vertical="center" wrapText="1"/>
    </xf>
    <xf numFmtId="3" fontId="0" fillId="26" borderId="68" xfId="62" applyNumberFormat="1" applyFont="1" applyFill="1" applyBorder="1" applyProtection="1">
      <protection locked="0"/>
    </xf>
    <xf numFmtId="49" fontId="125" fillId="38" borderId="41" xfId="0" applyNumberFormat="1" applyFont="1" applyFill="1" applyBorder="1" applyAlignment="1">
      <alignment horizontal="center" vertical="center" wrapText="1"/>
    </xf>
    <xf numFmtId="3" fontId="126" fillId="0" borderId="10" xfId="0" applyNumberFormat="1" applyFont="1" applyBorder="1"/>
    <xf numFmtId="3" fontId="126" fillId="0" borderId="58" xfId="0" applyNumberFormat="1" applyFont="1" applyBorder="1"/>
    <xf numFmtId="3" fontId="126" fillId="26" borderId="59" xfId="0" applyNumberFormat="1" applyFont="1" applyFill="1" applyBorder="1" applyProtection="1">
      <protection locked="0"/>
    </xf>
    <xf numFmtId="4" fontId="126" fillId="26" borderId="59" xfId="0" applyNumberFormat="1" applyFont="1" applyFill="1" applyBorder="1" applyProtection="1">
      <protection locked="0"/>
    </xf>
    <xf numFmtId="43" fontId="28" fillId="26" borderId="59" xfId="62" applyFont="1" applyFill="1" applyBorder="1" applyAlignment="1" applyProtection="1">
      <protection locked="0"/>
    </xf>
    <xf numFmtId="43" fontId="28" fillId="0" borderId="10" xfId="62" applyFont="1" applyFill="1" applyBorder="1" applyAlignment="1" applyProtection="1"/>
    <xf numFmtId="43" fontId="28" fillId="0" borderId="58" xfId="62" applyFont="1" applyFill="1" applyBorder="1" applyAlignment="1" applyProtection="1"/>
    <xf numFmtId="3" fontId="21" fillId="26" borderId="10" xfId="62" applyNumberFormat="1" applyFont="1" applyFill="1" applyBorder="1" applyAlignment="1" applyProtection="1">
      <protection locked="0"/>
    </xf>
    <xf numFmtId="1" fontId="0" fillId="26" borderId="10" xfId="0" applyNumberFormat="1" applyFill="1" applyBorder="1" applyAlignment="1" applyProtection="1">
      <alignment horizontal="center"/>
      <protection locked="0"/>
    </xf>
    <xf numFmtId="1" fontId="0" fillId="26" borderId="58" xfId="0" applyNumberFormat="1" applyFill="1" applyBorder="1" applyAlignment="1" applyProtection="1">
      <alignment horizontal="center"/>
      <protection locked="0"/>
    </xf>
    <xf numFmtId="43" fontId="127" fillId="0" borderId="25" xfId="59" applyFont="1" applyFill="1" applyBorder="1" applyAlignment="1" applyProtection="1">
      <alignment vertical="center"/>
    </xf>
    <xf numFmtId="43" fontId="128" fillId="0" borderId="25" xfId="59" applyFont="1" applyFill="1" applyBorder="1" applyAlignment="1" applyProtection="1">
      <alignment vertical="center"/>
    </xf>
    <xf numFmtId="0" fontId="128" fillId="0" borderId="25" xfId="0" applyFont="1" applyBorder="1"/>
    <xf numFmtId="0" fontId="128" fillId="22" borderId="92" xfId="0" applyFont="1" applyFill="1" applyBorder="1"/>
    <xf numFmtId="0" fontId="129" fillId="0" borderId="10" xfId="0" applyFont="1" applyBorder="1" applyAlignment="1">
      <alignment horizontal="center"/>
    </xf>
    <xf numFmtId="3" fontId="129" fillId="22" borderId="10" xfId="0" applyNumberFormat="1" applyFont="1" applyFill="1" applyBorder="1" applyAlignment="1" applyProtection="1">
      <alignment vertical="center"/>
      <protection locked="0"/>
    </xf>
    <xf numFmtId="3" fontId="129" fillId="22" borderId="10" xfId="0" applyNumberFormat="1" applyFont="1" applyFill="1" applyBorder="1" applyAlignment="1" applyProtection="1">
      <alignment horizontal="right" vertical="center"/>
      <protection locked="0"/>
    </xf>
    <xf numFmtId="3" fontId="129" fillId="22" borderId="10" xfId="0" applyNumberFormat="1" applyFont="1" applyFill="1" applyBorder="1" applyAlignment="1" applyProtection="1">
      <alignment horizontal="right" vertical="center" wrapText="1"/>
      <protection locked="0"/>
    </xf>
    <xf numFmtId="3" fontId="129" fillId="22" borderId="26" xfId="0" applyNumberFormat="1" applyFont="1" applyFill="1" applyBorder="1" applyAlignment="1" applyProtection="1">
      <alignment vertical="center"/>
      <protection locked="0"/>
    </xf>
    <xf numFmtId="0" fontId="129" fillId="24" borderId="10" xfId="0" applyFont="1" applyFill="1" applyBorder="1" applyAlignment="1">
      <alignment horizontal="center"/>
    </xf>
    <xf numFmtId="3" fontId="129" fillId="28" borderId="10" xfId="0" applyNumberFormat="1" applyFont="1" applyFill="1" applyBorder="1" applyAlignment="1" applyProtection="1">
      <alignment vertical="center"/>
      <protection locked="0"/>
    </xf>
    <xf numFmtId="3" fontId="129" fillId="23" borderId="10" xfId="0" applyNumberFormat="1" applyFont="1" applyFill="1" applyBorder="1" applyAlignment="1" applyProtection="1">
      <alignment vertical="center"/>
      <protection locked="0"/>
    </xf>
    <xf numFmtId="3" fontId="129" fillId="23" borderId="10" xfId="0" applyNumberFormat="1" applyFont="1" applyFill="1" applyBorder="1" applyAlignment="1" applyProtection="1">
      <alignment horizontal="right" vertical="center"/>
      <protection locked="0"/>
    </xf>
    <xf numFmtId="3" fontId="129" fillId="23" borderId="10" xfId="0" applyNumberFormat="1" applyFont="1" applyFill="1" applyBorder="1" applyAlignment="1" applyProtection="1">
      <alignment horizontal="right" vertical="center" wrapText="1"/>
      <protection locked="0"/>
    </xf>
    <xf numFmtId="3" fontId="129" fillId="23" borderId="26" xfId="0" applyNumberFormat="1" applyFont="1" applyFill="1" applyBorder="1" applyAlignment="1" applyProtection="1">
      <alignment vertical="center"/>
      <protection locked="0"/>
    </xf>
    <xf numFmtId="3" fontId="129" fillId="28" borderId="10" xfId="0" applyNumberFormat="1" applyFont="1" applyFill="1" applyBorder="1" applyAlignment="1" applyProtection="1">
      <alignment horizontal="right" vertical="center"/>
      <protection locked="0"/>
    </xf>
    <xf numFmtId="9" fontId="129" fillId="28" borderId="10" xfId="0" applyNumberFormat="1" applyFont="1" applyFill="1" applyBorder="1" applyAlignment="1" applyProtection="1">
      <alignment horizontal="right" vertical="center"/>
      <protection locked="0"/>
    </xf>
    <xf numFmtId="3" fontId="129" fillId="28" borderId="10" xfId="0" applyNumberFormat="1" applyFont="1" applyFill="1" applyBorder="1" applyAlignment="1" applyProtection="1">
      <alignment horizontal="right" vertical="center" wrapText="1"/>
      <protection locked="0"/>
    </xf>
    <xf numFmtId="3" fontId="129" fillId="28" borderId="26" xfId="0" applyNumberFormat="1" applyFont="1" applyFill="1" applyBorder="1" applyAlignment="1" applyProtection="1">
      <alignment vertical="center"/>
      <protection locked="0"/>
    </xf>
    <xf numFmtId="3" fontId="129" fillId="29" borderId="10" xfId="0" applyNumberFormat="1" applyFont="1" applyFill="1" applyBorder="1" applyAlignment="1" applyProtection="1">
      <alignment vertical="center"/>
      <protection locked="0"/>
    </xf>
    <xf numFmtId="3" fontId="129" fillId="29" borderId="10" xfId="0" applyNumberFormat="1" applyFont="1" applyFill="1" applyBorder="1" applyAlignment="1" applyProtection="1">
      <alignment horizontal="right" vertical="center"/>
      <protection locked="0"/>
    </xf>
    <xf numFmtId="3" fontId="129" fillId="29" borderId="10" xfId="0" applyNumberFormat="1" applyFont="1" applyFill="1" applyBorder="1" applyAlignment="1" applyProtection="1">
      <alignment horizontal="right" vertical="center" wrapText="1"/>
      <protection locked="0"/>
    </xf>
    <xf numFmtId="3" fontId="129" fillId="29" borderId="26" xfId="0" applyNumberFormat="1" applyFont="1" applyFill="1" applyBorder="1" applyAlignment="1" applyProtection="1">
      <alignment vertical="center"/>
      <protection locked="0"/>
    </xf>
    <xf numFmtId="3" fontId="129" fillId="28" borderId="26" xfId="0" applyNumberFormat="1" applyFont="1" applyFill="1" applyBorder="1" applyAlignment="1" applyProtection="1">
      <alignment horizontal="right" vertical="center"/>
      <protection locked="0"/>
    </xf>
    <xf numFmtId="9" fontId="129" fillId="29" borderId="10" xfId="0" applyNumberFormat="1" applyFont="1" applyFill="1" applyBorder="1" applyAlignment="1" applyProtection="1">
      <alignment horizontal="right" vertical="center"/>
      <protection locked="0"/>
    </xf>
    <xf numFmtId="3" fontId="129" fillId="0" borderId="10" xfId="0" applyNumberFormat="1" applyFont="1" applyBorder="1" applyAlignment="1">
      <alignment vertical="center"/>
    </xf>
    <xf numFmtId="3" fontId="129" fillId="0" borderId="10" xfId="0" applyNumberFormat="1" applyFont="1" applyBorder="1" applyAlignment="1">
      <alignment horizontal="right" vertical="center"/>
    </xf>
    <xf numFmtId="3" fontId="129" fillId="24" borderId="10" xfId="0" applyNumberFormat="1" applyFont="1" applyFill="1" applyBorder="1" applyAlignment="1">
      <alignment vertical="center"/>
    </xf>
    <xf numFmtId="3" fontId="129" fillId="24" borderId="10" xfId="0" applyNumberFormat="1" applyFont="1" applyFill="1" applyBorder="1" applyAlignment="1">
      <alignment horizontal="right" vertical="center"/>
    </xf>
    <xf numFmtId="0" fontId="129" fillId="0" borderId="87" xfId="0" applyFont="1" applyBorder="1" applyAlignment="1">
      <alignment horizontal="center"/>
    </xf>
    <xf numFmtId="0" fontId="0" fillId="0" borderId="23" xfId="0" applyBorder="1" applyAlignment="1">
      <alignment horizontal="center" vertical="center"/>
    </xf>
    <xf numFmtId="0" fontId="0" fillId="25" borderId="10" xfId="0" applyFill="1" applyBorder="1" applyAlignment="1" applyProtection="1">
      <alignment horizontal="center"/>
      <protection locked="0"/>
    </xf>
    <xf numFmtId="0" fontId="0" fillId="25" borderId="57" xfId="0" applyFill="1" applyBorder="1" applyAlignment="1" applyProtection="1">
      <alignment horizontal="center"/>
      <protection locked="0"/>
    </xf>
    <xf numFmtId="15" fontId="121" fillId="0" borderId="0" xfId="0" applyNumberFormat="1" applyFont="1" applyAlignment="1">
      <alignment horizontal="center"/>
    </xf>
    <xf numFmtId="9" fontId="131" fillId="27" borderId="10" xfId="61" applyFont="1" applyFill="1" applyBorder="1" applyAlignment="1" applyProtection="1">
      <alignment horizontal="center" vertical="center" wrapText="1"/>
    </xf>
    <xf numFmtId="9" fontId="15" fillId="20" borderId="0" xfId="61" applyFont="1" applyFill="1" applyBorder="1"/>
    <xf numFmtId="4" fontId="0" fillId="0" borderId="70" xfId="0" applyNumberFormat="1" applyBorder="1"/>
    <xf numFmtId="3" fontId="0" fillId="25" borderId="10" xfId="0" applyNumberFormat="1" applyFill="1" applyBorder="1" applyAlignment="1" applyProtection="1">
      <alignment horizontal="center" vertical="center" wrapText="1"/>
      <protection locked="0"/>
    </xf>
    <xf numFmtId="3" fontId="0" fillId="0" borderId="10" xfId="0" applyNumberFormat="1" applyBorder="1" applyAlignment="1">
      <alignment horizontal="center" vertical="center" wrapText="1"/>
    </xf>
    <xf numFmtId="9" fontId="2" fillId="28" borderId="10" xfId="0" applyNumberFormat="1" applyFont="1" applyFill="1" applyBorder="1" applyAlignment="1" applyProtection="1">
      <alignment horizontal="right" vertical="center"/>
      <protection locked="0"/>
    </xf>
    <xf numFmtId="43" fontId="132" fillId="0" borderId="25" xfId="59" applyFont="1" applyFill="1" applyBorder="1" applyAlignment="1" applyProtection="1"/>
    <xf numFmtId="0" fontId="32" fillId="0" borderId="36" xfId="0" applyFont="1" applyBorder="1" applyAlignment="1">
      <alignment horizontal="center" vertical="center"/>
    </xf>
    <xf numFmtId="0" fontId="32" fillId="0" borderId="50" xfId="0" applyFont="1" applyBorder="1" applyAlignment="1">
      <alignment horizontal="center" vertical="center" wrapText="1"/>
    </xf>
    <xf numFmtId="0" fontId="14" fillId="0" borderId="48" xfId="0" applyFont="1" applyBorder="1" applyAlignment="1">
      <alignment horizontal="center"/>
    </xf>
    <xf numFmtId="1" fontId="0" fillId="0" borderId="49" xfId="0" applyNumberFormat="1" applyBorder="1" applyAlignment="1">
      <alignment horizontal="center"/>
    </xf>
    <xf numFmtId="0" fontId="14" fillId="0" borderId="51" xfId="0" applyFont="1" applyBorder="1" applyAlignment="1">
      <alignment horizontal="center"/>
    </xf>
    <xf numFmtId="1" fontId="21" fillId="0" borderId="57" xfId="0" applyNumberFormat="1" applyFont="1" applyBorder="1" applyAlignment="1" applyProtection="1">
      <alignment horizontal="center"/>
      <protection locked="0"/>
    </xf>
    <xf numFmtId="1" fontId="0" fillId="0" borderId="57" xfId="0" applyNumberFormat="1" applyBorder="1" applyAlignment="1" applyProtection="1">
      <alignment horizontal="center"/>
      <protection locked="0"/>
    </xf>
    <xf numFmtId="1" fontId="0" fillId="0" borderId="52" xfId="0" applyNumberFormat="1" applyBorder="1" applyAlignment="1">
      <alignment horizontal="center"/>
    </xf>
    <xf numFmtId="167" fontId="32" fillId="19" borderId="238" xfId="0" applyNumberFormat="1" applyFont="1" applyFill="1" applyBorder="1" applyAlignment="1" applyProtection="1">
      <alignment horizontal="center"/>
      <protection locked="0"/>
    </xf>
    <xf numFmtId="3" fontId="0" fillId="25" borderId="49" xfId="0" applyNumberFormat="1" applyFill="1" applyBorder="1" applyAlignment="1" applyProtection="1">
      <alignment horizontal="right" wrapText="1"/>
      <protection locked="0"/>
    </xf>
    <xf numFmtId="3" fontId="0" fillId="0" borderId="49" xfId="0" applyNumberFormat="1" applyBorder="1" applyAlignment="1">
      <alignment horizontal="right" wrapText="1"/>
    </xf>
    <xf numFmtId="0" fontId="0" fillId="0" borderId="51" xfId="0" applyBorder="1" applyAlignment="1">
      <alignment horizontal="center" wrapText="1"/>
    </xf>
    <xf numFmtId="3" fontId="1" fillId="0" borderId="57" xfId="62" applyNumberFormat="1" applyFont="1" applyFill="1" applyBorder="1" applyAlignment="1" applyProtection="1">
      <alignment horizontal="center" vertical="center"/>
    </xf>
    <xf numFmtId="3" fontId="0" fillId="0" borderId="57" xfId="0" applyNumberFormat="1" applyBorder="1" applyAlignment="1">
      <alignment horizontal="right" wrapText="1"/>
    </xf>
    <xf numFmtId="3" fontId="0" fillId="0" borderId="52" xfId="0" applyNumberFormat="1" applyBorder="1" applyAlignment="1">
      <alignment horizontal="right" wrapText="1"/>
    </xf>
    <xf numFmtId="0" fontId="0" fillId="0" borderId="36" xfId="0" applyBorder="1" applyAlignment="1">
      <alignment horizontal="center"/>
    </xf>
    <xf numFmtId="0" fontId="0" fillId="0" borderId="36" xfId="0" applyBorder="1" applyAlignment="1">
      <alignment horizontal="center" wrapText="1"/>
    </xf>
    <xf numFmtId="0" fontId="0" fillId="0" borderId="50" xfId="0" applyBorder="1" applyAlignment="1">
      <alignment horizontal="center" wrapText="1"/>
    </xf>
    <xf numFmtId="0" fontId="0" fillId="0" borderId="48" xfId="0" applyBorder="1" applyAlignment="1">
      <alignment horizontal="center"/>
    </xf>
    <xf numFmtId="0" fontId="0" fillId="0" borderId="51" xfId="0" applyBorder="1" applyAlignment="1">
      <alignment horizontal="center"/>
    </xf>
    <xf numFmtId="0" fontId="0" fillId="25" borderId="52" xfId="0" applyFill="1" applyBorder="1" applyAlignment="1" applyProtection="1">
      <alignment horizontal="center"/>
      <protection locked="0"/>
    </xf>
    <xf numFmtId="0" fontId="133" fillId="41" borderId="37" xfId="0" applyFont="1" applyFill="1" applyBorder="1" applyAlignment="1">
      <alignment horizontal="center"/>
    </xf>
    <xf numFmtId="0" fontId="133" fillId="0" borderId="36" xfId="0" applyFont="1" applyBorder="1" applyAlignment="1">
      <alignment horizontal="center" wrapText="1"/>
    </xf>
    <xf numFmtId="0" fontId="121" fillId="0" borderId="36" xfId="0" applyFont="1" applyBorder="1" applyAlignment="1">
      <alignment horizontal="center" wrapText="1"/>
    </xf>
    <xf numFmtId="0" fontId="133" fillId="35" borderId="36" xfId="0" applyFont="1" applyFill="1" applyBorder="1" applyAlignment="1">
      <alignment horizontal="center" wrapText="1"/>
    </xf>
    <xf numFmtId="0" fontId="30" fillId="22" borderId="103" xfId="0" applyFont="1" applyFill="1" applyBorder="1" applyAlignment="1" applyProtection="1">
      <alignment horizontal="left" vertical="top" wrapText="1"/>
      <protection locked="0"/>
    </xf>
    <xf numFmtId="0" fontId="30" fillId="22" borderId="103" xfId="0" applyFont="1" applyFill="1" applyBorder="1" applyAlignment="1" applyProtection="1">
      <alignment horizontal="left" vertical="top"/>
      <protection locked="0"/>
    </xf>
    <xf numFmtId="0" fontId="34" fillId="0" borderId="0" xfId="0" applyFont="1" applyAlignment="1" applyProtection="1">
      <alignment horizontal="left" vertical="top" wrapText="1"/>
      <protection locked="0"/>
    </xf>
    <xf numFmtId="0" fontId="0" fillId="0" borderId="0" xfId="0" applyAlignment="1">
      <alignment horizontal="left" vertical="top"/>
    </xf>
    <xf numFmtId="49" fontId="169" fillId="0" borderId="242" xfId="0" applyNumberFormat="1" applyFont="1" applyBorder="1" applyAlignment="1" applyProtection="1">
      <alignment horizontal="left" vertical="center" wrapText="1"/>
      <protection locked="0"/>
    </xf>
    <xf numFmtId="3" fontId="0" fillId="35" borderId="10" xfId="0" applyNumberFormat="1" applyFill="1" applyBorder="1" applyAlignment="1" applyProtection="1">
      <alignment horizontal="center" vertical="center"/>
      <protection locked="0"/>
    </xf>
    <xf numFmtId="49" fontId="21" fillId="36" borderId="10" xfId="0" applyNumberFormat="1" applyFont="1" applyFill="1" applyBorder="1" applyProtection="1">
      <protection locked="0"/>
    </xf>
    <xf numFmtId="0" fontId="170" fillId="36" borderId="87" xfId="0" applyFont="1" applyFill="1" applyBorder="1" applyAlignment="1">
      <alignment horizontal="center" wrapText="1"/>
    </xf>
    <xf numFmtId="0" fontId="128" fillId="36" borderId="10" xfId="0" applyFont="1" applyFill="1" applyBorder="1" applyAlignment="1" applyProtection="1">
      <alignment horizontal="center" vertical="center"/>
      <protection locked="0"/>
    </xf>
    <xf numFmtId="1" fontId="21" fillId="36" borderId="10" xfId="0" applyNumberFormat="1" applyFont="1" applyFill="1" applyBorder="1" applyAlignment="1">
      <alignment horizontal="center" vertical="center"/>
    </xf>
    <xf numFmtId="0" fontId="21" fillId="36" borderId="10" xfId="0" applyFont="1" applyFill="1" applyBorder="1" applyAlignment="1" applyProtection="1">
      <alignment horizontal="center" vertical="center"/>
      <protection locked="0"/>
    </xf>
    <xf numFmtId="49" fontId="21" fillId="36" borderId="10" xfId="0" applyNumberFormat="1" applyFont="1" applyFill="1" applyBorder="1" applyAlignment="1" applyProtection="1">
      <alignment horizontal="left"/>
      <protection locked="0"/>
    </xf>
    <xf numFmtId="43" fontId="1" fillId="0" borderId="14" xfId="59" applyFont="1" applyFill="1" applyBorder="1" applyAlignment="1" applyProtection="1">
      <alignment vertical="center"/>
    </xf>
    <xf numFmtId="43" fontId="80" fillId="0" borderId="14" xfId="59" applyFont="1" applyFill="1" applyBorder="1" applyAlignment="1" applyProtection="1">
      <alignment horizontal="left" vertical="center"/>
    </xf>
    <xf numFmtId="43" fontId="21" fillId="0" borderId="14" xfId="59" applyFont="1" applyFill="1" applyBorder="1" applyAlignment="1" applyProtection="1">
      <alignment vertical="center"/>
    </xf>
    <xf numFmtId="43" fontId="21" fillId="26" borderId="89" xfId="59" applyFont="1" applyFill="1" applyBorder="1" applyAlignment="1" applyProtection="1">
      <alignment vertical="center"/>
    </xf>
    <xf numFmtId="43" fontId="1" fillId="0" borderId="0" xfId="59" applyFont="1" applyFill="1" applyBorder="1" applyAlignment="1" applyProtection="1">
      <alignment vertical="center"/>
    </xf>
    <xf numFmtId="0" fontId="25" fillId="0" borderId="85" xfId="0" applyFont="1" applyBorder="1" applyAlignment="1">
      <alignment horizontal="center" vertical="center" wrapText="1"/>
    </xf>
    <xf numFmtId="0" fontId="25" fillId="0" borderId="86" xfId="0" applyFont="1" applyBorder="1" applyAlignment="1">
      <alignment horizontal="center" vertical="center" wrapText="1"/>
    </xf>
    <xf numFmtId="0" fontId="6" fillId="0" borderId="0" xfId="0" applyFont="1" applyAlignment="1">
      <alignment horizontal="center" vertical="center"/>
    </xf>
    <xf numFmtId="43" fontId="80" fillId="0" borderId="18" xfId="59" applyFont="1" applyFill="1" applyBorder="1" applyAlignment="1" applyProtection="1">
      <alignment vertical="center"/>
    </xf>
    <xf numFmtId="43" fontId="21" fillId="0" borderId="18" xfId="59" applyFont="1" applyFill="1" applyBorder="1" applyAlignment="1" applyProtection="1">
      <alignment vertical="center"/>
    </xf>
    <xf numFmtId="43" fontId="21" fillId="0" borderId="18" xfId="59" applyFont="1" applyFill="1" applyBorder="1" applyAlignment="1" applyProtection="1">
      <alignment horizontal="center" vertical="center"/>
    </xf>
    <xf numFmtId="43" fontId="21" fillId="25" borderId="91" xfId="59" applyFont="1" applyFill="1" applyBorder="1" applyAlignment="1" applyProtection="1">
      <alignment horizontal="center" vertical="center"/>
    </xf>
    <xf numFmtId="0" fontId="1" fillId="0" borderId="0" xfId="0" applyFont="1" applyAlignment="1">
      <alignment horizontal="center"/>
    </xf>
    <xf numFmtId="0" fontId="38" fillId="0" borderId="0" xfId="0" applyFont="1" applyAlignment="1">
      <alignment horizontal="center" vertical="center"/>
    </xf>
    <xf numFmtId="15" fontId="1" fillId="0" borderId="0" xfId="0" applyNumberFormat="1" applyFont="1" applyAlignment="1">
      <alignment horizontal="left"/>
    </xf>
    <xf numFmtId="9" fontId="1" fillId="0" borderId="0" xfId="61" applyFont="1" applyBorder="1" applyProtection="1"/>
    <xf numFmtId="43" fontId="1" fillId="0" borderId="0" xfId="62" applyFont="1" applyFill="1" applyBorder="1" applyProtection="1"/>
    <xf numFmtId="43" fontId="80" fillId="0" borderId="25" xfId="59" applyFont="1" applyFill="1" applyBorder="1" applyAlignment="1" applyProtection="1">
      <alignment vertical="center"/>
    </xf>
    <xf numFmtId="43" fontId="21" fillId="0" borderId="25" xfId="59" applyFont="1" applyFill="1" applyBorder="1" applyAlignment="1" applyProtection="1">
      <alignment vertical="center"/>
    </xf>
    <xf numFmtId="0" fontId="21" fillId="0" borderId="25" xfId="0" applyFont="1" applyBorder="1"/>
    <xf numFmtId="0" fontId="21" fillId="22" borderId="92" xfId="0" applyFont="1" applyFill="1" applyBorder="1"/>
    <xf numFmtId="0" fontId="2" fillId="0" borderId="10" xfId="0" applyFont="1" applyBorder="1" applyAlignment="1">
      <alignment horizontal="center"/>
    </xf>
    <xf numFmtId="0" fontId="2" fillId="24" borderId="10" xfId="0" applyFont="1" applyFill="1" applyBorder="1" applyAlignment="1">
      <alignment horizontal="center"/>
    </xf>
    <xf numFmtId="3" fontId="2" fillId="0" borderId="10" xfId="0" applyNumberFormat="1" applyFont="1" applyBorder="1" applyAlignment="1">
      <alignment vertical="center"/>
    </xf>
    <xf numFmtId="0" fontId="2" fillId="0" borderId="90" xfId="0" applyFont="1" applyBorder="1" applyAlignment="1">
      <alignment horizontal="center"/>
    </xf>
    <xf numFmtId="3" fontId="2" fillId="24" borderId="10" xfId="0" applyNumberFormat="1" applyFont="1" applyFill="1" applyBorder="1" applyAlignment="1">
      <alignment vertical="center"/>
    </xf>
    <xf numFmtId="0" fontId="2" fillId="0" borderId="87" xfId="0" applyFont="1" applyBorder="1" applyAlignment="1">
      <alignment horizontal="center"/>
    </xf>
    <xf numFmtId="9" fontId="2" fillId="0" borderId="10" xfId="0" applyNumberFormat="1" applyFont="1" applyBorder="1" applyAlignment="1">
      <alignment vertical="center"/>
    </xf>
    <xf numFmtId="0" fontId="2" fillId="0" borderId="54" xfId="0" applyFont="1" applyBorder="1" applyAlignment="1">
      <alignment horizontal="center"/>
    </xf>
    <xf numFmtId="3" fontId="2" fillId="0" borderId="54" xfId="0" applyNumberFormat="1" applyFont="1" applyBorder="1" applyAlignment="1">
      <alignment vertical="center"/>
    </xf>
    <xf numFmtId="9" fontId="2" fillId="0" borderId="54" xfId="0" applyNumberFormat="1" applyFont="1" applyBorder="1" applyAlignment="1">
      <alignment vertical="center"/>
    </xf>
    <xf numFmtId="43" fontId="34" fillId="0" borderId="0" xfId="50" applyFont="1"/>
    <xf numFmtId="0" fontId="100" fillId="0" borderId="0" xfId="0" applyFont="1"/>
    <xf numFmtId="0" fontId="1" fillId="0" borderId="10" xfId="0" applyFont="1" applyBorder="1"/>
    <xf numFmtId="176" fontId="129" fillId="29" borderId="10" xfId="0" applyNumberFormat="1" applyFont="1" applyFill="1" applyBorder="1" applyAlignment="1" applyProtection="1">
      <alignment horizontal="right" vertical="center" wrapText="1"/>
      <protection locked="0"/>
    </xf>
    <xf numFmtId="176" fontId="129" fillId="0" borderId="10" xfId="0" applyNumberFormat="1" applyFont="1" applyBorder="1" applyAlignment="1">
      <alignment vertical="center"/>
    </xf>
    <xf numFmtId="0" fontId="21" fillId="25" borderId="57" xfId="0" applyFont="1" applyFill="1" applyBorder="1" applyAlignment="1" applyProtection="1">
      <alignment horizontal="center"/>
      <protection locked="0"/>
    </xf>
    <xf numFmtId="1" fontId="28" fillId="52" borderId="10" xfId="0" applyNumberFormat="1" applyFont="1" applyFill="1" applyBorder="1"/>
    <xf numFmtId="1" fontId="28" fillId="52" borderId="49" xfId="0" applyNumberFormat="1" applyFont="1" applyFill="1" applyBorder="1"/>
    <xf numFmtId="0" fontId="28" fillId="52" borderId="10" xfId="0" applyFont="1" applyFill="1" applyBorder="1"/>
    <xf numFmtId="0" fontId="98" fillId="36" borderId="87" xfId="0" applyFont="1" applyFill="1" applyBorder="1" applyAlignment="1">
      <alignment horizontal="center" wrapText="1"/>
    </xf>
    <xf numFmtId="0" fontId="21" fillId="36" borderId="87" xfId="0" applyFont="1" applyFill="1" applyBorder="1" applyAlignment="1">
      <alignment horizontal="center" wrapText="1"/>
    </xf>
    <xf numFmtId="3" fontId="21" fillId="36" borderId="10" xfId="0" applyNumberFormat="1" applyFont="1" applyFill="1" applyBorder="1" applyAlignment="1">
      <alignment horizontal="center" vertical="center"/>
    </xf>
    <xf numFmtId="1" fontId="128" fillId="36" borderId="10" xfId="0" applyNumberFormat="1" applyFont="1" applyFill="1" applyBorder="1" applyAlignment="1">
      <alignment horizontal="center" vertical="center"/>
    </xf>
    <xf numFmtId="1" fontId="28" fillId="52" borderId="90" xfId="0" applyNumberFormat="1" applyFont="1" applyFill="1" applyBorder="1"/>
    <xf numFmtId="1" fontId="28" fillId="52" borderId="203" xfId="0" applyNumberFormat="1" applyFont="1" applyFill="1" applyBorder="1"/>
    <xf numFmtId="1" fontId="172" fillId="52" borderId="10" xfId="0" applyNumberFormat="1" applyFont="1" applyFill="1" applyBorder="1"/>
    <xf numFmtId="0" fontId="28" fillId="52" borderId="90" xfId="0" applyFont="1" applyFill="1" applyBorder="1" applyAlignment="1">
      <alignment wrapText="1"/>
    </xf>
    <xf numFmtId="0" fontId="121" fillId="0" borderId="37" xfId="0" applyFont="1" applyBorder="1" applyAlignment="1">
      <alignment horizontal="center" vertical="top" wrapText="1"/>
    </xf>
    <xf numFmtId="0" fontId="121" fillId="0" borderId="36" xfId="0" applyFont="1" applyBorder="1" applyAlignment="1">
      <alignment vertical="top" wrapText="1"/>
    </xf>
    <xf numFmtId="0" fontId="121" fillId="0" borderId="36" xfId="0" applyFont="1" applyBorder="1" applyAlignment="1">
      <alignment horizontal="center" vertical="top" wrapText="1"/>
    </xf>
    <xf numFmtId="0" fontId="121" fillId="0" borderId="50" xfId="0" applyFont="1" applyBorder="1" applyAlignment="1">
      <alignment horizontal="center" vertical="top" wrapText="1"/>
    </xf>
    <xf numFmtId="0" fontId="21" fillId="25" borderId="45" xfId="0" applyFont="1" applyFill="1" applyBorder="1" applyAlignment="1" applyProtection="1">
      <alignment horizontal="center"/>
      <protection locked="0"/>
    </xf>
    <xf numFmtId="0" fontId="75" fillId="0" borderId="113" xfId="0" applyFont="1" applyBorder="1" applyAlignment="1">
      <alignment horizontal="center" vertical="center"/>
    </xf>
    <xf numFmtId="49" fontId="2" fillId="39" borderId="227" xfId="0" applyNumberFormat="1" applyFont="1" applyFill="1" applyBorder="1" applyAlignment="1" applyProtection="1">
      <alignment horizontal="left" vertical="center" wrapText="1"/>
      <protection locked="0"/>
    </xf>
    <xf numFmtId="49" fontId="2" fillId="38" borderId="226" xfId="0" applyNumberFormat="1" applyFont="1" applyFill="1" applyBorder="1" applyAlignment="1" applyProtection="1">
      <alignment horizontal="left" vertical="center" wrapText="1"/>
      <protection locked="0"/>
    </xf>
    <xf numFmtId="49" fontId="2" fillId="38" borderId="227" xfId="0" applyNumberFormat="1" applyFont="1" applyFill="1" applyBorder="1" applyAlignment="1" applyProtection="1">
      <alignment horizontal="left" vertical="center" wrapText="1"/>
      <protection locked="0"/>
    </xf>
    <xf numFmtId="1" fontId="28" fillId="53" borderId="246" xfId="0" applyNumberFormat="1" applyFont="1" applyFill="1" applyBorder="1"/>
    <xf numFmtId="1" fontId="28" fillId="53" borderId="10" xfId="0" applyNumberFormat="1" applyFont="1" applyFill="1" applyBorder="1"/>
    <xf numFmtId="0" fontId="28" fillId="53" borderId="247" xfId="0" applyFont="1" applyFill="1" applyBorder="1"/>
    <xf numFmtId="1" fontId="28" fillId="53" borderId="247" xfId="0" applyNumberFormat="1" applyFont="1" applyFill="1" applyBorder="1" applyAlignment="1">
      <alignment horizontal="right" vertical="center"/>
    </xf>
    <xf numFmtId="0" fontId="133" fillId="41" borderId="244" xfId="0" applyFont="1" applyFill="1" applyBorder="1" applyAlignment="1">
      <alignment horizontal="center"/>
    </xf>
    <xf numFmtId="0" fontId="133" fillId="0" borderId="87" xfId="0" applyFont="1" applyBorder="1" applyAlignment="1">
      <alignment horizontal="center" wrapText="1"/>
    </xf>
    <xf numFmtId="0" fontId="121" fillId="0" borderId="87" xfId="0" applyFont="1" applyBorder="1" applyAlignment="1">
      <alignment horizontal="center" wrapText="1"/>
    </xf>
    <xf numFmtId="0" fontId="133" fillId="35" borderId="87" xfId="0" applyFont="1" applyFill="1" applyBorder="1" applyAlignment="1">
      <alignment horizontal="center" wrapText="1"/>
    </xf>
    <xf numFmtId="0" fontId="121" fillId="0" borderId="87" xfId="0" applyFont="1" applyBorder="1" applyAlignment="1">
      <alignment horizontal="center" vertical="center" wrapText="1"/>
    </xf>
    <xf numFmtId="0" fontId="21" fillId="36" borderId="10" xfId="0" applyFont="1" applyFill="1" applyBorder="1" applyAlignment="1">
      <alignment horizontal="center" vertical="center"/>
    </xf>
    <xf numFmtId="1" fontId="98" fillId="52" borderId="10" xfId="0" applyNumberFormat="1" applyFont="1" applyFill="1" applyBorder="1"/>
    <xf numFmtId="1" fontId="98" fillId="52" borderId="49" xfId="0" applyNumberFormat="1" applyFont="1" applyFill="1" applyBorder="1"/>
    <xf numFmtId="4" fontId="0" fillId="0" borderId="71" xfId="0" applyNumberFormat="1" applyBorder="1"/>
    <xf numFmtId="1" fontId="0" fillId="0" borderId="10" xfId="0" applyNumberFormat="1" applyBorder="1" applyAlignment="1" applyProtection="1">
      <alignment horizontal="center"/>
      <protection locked="0"/>
    </xf>
    <xf numFmtId="168" fontId="1" fillId="0" borderId="231" xfId="62" applyNumberFormat="1" applyFont="1" applyFill="1" applyBorder="1" applyAlignment="1" applyProtection="1">
      <alignment horizontal="center"/>
      <protection locked="0"/>
    </xf>
    <xf numFmtId="49" fontId="0" fillId="0" borderId="41" xfId="0" applyNumberFormat="1" applyBorder="1" applyAlignment="1" applyProtection="1">
      <alignment horizontal="center"/>
      <protection locked="0"/>
    </xf>
    <xf numFmtId="49" fontId="0" fillId="0" borderId="42"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15" fontId="0" fillId="0" borderId="10" xfId="56" applyNumberFormat="1" applyFont="1" applyFill="1" applyBorder="1" applyAlignment="1" applyProtection="1">
      <alignment horizontal="center"/>
      <protection locked="0"/>
    </xf>
    <xf numFmtId="0" fontId="94" fillId="0" borderId="47" xfId="0" applyFont="1" applyBorder="1" applyAlignment="1">
      <alignment horizontal="right"/>
    </xf>
    <xf numFmtId="49" fontId="0" fillId="0" borderId="10" xfId="0" applyNumberFormat="1" applyBorder="1" applyAlignment="1" applyProtection="1">
      <alignment horizontal="center"/>
      <protection locked="0"/>
    </xf>
    <xf numFmtId="43" fontId="24" fillId="25" borderId="38" xfId="56" applyFont="1" applyFill="1" applyBorder="1" applyAlignment="1" applyProtection="1">
      <alignment horizontal="center"/>
    </xf>
    <xf numFmtId="43" fontId="1" fillId="0" borderId="38" xfId="56" applyFont="1" applyBorder="1" applyAlignment="1" applyProtection="1">
      <alignment horizontal="right"/>
    </xf>
    <xf numFmtId="43" fontId="20" fillId="0" borderId="0" xfId="49" applyFont="1" applyAlignment="1">
      <alignment horizontal="right" vertical="center"/>
    </xf>
    <xf numFmtId="15" fontId="24" fillId="25" borderId="38" xfId="56" applyNumberFormat="1" applyFont="1" applyFill="1" applyBorder="1" applyAlignment="1" applyProtection="1">
      <alignment horizontal="center"/>
    </xf>
    <xf numFmtId="15" fontId="28" fillId="0" borderId="0" xfId="0" applyNumberFormat="1" applyFont="1" applyAlignment="1">
      <alignment horizontal="right"/>
    </xf>
    <xf numFmtId="43" fontId="14" fillId="0" borderId="0" xfId="0" applyNumberFormat="1" applyFont="1" applyAlignment="1">
      <alignment horizontal="center"/>
    </xf>
    <xf numFmtId="43" fontId="35" fillId="0" borderId="0" xfId="0" applyNumberFormat="1" applyFont="1" applyAlignment="1">
      <alignment horizontal="left" vertical="center" wrapText="1"/>
    </xf>
    <xf numFmtId="0" fontId="30" fillId="22" borderId="0" xfId="0" applyFont="1" applyFill="1" applyAlignment="1" applyProtection="1">
      <alignment horizontal="left" vertical="top" wrapText="1"/>
      <protection locked="0"/>
    </xf>
    <xf numFmtId="0" fontId="83" fillId="0" borderId="0" xfId="0" applyFont="1" applyAlignment="1">
      <alignment horizontal="left" wrapText="1"/>
    </xf>
    <xf numFmtId="43" fontId="100" fillId="0" borderId="0" xfId="0" applyNumberFormat="1" applyFont="1" applyAlignment="1">
      <alignment horizontal="center"/>
    </xf>
    <xf numFmtId="0" fontId="34" fillId="0" borderId="10" xfId="0" applyFont="1" applyBorder="1" applyAlignment="1">
      <alignment horizontal="center" vertical="center" wrapText="1"/>
    </xf>
    <xf numFmtId="0" fontId="75" fillId="21" borderId="13" xfId="52" applyFont="1" applyFill="1" applyBorder="1" applyAlignment="1">
      <alignment horizontal="center" vertical="center" wrapText="1"/>
    </xf>
    <xf numFmtId="0" fontId="33" fillId="0" borderId="0" xfId="0" applyFont="1" applyAlignment="1">
      <alignment horizontal="center"/>
    </xf>
    <xf numFmtId="3" fontId="128" fillId="36" borderId="10" xfId="0" applyNumberFormat="1" applyFont="1" applyFill="1" applyBorder="1" applyAlignment="1">
      <alignment horizontal="center" vertical="center"/>
    </xf>
    <xf numFmtId="3" fontId="129" fillId="23" borderId="26" xfId="0" applyNumberFormat="1" applyFont="1" applyFill="1" applyBorder="1" applyAlignment="1" applyProtection="1">
      <alignment vertical="center" wrapText="1"/>
      <protection locked="0"/>
    </xf>
    <xf numFmtId="49" fontId="0" fillId="0" borderId="87" xfId="0" applyNumberFormat="1" applyBorder="1" applyProtection="1">
      <protection locked="0"/>
    </xf>
    <xf numFmtId="0" fontId="21" fillId="35" borderId="87" xfId="0" applyFont="1" applyFill="1" applyBorder="1" applyAlignment="1" applyProtection="1">
      <alignment horizontal="center" vertical="center"/>
      <protection locked="0"/>
    </xf>
    <xf numFmtId="0" fontId="21" fillId="35" borderId="87" xfId="0" applyFont="1" applyFill="1" applyBorder="1" applyAlignment="1">
      <alignment horizontal="center" vertical="center"/>
    </xf>
    <xf numFmtId="1" fontId="0" fillId="35" borderId="49" xfId="0" applyNumberFormat="1" applyFill="1" applyBorder="1" applyAlignment="1">
      <alignment horizontal="center" vertical="center"/>
    </xf>
    <xf numFmtId="49" fontId="0" fillId="0" borderId="10" xfId="0" applyNumberFormat="1" applyBorder="1" applyProtection="1">
      <protection locked="0"/>
    </xf>
    <xf numFmtId="0" fontId="21" fillId="35" borderId="10" xfId="0" applyFont="1" applyFill="1" applyBorder="1" applyAlignment="1" applyProtection="1">
      <alignment horizontal="center" vertical="center"/>
      <protection locked="0"/>
    </xf>
    <xf numFmtId="0" fontId="21" fillId="35" borderId="10" xfId="0" applyFont="1" applyFill="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10" xfId="0" applyFont="1" applyBorder="1" applyAlignment="1">
      <alignment horizontal="center" vertical="center"/>
    </xf>
    <xf numFmtId="3" fontId="0" fillId="0" borderId="10" xfId="0" applyNumberFormat="1" applyBorder="1" applyAlignment="1" applyProtection="1">
      <alignment horizontal="center" vertical="center"/>
      <protection locked="0"/>
    </xf>
    <xf numFmtId="1" fontId="0" fillId="0" borderId="49" xfId="0" applyNumberFormat="1" applyBorder="1" applyAlignment="1">
      <alignment horizontal="center" vertical="center"/>
    </xf>
    <xf numFmtId="49" fontId="123" fillId="0" borderId="10" xfId="0" applyNumberFormat="1" applyFont="1" applyBorder="1" applyProtection="1">
      <protection locked="0"/>
    </xf>
    <xf numFmtId="49" fontId="0" fillId="0" borderId="10" xfId="0" applyNumberFormat="1" applyBorder="1" applyAlignment="1" applyProtection="1">
      <alignment horizontal="left"/>
      <protection locked="0"/>
    </xf>
    <xf numFmtId="49" fontId="0" fillId="0" borderId="90" xfId="0" applyNumberFormat="1" applyBorder="1" applyAlignment="1" applyProtection="1">
      <alignment horizontal="left"/>
      <protection locked="0"/>
    </xf>
    <xf numFmtId="0" fontId="21" fillId="0" borderId="90" xfId="0" applyFont="1" applyBorder="1" applyAlignment="1" applyProtection="1">
      <alignment horizontal="center" vertical="center"/>
      <protection locked="0"/>
    </xf>
    <xf numFmtId="3" fontId="0" fillId="0" borderId="10" xfId="0" applyNumberFormat="1" applyBorder="1" applyAlignment="1" applyProtection="1">
      <alignment horizontal="center" vertical="top"/>
      <protection locked="0"/>
    </xf>
    <xf numFmtId="0" fontId="21" fillId="0" borderId="90" xfId="0" applyFont="1" applyBorder="1" applyAlignment="1">
      <alignment horizontal="center" vertical="center"/>
    </xf>
    <xf numFmtId="3" fontId="0" fillId="0" borderId="90" xfId="0" applyNumberFormat="1" applyBorder="1" applyAlignment="1" applyProtection="1">
      <alignment horizontal="center" vertical="top"/>
      <protection locked="0"/>
    </xf>
    <xf numFmtId="1" fontId="0" fillId="0" borderId="203" xfId="0" applyNumberFormat="1" applyBorder="1" applyAlignment="1">
      <alignment horizontal="center" vertical="center"/>
    </xf>
    <xf numFmtId="49" fontId="0" fillId="0" borderId="57" xfId="0" applyNumberFormat="1" applyBorder="1" applyAlignment="1" applyProtection="1">
      <alignment horizontal="left"/>
      <protection locked="0"/>
    </xf>
    <xf numFmtId="0" fontId="21" fillId="0" borderId="57" xfId="0" applyFont="1" applyBorder="1" applyAlignment="1" applyProtection="1">
      <alignment horizontal="center" vertical="center"/>
      <protection locked="0"/>
    </xf>
    <xf numFmtId="0" fontId="21" fillId="0" borderId="57" xfId="0" applyFont="1" applyBorder="1" applyAlignment="1">
      <alignment horizontal="center" vertical="center"/>
    </xf>
    <xf numFmtId="3" fontId="0" fillId="0" borderId="57" xfId="0" applyNumberFormat="1" applyBorder="1" applyAlignment="1" applyProtection="1">
      <alignment horizontal="center" vertical="top"/>
      <protection locked="0"/>
    </xf>
    <xf numFmtId="1" fontId="0" fillId="0" borderId="52" xfId="0" applyNumberFormat="1" applyBorder="1" applyAlignment="1">
      <alignment horizontal="center" vertical="center"/>
    </xf>
    <xf numFmtId="1" fontId="21" fillId="53" borderId="10" xfId="0" applyNumberFormat="1" applyFont="1" applyFill="1" applyBorder="1" applyAlignment="1">
      <alignment horizontal="right" vertical="center"/>
    </xf>
    <xf numFmtId="0" fontId="0" fillId="53" borderId="10" xfId="0" applyFill="1" applyBorder="1" applyAlignment="1" applyProtection="1">
      <alignment horizontal="right" vertical="center"/>
      <protection locked="0"/>
    </xf>
    <xf numFmtId="1" fontId="0" fillId="53" borderId="49" xfId="0" applyNumberFormat="1" applyFill="1" applyBorder="1" applyAlignment="1">
      <alignment horizontal="right" vertical="center"/>
    </xf>
    <xf numFmtId="1" fontId="21" fillId="53" borderId="90" xfId="0" applyNumberFormat="1" applyFont="1" applyFill="1" applyBorder="1" applyAlignment="1">
      <alignment horizontal="right" vertical="center"/>
    </xf>
    <xf numFmtId="0" fontId="0" fillId="53" borderId="90" xfId="0" applyFill="1" applyBorder="1" applyAlignment="1" applyProtection="1">
      <alignment horizontal="right" vertical="center"/>
      <protection locked="0"/>
    </xf>
    <xf numFmtId="1" fontId="21" fillId="53" borderId="57" xfId="0" applyNumberFormat="1" applyFont="1" applyFill="1" applyBorder="1" applyAlignment="1">
      <alignment horizontal="right" vertical="center"/>
    </xf>
    <xf numFmtId="0" fontId="0" fillId="53" borderId="57" xfId="0" applyFill="1" applyBorder="1" applyAlignment="1" applyProtection="1">
      <alignment horizontal="right" vertical="center"/>
      <protection locked="0"/>
    </xf>
    <xf numFmtId="9" fontId="117" fillId="0" borderId="41" xfId="61" applyFont="1" applyFill="1" applyBorder="1" applyAlignment="1" applyProtection="1">
      <alignment horizontal="center" vertical="center" wrapText="1"/>
      <protection locked="0"/>
    </xf>
    <xf numFmtId="0" fontId="75" fillId="0" borderId="250" xfId="0" applyFont="1" applyBorder="1" applyAlignment="1">
      <alignment horizontal="center" vertical="center"/>
    </xf>
    <xf numFmtId="10" fontId="129" fillId="22" borderId="10" xfId="61" applyNumberFormat="1" applyFont="1" applyFill="1" applyBorder="1" applyAlignment="1" applyProtection="1">
      <alignment vertical="top" wrapText="1"/>
      <protection locked="0"/>
    </xf>
    <xf numFmtId="167" fontId="14" fillId="54" borderId="65" xfId="0" applyNumberFormat="1" applyFont="1" applyFill="1" applyBorder="1" applyAlignment="1" applyProtection="1">
      <alignment horizontal="center"/>
      <protection locked="0"/>
    </xf>
    <xf numFmtId="3" fontId="129" fillId="22" borderId="10" xfId="0" applyNumberFormat="1" applyFont="1" applyFill="1" applyBorder="1" applyAlignment="1" applyProtection="1">
      <alignment horizontal="center" vertical="center"/>
      <protection locked="0"/>
    </xf>
    <xf numFmtId="9" fontId="129" fillId="38" borderId="10" xfId="0" applyNumberFormat="1" applyFont="1" applyFill="1" applyBorder="1" applyAlignment="1" applyProtection="1">
      <alignment horizontal="center" vertical="center"/>
      <protection locked="0"/>
    </xf>
    <xf numFmtId="3" fontId="129" fillId="0" borderId="10" xfId="0" applyNumberFormat="1" applyFont="1" applyBorder="1" applyAlignment="1" applyProtection="1">
      <alignment vertical="center"/>
      <protection locked="0"/>
    </xf>
    <xf numFmtId="3" fontId="129" fillId="0" borderId="26" xfId="0" applyNumberFormat="1" applyFont="1" applyBorder="1" applyAlignment="1" applyProtection="1">
      <alignment vertical="center" wrapText="1"/>
      <protection locked="0"/>
    </xf>
    <xf numFmtId="3" fontId="129" fillId="0" borderId="10" xfId="0" applyNumberFormat="1" applyFont="1" applyBorder="1" applyAlignment="1" applyProtection="1">
      <alignment horizontal="right" vertical="center"/>
      <protection locked="0"/>
    </xf>
    <xf numFmtId="2" fontId="129" fillId="0" borderId="10" xfId="61" applyNumberFormat="1" applyFont="1" applyFill="1" applyBorder="1" applyAlignment="1" applyProtection="1">
      <alignment vertical="top" wrapText="1"/>
      <protection locked="0"/>
    </xf>
    <xf numFmtId="9" fontId="176" fillId="0" borderId="41" xfId="61" applyFont="1" applyBorder="1" applyAlignment="1" applyProtection="1">
      <alignment horizontal="center" vertical="center" wrapText="1"/>
      <protection locked="0"/>
    </xf>
    <xf numFmtId="3" fontId="176" fillId="0" borderId="41" xfId="0" applyNumberFormat="1" applyFont="1" applyBorder="1" applyAlignment="1" applyProtection="1">
      <alignment horizontal="center" vertical="center" wrapText="1"/>
      <protection locked="0"/>
    </xf>
    <xf numFmtId="0" fontId="133" fillId="0" borderId="254" xfId="0" applyFont="1" applyBorder="1" applyAlignment="1">
      <alignment horizontal="center" wrapText="1"/>
    </xf>
    <xf numFmtId="1" fontId="21" fillId="36" borderId="254" xfId="0" applyNumberFormat="1" applyFont="1" applyFill="1" applyBorder="1" applyAlignment="1">
      <alignment horizontal="center" vertical="center"/>
    </xf>
    <xf numFmtId="1" fontId="128" fillId="36" borderId="254" xfId="0" applyNumberFormat="1" applyFont="1" applyFill="1" applyBorder="1" applyAlignment="1">
      <alignment horizontal="center" vertical="center"/>
    </xf>
    <xf numFmtId="0" fontId="121" fillId="0" borderId="248" xfId="0" applyFont="1" applyBorder="1" applyAlignment="1">
      <alignment horizontal="center" wrapText="1"/>
    </xf>
    <xf numFmtId="0" fontId="121" fillId="0" borderId="88" xfId="0" applyFont="1" applyBorder="1" applyAlignment="1">
      <alignment horizontal="center" wrapText="1"/>
    </xf>
    <xf numFmtId="0" fontId="21" fillId="36" borderId="41" xfId="0" applyFont="1" applyFill="1" applyBorder="1" applyAlignment="1" applyProtection="1">
      <alignment horizontal="center" vertical="center"/>
      <protection locked="0"/>
    </xf>
    <xf numFmtId="0" fontId="128" fillId="36" borderId="41" xfId="0" applyFont="1" applyFill="1" applyBorder="1" applyAlignment="1" applyProtection="1">
      <alignment horizontal="center" vertical="center"/>
      <protection locked="0"/>
    </xf>
    <xf numFmtId="1" fontId="0" fillId="35" borderId="205" xfId="0" applyNumberFormat="1" applyFill="1" applyBorder="1" applyAlignment="1">
      <alignment horizontal="center" vertical="center"/>
    </xf>
    <xf numFmtId="0" fontId="98" fillId="22" borderId="258" xfId="0" applyFont="1" applyFill="1" applyBorder="1" applyAlignment="1" applyProtection="1">
      <alignment horizontal="right" vertical="top"/>
      <protection locked="0"/>
    </xf>
    <xf numFmtId="0" fontId="98" fillId="22" borderId="259" xfId="0" applyFont="1" applyFill="1" applyBorder="1" applyAlignment="1" applyProtection="1">
      <alignment horizontal="right" vertical="top"/>
      <protection locked="0"/>
    </xf>
    <xf numFmtId="9" fontId="179" fillId="0" borderId="10" xfId="0" applyNumberFormat="1" applyFont="1" applyBorder="1" applyAlignment="1">
      <alignment horizontal="center" vertical="center" wrapText="1"/>
    </xf>
    <xf numFmtId="0" fontId="179" fillId="0" borderId="10" xfId="0" applyFont="1" applyBorder="1" applyAlignment="1">
      <alignment horizontal="center" vertical="center" wrapText="1"/>
    </xf>
    <xf numFmtId="0" fontId="179" fillId="0" borderId="43" xfId="0" applyFont="1" applyBorder="1" applyAlignment="1">
      <alignment horizontal="center" vertical="center" wrapText="1"/>
    </xf>
    <xf numFmtId="3" fontId="0" fillId="35" borderId="254" xfId="0" applyNumberFormat="1" applyFill="1" applyBorder="1" applyAlignment="1" applyProtection="1">
      <alignment horizontal="center" vertical="center"/>
      <protection locked="0"/>
    </xf>
    <xf numFmtId="0" fontId="0" fillId="0" borderId="254" xfId="0" applyBorder="1"/>
    <xf numFmtId="1" fontId="21" fillId="35" borderId="254" xfId="0" applyNumberFormat="1" applyFont="1" applyFill="1" applyBorder="1" applyAlignment="1">
      <alignment horizontal="center" vertical="center"/>
    </xf>
    <xf numFmtId="3" fontId="0" fillId="0" borderId="254" xfId="0" applyNumberFormat="1" applyBorder="1" applyAlignment="1" applyProtection="1">
      <alignment horizontal="center" vertical="center"/>
      <protection locked="0"/>
    </xf>
    <xf numFmtId="1" fontId="21" fillId="0" borderId="254" xfId="0" applyNumberFormat="1" applyFont="1" applyBorder="1" applyAlignment="1">
      <alignment horizontal="center" vertical="center"/>
    </xf>
    <xf numFmtId="3" fontId="0" fillId="0" borderId="254" xfId="0" applyNumberFormat="1" applyBorder="1" applyAlignment="1" applyProtection="1">
      <alignment horizontal="center"/>
      <protection locked="0"/>
    </xf>
    <xf numFmtId="3" fontId="0" fillId="35" borderId="41" xfId="0" applyNumberFormat="1" applyFill="1" applyBorder="1" applyAlignment="1">
      <alignment horizontal="center" vertical="center"/>
    </xf>
    <xf numFmtId="3" fontId="0" fillId="0" borderId="41" xfId="0" applyNumberFormat="1" applyBorder="1" applyAlignment="1">
      <alignment horizontal="center" vertical="center"/>
    </xf>
    <xf numFmtId="1" fontId="0" fillId="0" borderId="95" xfId="0" applyNumberFormat="1" applyBorder="1" applyAlignment="1">
      <alignment horizontal="center"/>
    </xf>
    <xf numFmtId="1" fontId="0" fillId="0" borderId="260" xfId="0" applyNumberFormat="1" applyBorder="1" applyAlignment="1">
      <alignment horizontal="center"/>
    </xf>
    <xf numFmtId="0" fontId="0" fillId="35" borderId="43" xfId="0" applyFill="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261" xfId="0" applyBorder="1" applyAlignment="1" applyProtection="1">
      <alignment horizontal="center" vertical="center"/>
      <protection locked="0"/>
    </xf>
    <xf numFmtId="3" fontId="21" fillId="36" borderId="90" xfId="0" applyNumberFormat="1" applyFont="1" applyFill="1" applyBorder="1" applyAlignment="1">
      <alignment horizontal="center" vertical="center"/>
    </xf>
    <xf numFmtId="1" fontId="21" fillId="36" borderId="90" xfId="0" applyNumberFormat="1" applyFont="1" applyFill="1" applyBorder="1" applyAlignment="1">
      <alignment horizontal="center" vertical="center"/>
    </xf>
    <xf numFmtId="9" fontId="21" fillId="35" borderId="41" xfId="61" applyFont="1" applyFill="1" applyBorder="1" applyAlignment="1" applyProtection="1">
      <alignment horizontal="left" vertical="top" wrapText="1"/>
      <protection locked="0"/>
    </xf>
    <xf numFmtId="0" fontId="86" fillId="0" borderId="42" xfId="0" applyFont="1" applyBorder="1" applyAlignment="1">
      <alignment vertical="top" wrapText="1"/>
    </xf>
    <xf numFmtId="0" fontId="0" fillId="0" borderId="0" xfId="0" applyAlignment="1">
      <alignment vertical="top"/>
    </xf>
    <xf numFmtId="0" fontId="62" fillId="0" borderId="41" xfId="0" applyFont="1" applyBorder="1" applyAlignment="1" applyProtection="1">
      <alignment horizontal="left" vertical="top" wrapText="1"/>
      <protection locked="0"/>
    </xf>
    <xf numFmtId="0" fontId="62" fillId="0" borderId="42" xfId="0" applyFont="1" applyBorder="1" applyAlignment="1" applyProtection="1">
      <alignment horizontal="left" vertical="top" wrapText="1"/>
      <protection locked="0"/>
    </xf>
    <xf numFmtId="0" fontId="62" fillId="0" borderId="43" xfId="0" applyFont="1" applyBorder="1" applyAlignment="1" applyProtection="1">
      <alignment horizontal="left" vertical="top" wrapText="1"/>
      <protection locked="0"/>
    </xf>
    <xf numFmtId="0" fontId="86" fillId="0" borderId="41" xfId="0" applyFont="1" applyBorder="1" applyAlignment="1">
      <alignment vertical="top" wrapText="1"/>
    </xf>
    <xf numFmtId="0" fontId="62" fillId="0" borderId="42" xfId="0" applyFont="1" applyBorder="1" applyAlignment="1">
      <alignment horizontal="justify" vertical="top" wrapText="1"/>
    </xf>
    <xf numFmtId="0" fontId="87" fillId="0" borderId="42" xfId="0" applyFont="1" applyBorder="1" applyAlignment="1">
      <alignment horizontal="justify" vertical="top" wrapText="1"/>
    </xf>
    <xf numFmtId="0" fontId="62" fillId="0" borderId="43" xfId="0" applyFont="1" applyBorder="1" applyAlignment="1">
      <alignment horizontal="justify" vertical="top" wrapText="1"/>
    </xf>
    <xf numFmtId="0" fontId="62" fillId="0" borderId="41" xfId="0" applyFont="1" applyBorder="1" applyAlignment="1">
      <alignment horizontal="justify" vertical="top" wrapText="1"/>
    </xf>
    <xf numFmtId="176" fontId="129" fillId="0" borderId="10" xfId="0" applyNumberFormat="1" applyFont="1" applyBorder="1" applyAlignment="1">
      <alignment horizontal="center" vertical="center"/>
    </xf>
    <xf numFmtId="9" fontId="2" fillId="28"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9" fontId="2" fillId="29" borderId="10" xfId="0" applyNumberFormat="1" applyFont="1" applyFill="1" applyBorder="1" applyAlignment="1" applyProtection="1">
      <alignment horizontal="center" vertical="center"/>
      <protection locked="0"/>
    </xf>
    <xf numFmtId="9" fontId="2" fillId="0" borderId="10" xfId="0" applyNumberFormat="1" applyFont="1" applyBorder="1" applyAlignment="1" applyProtection="1">
      <alignment horizontal="center" vertical="center"/>
      <protection locked="0"/>
    </xf>
    <xf numFmtId="3" fontId="2" fillId="24" borderId="10" xfId="0" applyNumberFormat="1" applyFont="1" applyFill="1" applyBorder="1" applyAlignment="1">
      <alignment horizontal="center" vertical="center"/>
    </xf>
    <xf numFmtId="3" fontId="2" fillId="0" borderId="10" xfId="0" applyNumberFormat="1" applyFont="1" applyBorder="1" applyAlignment="1">
      <alignment horizontal="center" vertical="center"/>
    </xf>
    <xf numFmtId="3" fontId="2" fillId="0" borderId="54" xfId="0" applyNumberFormat="1" applyFont="1" applyBorder="1" applyAlignment="1">
      <alignment horizontal="center" vertical="center"/>
    </xf>
    <xf numFmtId="15" fontId="28" fillId="0" borderId="0" xfId="0" applyNumberFormat="1" applyFont="1" applyAlignment="1">
      <alignment horizontal="left" vertical="top"/>
    </xf>
    <xf numFmtId="0" fontId="98" fillId="22" borderId="214" xfId="0" applyFont="1" applyFill="1" applyBorder="1" applyAlignment="1" applyProtection="1">
      <alignment horizontal="left" vertical="top"/>
      <protection locked="0"/>
    </xf>
    <xf numFmtId="0" fontId="98" fillId="22" borderId="215" xfId="0" applyFont="1" applyFill="1" applyBorder="1" applyAlignment="1" applyProtection="1">
      <alignment horizontal="left" vertical="top"/>
      <protection locked="0"/>
    </xf>
    <xf numFmtId="9" fontId="0" fillId="0" borderId="0" xfId="0" applyNumberFormat="1"/>
    <xf numFmtId="9" fontId="14" fillId="19" borderId="65" xfId="0" applyNumberFormat="1" applyFont="1" applyFill="1" applyBorder="1" applyAlignment="1" applyProtection="1">
      <alignment horizontal="center"/>
      <protection locked="0"/>
    </xf>
    <xf numFmtId="9" fontId="129" fillId="0" borderId="10" xfId="0" applyNumberFormat="1" applyFont="1" applyBorder="1" applyAlignment="1">
      <alignment horizontal="center" vertical="center"/>
    </xf>
    <xf numFmtId="9" fontId="129" fillId="24" borderId="10" xfId="0" applyNumberFormat="1" applyFont="1" applyFill="1" applyBorder="1" applyAlignment="1">
      <alignment horizontal="center" vertical="center"/>
    </xf>
    <xf numFmtId="3" fontId="180" fillId="55" borderId="266" xfId="0" applyNumberFormat="1" applyFont="1" applyFill="1" applyBorder="1"/>
    <xf numFmtId="3" fontId="21" fillId="55" borderId="10" xfId="0" applyNumberFormat="1" applyFont="1" applyFill="1" applyBorder="1"/>
    <xf numFmtId="3" fontId="21" fillId="55" borderId="87" xfId="0" applyNumberFormat="1" applyFont="1" applyFill="1" applyBorder="1"/>
    <xf numFmtId="3" fontId="181" fillId="56" borderId="10" xfId="0" applyNumberFormat="1" applyFont="1" applyFill="1" applyBorder="1" applyAlignment="1">
      <alignment horizontal="center" vertical="center" wrapText="1"/>
    </xf>
    <xf numFmtId="3" fontId="181" fillId="56" borderId="87" xfId="0" applyNumberFormat="1" applyFont="1" applyFill="1" applyBorder="1" applyAlignment="1">
      <alignment horizontal="center" vertical="center" wrapText="1"/>
    </xf>
    <xf numFmtId="0" fontId="182" fillId="0" borderId="271" xfId="0" applyFont="1" applyBorder="1" applyAlignment="1">
      <alignment wrapText="1"/>
    </xf>
    <xf numFmtId="0" fontId="182" fillId="0" borderId="272" xfId="0" applyFont="1" applyBorder="1" applyAlignment="1">
      <alignment wrapText="1"/>
    </xf>
    <xf numFmtId="0" fontId="182" fillId="0" borderId="272" xfId="0" applyFont="1" applyBorder="1"/>
    <xf numFmtId="43" fontId="181" fillId="55" borderId="267" xfId="0" applyNumberFormat="1" applyFont="1" applyFill="1" applyBorder="1"/>
    <xf numFmtId="43" fontId="181" fillId="55" borderId="268" xfId="0" applyNumberFormat="1" applyFont="1" applyFill="1" applyBorder="1"/>
    <xf numFmtId="43" fontId="181" fillId="55" borderId="269" xfId="0" applyNumberFormat="1" applyFont="1" applyFill="1" applyBorder="1"/>
    <xf numFmtId="43" fontId="181" fillId="55" borderId="270" xfId="0" applyNumberFormat="1" applyFont="1" applyFill="1" applyBorder="1"/>
    <xf numFmtId="43" fontId="181" fillId="57" borderId="269" xfId="0" applyNumberFormat="1" applyFont="1" applyFill="1" applyBorder="1"/>
    <xf numFmtId="9" fontId="129" fillId="29" borderId="10" xfId="0" applyNumberFormat="1" applyFont="1" applyFill="1" applyBorder="1" applyAlignment="1" applyProtection="1">
      <alignment horizontal="center" vertical="center"/>
      <protection locked="0"/>
    </xf>
    <xf numFmtId="9" fontId="128" fillId="0" borderId="10" xfId="0" applyNumberFormat="1" applyFont="1" applyBorder="1" applyAlignment="1">
      <alignment horizontal="center" vertical="center" wrapText="1"/>
    </xf>
    <xf numFmtId="43" fontId="33" fillId="0" borderId="0" xfId="0" applyNumberFormat="1" applyFont="1" applyAlignment="1">
      <alignment horizontal="center"/>
    </xf>
    <xf numFmtId="0" fontId="109" fillId="0" borderId="0" xfId="0" applyFont="1" applyAlignment="1">
      <alignment horizontal="center"/>
    </xf>
    <xf numFmtId="0" fontId="110" fillId="0" borderId="0" xfId="0" applyFont="1" applyAlignment="1">
      <alignment horizontal="center"/>
    </xf>
    <xf numFmtId="43" fontId="115" fillId="30" borderId="0" xfId="47" applyFont="1" applyFill="1" applyAlignment="1">
      <alignment horizontal="center" vertical="center"/>
    </xf>
    <xf numFmtId="49" fontId="129" fillId="38" borderId="228" xfId="0" applyNumberFormat="1" applyFont="1" applyFill="1" applyBorder="1" applyAlignment="1" applyProtection="1">
      <alignment horizontal="left" vertical="center" wrapText="1"/>
      <protection locked="0"/>
    </xf>
    <xf numFmtId="49" fontId="129" fillId="38" borderId="229" xfId="0" applyNumberFormat="1" applyFont="1" applyFill="1" applyBorder="1" applyAlignment="1" applyProtection="1">
      <alignment horizontal="left" vertical="center" wrapText="1"/>
      <protection locked="0"/>
    </xf>
    <xf numFmtId="0" fontId="129" fillId="22" borderId="102" xfId="0" applyFont="1" applyFill="1" applyBorder="1" applyAlignment="1" applyProtection="1">
      <alignment horizontal="center" vertical="center" wrapText="1"/>
      <protection locked="0"/>
    </xf>
    <xf numFmtId="0" fontId="129" fillId="22" borderId="106" xfId="0" applyFont="1" applyFill="1" applyBorder="1" applyAlignment="1" applyProtection="1">
      <alignment horizontal="center" vertical="center" wrapText="1"/>
      <protection locked="0"/>
    </xf>
    <xf numFmtId="0" fontId="129" fillId="28" borderId="102" xfId="0" applyFont="1" applyFill="1" applyBorder="1" applyAlignment="1" applyProtection="1">
      <alignment horizontal="center" vertical="center" wrapText="1"/>
      <protection locked="0"/>
    </xf>
    <xf numFmtId="49" fontId="129" fillId="28" borderId="43" xfId="0" applyNumberFormat="1" applyFont="1" applyFill="1" applyBorder="1" applyAlignment="1" applyProtection="1">
      <alignment horizontal="center" vertical="center" wrapText="1"/>
      <protection locked="0"/>
    </xf>
    <xf numFmtId="49" fontId="129" fillId="38" borderId="228" xfId="0" applyNumberFormat="1" applyFont="1" applyFill="1" applyBorder="1" applyAlignment="1" applyProtection="1">
      <alignment horizontal="center" vertical="center" wrapText="1"/>
      <protection locked="0"/>
    </xf>
    <xf numFmtId="49" fontId="129" fillId="38" borderId="229" xfId="0" applyNumberFormat="1" applyFont="1" applyFill="1" applyBorder="1" applyAlignment="1" applyProtection="1">
      <alignment horizontal="center" vertical="center" wrapText="1"/>
      <protection locked="0"/>
    </xf>
    <xf numFmtId="9" fontId="33" fillId="0" borderId="99" xfId="61" applyFont="1" applyFill="1" applyBorder="1" applyAlignment="1" applyProtection="1">
      <alignment horizontal="center" vertical="center"/>
    </xf>
    <xf numFmtId="9" fontId="33" fillId="0" borderId="100" xfId="61" applyFont="1" applyFill="1" applyBorder="1" applyAlignment="1" applyProtection="1">
      <alignment horizontal="center" vertical="center"/>
    </xf>
    <xf numFmtId="9" fontId="33" fillId="0" borderId="101" xfId="61" applyFont="1" applyFill="1" applyBorder="1" applyAlignment="1" applyProtection="1">
      <alignment horizontal="center" vertical="center"/>
    </xf>
    <xf numFmtId="0" fontId="121" fillId="0" borderId="248" xfId="0" applyFont="1" applyBorder="1" applyAlignment="1">
      <alignment horizontal="center" vertical="center" wrapText="1"/>
    </xf>
    <xf numFmtId="0" fontId="121" fillId="0" borderId="249" xfId="0" applyFont="1" applyBorder="1" applyAlignment="1">
      <alignment horizontal="center" vertical="center" wrapText="1"/>
    </xf>
    <xf numFmtId="49" fontId="129" fillId="22" borderId="43" xfId="0" applyNumberFormat="1" applyFont="1" applyFill="1" applyBorder="1" applyAlignment="1" applyProtection="1">
      <alignment horizontal="center" vertical="center" wrapText="1"/>
      <protection locked="0"/>
    </xf>
    <xf numFmtId="0" fontId="133" fillId="41" borderId="244" xfId="0" applyFont="1" applyFill="1" applyBorder="1" applyAlignment="1" applyProtection="1">
      <alignment horizontal="center" vertical="center"/>
      <protection locked="0"/>
    </xf>
    <xf numFmtId="0" fontId="133" fillId="41" borderId="53" xfId="0" applyFont="1" applyFill="1" applyBorder="1" applyAlignment="1" applyProtection="1">
      <alignment horizontal="center" vertical="center"/>
      <protection locked="0"/>
    </xf>
    <xf numFmtId="0" fontId="133" fillId="41" borderId="96" xfId="0" applyFont="1" applyFill="1" applyBorder="1" applyAlignment="1">
      <alignment horizontal="center" vertical="center"/>
    </xf>
    <xf numFmtId="0" fontId="133" fillId="41" borderId="115" xfId="0" applyFont="1" applyFill="1" applyBorder="1" applyAlignment="1">
      <alignment horizontal="center" vertical="center"/>
    </xf>
    <xf numFmtId="0" fontId="0" fillId="31" borderId="103" xfId="0" applyFill="1" applyBorder="1" applyAlignment="1">
      <alignment horizontal="center"/>
    </xf>
    <xf numFmtId="0" fontId="0" fillId="31" borderId="104" xfId="0" applyFill="1" applyBorder="1" applyAlignment="1">
      <alignment horizontal="center"/>
    </xf>
    <xf numFmtId="0" fontId="0" fillId="31" borderId="105" xfId="0" applyFill="1" applyBorder="1" applyAlignment="1">
      <alignment horizontal="center"/>
    </xf>
    <xf numFmtId="49" fontId="14" fillId="0" borderId="234" xfId="0" applyNumberFormat="1" applyFont="1" applyBorder="1" applyAlignment="1">
      <alignment horizontal="center"/>
    </xf>
    <xf numFmtId="49" fontId="14" fillId="0" borderId="43" xfId="0" applyNumberFormat="1" applyFont="1" applyBorder="1" applyAlignment="1">
      <alignment horizontal="center"/>
    </xf>
    <xf numFmtId="49" fontId="14" fillId="0" borderId="232" xfId="0" applyNumberFormat="1" applyFont="1" applyBorder="1" applyAlignment="1">
      <alignment horizontal="center"/>
    </xf>
    <xf numFmtId="49" fontId="14" fillId="0" borderId="233" xfId="0" applyNumberFormat="1" applyFont="1" applyBorder="1" applyAlignment="1">
      <alignment horizontal="center"/>
    </xf>
    <xf numFmtId="49" fontId="2" fillId="22" borderId="230" xfId="0" applyNumberFormat="1" applyFont="1" applyFill="1" applyBorder="1" applyAlignment="1" applyProtection="1">
      <alignment horizontal="center" vertical="center" wrapText="1"/>
      <protection locked="0"/>
    </xf>
    <xf numFmtId="49" fontId="2" fillId="22" borderId="114" xfId="0" applyNumberFormat="1" applyFont="1" applyFill="1" applyBorder="1" applyAlignment="1" applyProtection="1">
      <alignment horizontal="center" vertical="center" wrapText="1"/>
      <protection locked="0"/>
    </xf>
    <xf numFmtId="0" fontId="129" fillId="0" borderId="102" xfId="0" applyFont="1" applyBorder="1" applyAlignment="1">
      <alignment horizontal="center" vertical="center" wrapText="1"/>
    </xf>
    <xf numFmtId="0" fontId="129" fillId="24" borderId="102" xfId="0" applyFont="1" applyFill="1" applyBorder="1" applyAlignment="1">
      <alignment horizontal="center" vertical="center" wrapText="1"/>
    </xf>
    <xf numFmtId="0" fontId="129" fillId="24" borderId="43" xfId="0" applyFont="1" applyFill="1" applyBorder="1" applyAlignment="1">
      <alignment horizontal="center" vertical="center" wrapText="1"/>
    </xf>
    <xf numFmtId="0" fontId="129" fillId="0" borderId="107" xfId="0" applyFont="1" applyBorder="1" applyAlignment="1">
      <alignment horizontal="center" vertical="center" wrapText="1"/>
    </xf>
    <xf numFmtId="0" fontId="129" fillId="0" borderId="43" xfId="0" applyFont="1" applyBorder="1" applyAlignment="1">
      <alignment horizontal="center" vertical="center" wrapText="1"/>
    </xf>
    <xf numFmtId="0" fontId="129" fillId="0" borderId="108" xfId="0" applyFont="1" applyBorder="1" applyAlignment="1">
      <alignment horizontal="center" vertical="center" wrapText="1"/>
    </xf>
    <xf numFmtId="0" fontId="2" fillId="0" borderId="251" xfId="0" applyFont="1" applyBorder="1" applyAlignment="1">
      <alignment horizontal="center" vertical="center" wrapText="1"/>
    </xf>
    <xf numFmtId="0" fontId="2" fillId="0" borderId="253" xfId="0" applyFont="1" applyBorder="1" applyAlignment="1">
      <alignment horizontal="center" vertical="center" wrapText="1"/>
    </xf>
    <xf numFmtId="0" fontId="2" fillId="0" borderId="230" xfId="0" applyFont="1" applyBorder="1" applyAlignment="1">
      <alignment horizontal="center" vertical="center" wrapText="1"/>
    </xf>
    <xf numFmtId="0" fontId="2" fillId="0" borderId="237" xfId="0" applyFont="1" applyBorder="1" applyAlignment="1">
      <alignment horizontal="center" vertical="center" wrapText="1"/>
    </xf>
    <xf numFmtId="0" fontId="2" fillId="24" borderId="230" xfId="0" applyFont="1" applyFill="1" applyBorder="1" applyAlignment="1">
      <alignment horizontal="center" vertical="center" wrapText="1"/>
    </xf>
    <xf numFmtId="0" fontId="2" fillId="24" borderId="114" xfId="0" applyFont="1" applyFill="1" applyBorder="1" applyAlignment="1">
      <alignment horizontal="center" vertical="center" wrapText="1"/>
    </xf>
    <xf numFmtId="0" fontId="2" fillId="0" borderId="252" xfId="0" applyFont="1" applyBorder="1" applyAlignment="1">
      <alignment horizontal="center" vertical="center" wrapText="1"/>
    </xf>
    <xf numFmtId="0" fontId="2" fillId="0" borderId="114" xfId="0" applyFont="1" applyBorder="1" applyAlignment="1">
      <alignment horizontal="center" vertical="center" wrapText="1"/>
    </xf>
    <xf numFmtId="49" fontId="2" fillId="28" borderId="230" xfId="0" applyNumberFormat="1" applyFont="1" applyFill="1" applyBorder="1" applyAlignment="1" applyProtection="1">
      <alignment horizontal="center" vertical="center" wrapText="1"/>
      <protection locked="0"/>
    </xf>
    <xf numFmtId="49" fontId="2" fillId="28" borderId="114" xfId="0" applyNumberFormat="1" applyFont="1" applyFill="1" applyBorder="1" applyAlignment="1" applyProtection="1">
      <alignment horizontal="center" vertical="center" wrapText="1"/>
      <protection locked="0"/>
    </xf>
    <xf numFmtId="0" fontId="129" fillId="28" borderId="228" xfId="0" applyFont="1" applyFill="1" applyBorder="1" applyAlignment="1" applyProtection="1">
      <alignment horizontal="center" vertical="center" wrapText="1"/>
      <protection locked="0"/>
    </xf>
    <xf numFmtId="0" fontId="129" fillId="28" borderId="229" xfId="0" applyFont="1" applyFill="1" applyBorder="1" applyAlignment="1" applyProtection="1">
      <alignment horizontal="center" vertical="center" wrapText="1"/>
      <protection locked="0"/>
    </xf>
    <xf numFmtId="0" fontId="2" fillId="24" borderId="251" xfId="0" applyFont="1" applyFill="1" applyBorder="1" applyAlignment="1">
      <alignment horizontal="center" vertical="center" wrapText="1"/>
    </xf>
    <xf numFmtId="0" fontId="2" fillId="24" borderId="252" xfId="0" applyFont="1" applyFill="1" applyBorder="1" applyAlignment="1">
      <alignment horizontal="center" vertical="center" wrapText="1"/>
    </xf>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43" fontId="60" fillId="30" borderId="0" xfId="38" applyFont="1" applyFill="1" applyAlignment="1">
      <alignment horizontal="center" vertical="center"/>
    </xf>
    <xf numFmtId="0" fontId="94" fillId="0" borderId="0" xfId="0" applyFont="1" applyAlignment="1">
      <alignment horizontal="right"/>
    </xf>
    <xf numFmtId="3" fontId="0" fillId="0" borderId="41" xfId="0" applyNumberFormat="1" applyBorder="1" applyAlignment="1" applyProtection="1">
      <alignment horizontal="center" vertical="center" wrapText="1"/>
      <protection locked="0"/>
    </xf>
    <xf numFmtId="3" fontId="0" fillId="0" borderId="43" xfId="0" applyNumberFormat="1" applyBorder="1" applyAlignment="1" applyProtection="1">
      <alignment horizontal="center" vertical="center" wrapText="1"/>
      <protection locked="0"/>
    </xf>
    <xf numFmtId="15" fontId="0" fillId="0" borderId="10" xfId="56" applyNumberFormat="1" applyFont="1" applyFill="1" applyBorder="1" applyAlignment="1" applyProtection="1">
      <alignment horizontal="center"/>
      <protection locked="0"/>
    </xf>
    <xf numFmtId="15" fontId="116" fillId="0" borderId="10" xfId="56" applyNumberFormat="1" applyFill="1" applyBorder="1" applyAlignment="1" applyProtection="1">
      <alignment horizontal="center"/>
      <protection locked="0"/>
    </xf>
    <xf numFmtId="0" fontId="94" fillId="0" borderId="47" xfId="0" applyFont="1" applyBorder="1" applyAlignment="1">
      <alignment horizontal="right"/>
    </xf>
    <xf numFmtId="49" fontId="124" fillId="0" borderId="10" xfId="0" applyNumberFormat="1" applyFont="1" applyBorder="1" applyAlignment="1" applyProtection="1">
      <alignment horizontal="center"/>
      <protection locked="0"/>
    </xf>
    <xf numFmtId="0" fontId="94" fillId="0" borderId="115" xfId="0" applyFont="1" applyBorder="1" applyAlignment="1">
      <alignment horizontal="right"/>
    </xf>
    <xf numFmtId="43" fontId="15" fillId="32" borderId="10" xfId="56" applyFont="1" applyFill="1" applyBorder="1" applyAlignment="1" applyProtection="1">
      <alignment horizontal="center"/>
      <protection locked="0"/>
    </xf>
    <xf numFmtId="49" fontId="0" fillId="0" borderId="42" xfId="0" applyNumberFormat="1" applyBorder="1" applyAlignment="1" applyProtection="1">
      <alignment horizontal="center"/>
      <protection locked="0"/>
    </xf>
    <xf numFmtId="0" fontId="82" fillId="0" borderId="109" xfId="0" applyFont="1" applyBorder="1" applyAlignment="1">
      <alignment horizontal="right"/>
    </xf>
    <xf numFmtId="0" fontId="0" fillId="0" borderId="235" xfId="0" applyBorder="1" applyAlignment="1">
      <alignment horizontal="center"/>
    </xf>
    <xf numFmtId="0" fontId="0" fillId="0" borderId="236" xfId="0" applyBorder="1" applyAlignment="1">
      <alignment horizontal="center"/>
    </xf>
    <xf numFmtId="0" fontId="26" fillId="0" borderId="103" xfId="0" applyFont="1" applyBorder="1" applyAlignment="1">
      <alignment horizontal="center" wrapText="1"/>
    </xf>
    <xf numFmtId="0" fontId="26" fillId="0" borderId="104" xfId="0" applyFont="1" applyBorder="1" applyAlignment="1">
      <alignment horizontal="center" wrapText="1"/>
    </xf>
    <xf numFmtId="0" fontId="26" fillId="0" borderId="105" xfId="0" applyFont="1" applyBorder="1" applyAlignment="1">
      <alignment horizontal="center" wrapText="1"/>
    </xf>
    <xf numFmtId="43" fontId="14" fillId="0" borderId="110" xfId="0" applyNumberFormat="1" applyFont="1" applyBorder="1" applyAlignment="1">
      <alignment horizontal="center"/>
    </xf>
    <xf numFmtId="0" fontId="14" fillId="0" borderId="111" xfId="0" applyFont="1" applyBorder="1" applyAlignment="1">
      <alignment horizontal="center"/>
    </xf>
    <xf numFmtId="0" fontId="14" fillId="0" borderId="112" xfId="0" applyFont="1" applyBorder="1" applyAlignment="1">
      <alignment horizontal="center"/>
    </xf>
    <xf numFmtId="0" fontId="0" fillId="22" borderId="41" xfId="0" applyFill="1" applyBorder="1" applyAlignment="1">
      <alignment horizontal="center"/>
    </xf>
    <xf numFmtId="0" fontId="0" fillId="22" borderId="43" xfId="0" applyFill="1" applyBorder="1" applyAlignment="1">
      <alignment horizontal="center"/>
    </xf>
    <xf numFmtId="49" fontId="0" fillId="0" borderId="10" xfId="0" applyNumberFormat="1" applyBorder="1" applyAlignment="1" applyProtection="1">
      <alignment horizontal="center"/>
      <protection locked="0"/>
    </xf>
    <xf numFmtId="49" fontId="2" fillId="40" borderId="228" xfId="0" applyNumberFormat="1" applyFont="1" applyFill="1" applyBorder="1" applyAlignment="1" applyProtection="1">
      <alignment horizontal="center" vertical="center" wrapText="1"/>
      <protection locked="0"/>
    </xf>
    <xf numFmtId="49" fontId="2" fillId="40" borderId="229" xfId="0" applyNumberFormat="1" applyFont="1" applyFill="1" applyBorder="1" applyAlignment="1" applyProtection="1">
      <alignment horizontal="center" vertical="center" wrapText="1"/>
      <protection locked="0"/>
    </xf>
    <xf numFmtId="49" fontId="2" fillId="0" borderId="90" xfId="0" applyNumberFormat="1" applyFont="1" applyBorder="1" applyAlignment="1">
      <alignment horizontal="center" vertical="center" wrapText="1"/>
    </xf>
    <xf numFmtId="49" fontId="2" fillId="0" borderId="87" xfId="0" applyNumberFormat="1" applyFont="1" applyBorder="1" applyAlignment="1">
      <alignment horizontal="center" vertical="center" wrapText="1"/>
    </xf>
    <xf numFmtId="49" fontId="2" fillId="24" borderId="90" xfId="0" applyNumberFormat="1" applyFont="1" applyFill="1" applyBorder="1" applyAlignment="1">
      <alignment horizontal="center" vertical="center" wrapText="1"/>
    </xf>
    <xf numFmtId="49" fontId="2" fillId="24" borderId="87" xfId="0" applyNumberFormat="1" applyFont="1" applyFill="1" applyBorder="1" applyAlignment="1">
      <alignment horizontal="center" vertical="center" wrapText="1"/>
    </xf>
    <xf numFmtId="0" fontId="129" fillId="0" borderId="228" xfId="0" applyFont="1" applyBorder="1" applyAlignment="1">
      <alignment horizontal="center" vertical="center" wrapText="1"/>
    </xf>
    <xf numFmtId="0" fontId="129" fillId="0" borderId="262" xfId="0" applyFont="1" applyBorder="1" applyAlignment="1">
      <alignment horizontal="center" vertical="center" wrapText="1"/>
    </xf>
    <xf numFmtId="0" fontId="129" fillId="24" borderId="263" xfId="0" applyFont="1" applyFill="1" applyBorder="1" applyAlignment="1">
      <alignment horizontal="center" vertical="center" wrapText="1"/>
    </xf>
    <xf numFmtId="0" fontId="129" fillId="24" borderId="262" xfId="0" applyFont="1" applyFill="1" applyBorder="1" applyAlignment="1">
      <alignment horizontal="center" vertical="center" wrapText="1"/>
    </xf>
    <xf numFmtId="0" fontId="129" fillId="0" borderId="263" xfId="0" applyFont="1" applyBorder="1" applyAlignment="1">
      <alignment horizontal="center" vertical="center" wrapText="1"/>
    </xf>
    <xf numFmtId="49" fontId="2" fillId="39" borderId="228" xfId="0" applyNumberFormat="1" applyFont="1" applyFill="1" applyBorder="1" applyAlignment="1" applyProtection="1">
      <alignment horizontal="center" vertical="center" wrapText="1"/>
      <protection locked="0"/>
    </xf>
    <xf numFmtId="49" fontId="2" fillId="39" borderId="229" xfId="0" applyNumberFormat="1" applyFont="1" applyFill="1" applyBorder="1" applyAlignment="1" applyProtection="1">
      <alignment horizontal="center" vertical="center" wrapText="1"/>
      <protection locked="0"/>
    </xf>
    <xf numFmtId="0" fontId="62" fillId="0" borderId="255" xfId="0" applyFont="1" applyBorder="1" applyAlignment="1" applyProtection="1">
      <alignment horizontal="left" vertical="center" wrapText="1"/>
      <protection locked="0"/>
    </xf>
    <xf numFmtId="0" fontId="62" fillId="0" borderId="256" xfId="0" applyFont="1" applyBorder="1" applyAlignment="1" applyProtection="1">
      <alignment horizontal="left" vertical="center" wrapText="1"/>
      <protection locked="0"/>
    </xf>
    <xf numFmtId="0" fontId="62" fillId="0" borderId="257" xfId="0" applyFont="1" applyBorder="1" applyAlignment="1" applyProtection="1">
      <alignment horizontal="left" vertical="center" wrapText="1"/>
      <protection locked="0"/>
    </xf>
    <xf numFmtId="0" fontId="62" fillId="0" borderId="41" xfId="0" applyFont="1" applyBorder="1" applyAlignment="1" applyProtection="1">
      <alignment horizontal="left" vertical="top" wrapText="1"/>
      <protection locked="0"/>
    </xf>
    <xf numFmtId="0" fontId="62" fillId="0" borderId="42" xfId="0" applyFont="1" applyBorder="1" applyAlignment="1" applyProtection="1">
      <alignment horizontal="left" vertical="top" wrapText="1"/>
      <protection locked="0"/>
    </xf>
    <xf numFmtId="0" fontId="62" fillId="0" borderId="43" xfId="0" applyFont="1" applyBorder="1" applyAlignment="1" applyProtection="1">
      <alignment horizontal="left" vertical="top" wrapText="1"/>
      <protection locked="0"/>
    </xf>
    <xf numFmtId="0" fontId="176" fillId="35" borderId="41" xfId="0" applyFont="1" applyFill="1" applyBorder="1" applyAlignment="1">
      <alignment horizontal="left" vertical="top" wrapText="1"/>
    </xf>
    <xf numFmtId="0" fontId="176" fillId="35" borderId="42" xfId="0" applyFont="1" applyFill="1" applyBorder="1" applyAlignment="1">
      <alignment horizontal="left" vertical="top" wrapText="1"/>
    </xf>
    <xf numFmtId="0" fontId="176" fillId="35" borderId="43" xfId="0" applyFont="1" applyFill="1" applyBorder="1" applyAlignment="1">
      <alignment horizontal="left" vertical="top" wrapText="1"/>
    </xf>
    <xf numFmtId="0" fontId="62" fillId="35" borderId="41" xfId="0" applyFont="1" applyFill="1" applyBorder="1" applyAlignment="1" applyProtection="1">
      <alignment horizontal="left" vertical="top" wrapText="1"/>
      <protection locked="0"/>
    </xf>
    <xf numFmtId="0" fontId="62" fillId="35" borderId="42" xfId="0" applyFont="1" applyFill="1" applyBorder="1" applyAlignment="1" applyProtection="1">
      <alignment horizontal="left" vertical="top" wrapText="1"/>
      <protection locked="0"/>
    </xf>
    <xf numFmtId="0" fontId="62" fillId="35" borderId="43" xfId="0" applyFont="1" applyFill="1" applyBorder="1" applyAlignment="1" applyProtection="1">
      <alignment horizontal="left" vertical="top" wrapText="1"/>
      <protection locked="0"/>
    </xf>
    <xf numFmtId="0" fontId="176" fillId="35" borderId="41" xfId="0" applyFont="1" applyFill="1" applyBorder="1" applyAlignment="1">
      <alignment vertical="top" wrapText="1"/>
    </xf>
    <xf numFmtId="0" fontId="114" fillId="35" borderId="42" xfId="0" applyFont="1" applyFill="1" applyBorder="1" applyAlignment="1">
      <alignment vertical="top" wrapText="1"/>
    </xf>
    <xf numFmtId="0" fontId="114" fillId="35" borderId="43" xfId="0" applyFont="1" applyFill="1" applyBorder="1" applyAlignment="1">
      <alignment vertical="top" wrapText="1"/>
    </xf>
    <xf numFmtId="0" fontId="62" fillId="0" borderId="41" xfId="0" applyFont="1" applyBorder="1" applyAlignment="1" applyProtection="1">
      <alignment horizontal="justify" vertical="top" wrapText="1"/>
      <protection locked="0"/>
    </xf>
    <xf numFmtId="0" fontId="62" fillId="0" borderId="42" xfId="0" applyFont="1" applyBorder="1" applyAlignment="1" applyProtection="1">
      <alignment horizontal="justify" vertical="top" wrapText="1"/>
      <protection locked="0"/>
    </xf>
    <xf numFmtId="0" fontId="62" fillId="0" borderId="43" xfId="0" applyFont="1" applyBorder="1" applyAlignment="1" applyProtection="1">
      <alignment horizontal="justify" vertical="top" wrapText="1"/>
      <protection locked="0"/>
    </xf>
    <xf numFmtId="0" fontId="176" fillId="35" borderId="42" xfId="0" applyFont="1" applyFill="1" applyBorder="1" applyAlignment="1">
      <alignment vertical="top" wrapText="1"/>
    </xf>
    <xf numFmtId="0" fontId="176" fillId="35" borderId="43" xfId="0" applyFont="1" applyFill="1" applyBorder="1" applyAlignment="1">
      <alignment vertical="top" wrapText="1"/>
    </xf>
    <xf numFmtId="0" fontId="87" fillId="0" borderId="42" xfId="0" applyFont="1" applyBorder="1" applyAlignment="1" applyProtection="1">
      <alignment horizontal="justify" vertical="top" wrapText="1"/>
      <protection locked="0"/>
    </xf>
    <xf numFmtId="0" fontId="87" fillId="0" borderId="43" xfId="0" applyFont="1" applyBorder="1" applyAlignment="1" applyProtection="1">
      <alignment horizontal="justify" vertical="top" wrapText="1"/>
      <protection locked="0"/>
    </xf>
    <xf numFmtId="0" fontId="14" fillId="22" borderId="41" xfId="0" applyFont="1" applyFill="1" applyBorder="1" applyAlignment="1">
      <alignment horizontal="center" vertical="top" wrapText="1"/>
    </xf>
    <xf numFmtId="0" fontId="14" fillId="22" borderId="42" xfId="0" applyFont="1" applyFill="1" applyBorder="1" applyAlignment="1">
      <alignment horizontal="center" vertical="top"/>
    </xf>
    <xf numFmtId="0" fontId="14" fillId="22" borderId="43" xfId="0" applyFont="1" applyFill="1" applyBorder="1" applyAlignment="1">
      <alignment horizontal="center" vertical="top"/>
    </xf>
    <xf numFmtId="0" fontId="24" fillId="22" borderId="41" xfId="0" applyFont="1" applyFill="1" applyBorder="1" applyAlignment="1">
      <alignment horizontal="center" vertical="top"/>
    </xf>
    <xf numFmtId="0" fontId="24" fillId="22" borderId="42" xfId="0" applyFont="1" applyFill="1" applyBorder="1" applyAlignment="1">
      <alignment horizontal="center" vertical="top"/>
    </xf>
    <xf numFmtId="0" fontId="24" fillId="22" borderId="43" xfId="0" applyFont="1" applyFill="1" applyBorder="1" applyAlignment="1">
      <alignment horizontal="center" vertical="top"/>
    </xf>
    <xf numFmtId="0" fontId="87" fillId="0" borderId="41" xfId="0" applyFont="1" applyBorder="1" applyAlignment="1" applyProtection="1">
      <alignment vertical="top" wrapText="1"/>
      <protection locked="0"/>
    </xf>
    <xf numFmtId="0" fontId="87" fillId="0" borderId="42" xfId="0" applyFont="1" applyBorder="1" applyAlignment="1" applyProtection="1">
      <alignment vertical="top" wrapText="1"/>
      <protection locked="0"/>
    </xf>
    <xf numFmtId="0" fontId="87" fillId="0" borderId="43" xfId="0" applyFont="1" applyBorder="1" applyAlignment="1" applyProtection="1">
      <alignment vertical="top" wrapText="1"/>
      <protection locked="0"/>
    </xf>
    <xf numFmtId="0" fontId="87" fillId="0" borderId="41" xfId="0" applyFont="1" applyBorder="1" applyAlignment="1" applyProtection="1">
      <alignment horizontal="left" vertical="top" wrapText="1"/>
      <protection locked="0"/>
    </xf>
    <xf numFmtId="0" fontId="87" fillId="0" borderId="42" xfId="0" applyFont="1" applyBorder="1" applyAlignment="1" applyProtection="1">
      <alignment horizontal="left" vertical="top" wrapText="1"/>
      <protection locked="0"/>
    </xf>
    <xf numFmtId="0" fontId="87" fillId="0" borderId="43" xfId="0" applyFont="1" applyBorder="1" applyAlignment="1" applyProtection="1">
      <alignment horizontal="left" vertical="top" wrapText="1"/>
      <protection locked="0"/>
    </xf>
    <xf numFmtId="0" fontId="175" fillId="0" borderId="41" xfId="0" applyFont="1" applyBorder="1" applyAlignment="1" applyProtection="1">
      <alignment horizontal="center" vertical="top" wrapText="1"/>
      <protection locked="0"/>
    </xf>
    <xf numFmtId="0" fontId="175" fillId="0" borderId="42" xfId="0" applyFont="1" applyBorder="1" applyAlignment="1" applyProtection="1">
      <alignment horizontal="center" vertical="top" wrapText="1"/>
      <protection locked="0"/>
    </xf>
    <xf numFmtId="0" fontId="175" fillId="0" borderId="43" xfId="0" applyFont="1" applyBorder="1" applyAlignment="1" applyProtection="1">
      <alignment horizontal="center" vertical="top" wrapText="1"/>
      <protection locked="0"/>
    </xf>
    <xf numFmtId="0" fontId="0" fillId="0" borderId="0" xfId="0" applyAlignment="1">
      <alignment horizontal="center" vertical="top"/>
    </xf>
    <xf numFmtId="0" fontId="0" fillId="0" borderId="239" xfId="0" applyBorder="1" applyAlignment="1">
      <alignment horizontal="center" vertical="top"/>
    </xf>
    <xf numFmtId="0" fontId="62" fillId="0" borderId="41" xfId="0" applyFont="1" applyBorder="1" applyAlignment="1">
      <alignment vertical="top" wrapText="1"/>
    </xf>
    <xf numFmtId="0" fontId="62" fillId="0" borderId="42" xfId="0" applyFont="1" applyBorder="1" applyAlignment="1">
      <alignment vertical="top" wrapText="1"/>
    </xf>
    <xf numFmtId="0" fontId="62" fillId="0" borderId="43" xfId="0" applyFont="1" applyBorder="1" applyAlignment="1">
      <alignment vertical="top" wrapText="1"/>
    </xf>
    <xf numFmtId="0" fontId="0" fillId="0" borderId="0" xfId="0" applyAlignment="1">
      <alignment horizontal="center" vertical="top" wrapText="1"/>
    </xf>
    <xf numFmtId="0" fontId="62" fillId="0" borderId="95" xfId="0" applyFont="1" applyBorder="1" applyAlignment="1">
      <alignment horizontal="left" vertical="top" wrapText="1"/>
    </xf>
    <xf numFmtId="0" fontId="62" fillId="0" borderId="239" xfId="0" applyFont="1" applyBorder="1" applyAlignment="1">
      <alignment horizontal="left" vertical="top" wrapText="1"/>
    </xf>
    <xf numFmtId="0" fontId="62" fillId="0" borderId="96" xfId="0" applyFont="1" applyBorder="1" applyAlignment="1">
      <alignment horizontal="left" vertical="top" wrapText="1"/>
    </xf>
    <xf numFmtId="0" fontId="62" fillId="0" borderId="88" xfId="0" applyFont="1" applyBorder="1" applyAlignment="1">
      <alignment horizontal="left" vertical="top" wrapText="1"/>
    </xf>
    <xf numFmtId="0" fontId="62" fillId="0" borderId="97" xfId="0" applyFont="1" applyBorder="1" applyAlignment="1">
      <alignment horizontal="left" vertical="top" wrapText="1"/>
    </xf>
    <xf numFmtId="0" fontId="62" fillId="0" borderId="98" xfId="0" applyFont="1" applyBorder="1" applyAlignment="1">
      <alignment horizontal="left" vertical="top" wrapText="1"/>
    </xf>
    <xf numFmtId="43" fontId="86" fillId="0" borderId="41" xfId="0" applyNumberFormat="1" applyFont="1" applyBorder="1" applyAlignment="1">
      <alignment horizontal="left" vertical="top" wrapText="1"/>
    </xf>
    <xf numFmtId="0" fontId="86" fillId="0" borderId="42" xfId="0" applyFont="1" applyBorder="1" applyAlignment="1">
      <alignment horizontal="left" vertical="top" wrapText="1"/>
    </xf>
    <xf numFmtId="0" fontId="86" fillId="0" borderId="43" xfId="0" applyFont="1" applyBorder="1" applyAlignment="1">
      <alignment horizontal="left" vertical="top" wrapText="1"/>
    </xf>
    <xf numFmtId="0" fontId="62" fillId="0" borderId="41" xfId="0" applyFont="1" applyBorder="1" applyAlignment="1">
      <alignment horizontal="left" vertical="top" wrapText="1"/>
    </xf>
    <xf numFmtId="0" fontId="62" fillId="0" borderId="42" xfId="0" applyFont="1" applyBorder="1" applyAlignment="1">
      <alignment horizontal="left" vertical="top" wrapText="1"/>
    </xf>
    <xf numFmtId="0" fontId="62" fillId="0" borderId="43" xfId="0" applyFont="1" applyBorder="1" applyAlignment="1">
      <alignment horizontal="left" vertical="top" wrapText="1"/>
    </xf>
    <xf numFmtId="0" fontId="87" fillId="0" borderId="42" xfId="0" applyFont="1" applyBorder="1" applyAlignment="1">
      <alignment horizontal="left" vertical="top" wrapText="1"/>
    </xf>
    <xf numFmtId="0" fontId="87" fillId="0" borderId="43" xfId="0" applyFont="1" applyBorder="1" applyAlignment="1">
      <alignment horizontal="left" vertical="top" wrapText="1"/>
    </xf>
    <xf numFmtId="0" fontId="106" fillId="0" borderId="41" xfId="0" applyFont="1" applyBorder="1" applyAlignment="1">
      <alignment horizontal="justify" vertical="top" wrapText="1"/>
    </xf>
    <xf numFmtId="0" fontId="106" fillId="0" borderId="42" xfId="0" applyFont="1" applyBorder="1" applyAlignment="1">
      <alignment horizontal="justify" vertical="top" wrapText="1"/>
    </xf>
    <xf numFmtId="0" fontId="106" fillId="0" borderId="43" xfId="0" applyFont="1" applyBorder="1" applyAlignment="1">
      <alignment horizontal="justify" vertical="top" wrapText="1"/>
    </xf>
    <xf numFmtId="0" fontId="106" fillId="0" borderId="41" xfId="0" applyFont="1" applyBorder="1" applyAlignment="1">
      <alignment horizontal="left" vertical="top" wrapText="1"/>
    </xf>
    <xf numFmtId="0" fontId="104" fillId="0" borderId="42" xfId="0" applyFont="1" applyBorder="1" applyAlignment="1">
      <alignment horizontal="left" vertical="top" wrapText="1"/>
    </xf>
    <xf numFmtId="0" fontId="104" fillId="0" borderId="43" xfId="0" applyFont="1" applyBorder="1" applyAlignment="1">
      <alignment horizontal="left" vertical="top" wrapText="1"/>
    </xf>
    <xf numFmtId="0" fontId="85" fillId="25" borderId="41" xfId="0" applyFont="1" applyFill="1" applyBorder="1" applyAlignment="1">
      <alignment horizontal="center" vertical="top"/>
    </xf>
    <xf numFmtId="0" fontId="85" fillId="25" borderId="42" xfId="0" applyFont="1" applyFill="1" applyBorder="1" applyAlignment="1">
      <alignment horizontal="center" vertical="top"/>
    </xf>
    <xf numFmtId="0" fontId="85" fillId="25" borderId="43" xfId="0" applyFont="1" applyFill="1" applyBorder="1" applyAlignment="1">
      <alignment horizontal="center" vertical="top"/>
    </xf>
    <xf numFmtId="0" fontId="87" fillId="0" borderId="41" xfId="0" applyFont="1" applyBorder="1" applyAlignment="1">
      <alignment horizontal="left" vertical="top" wrapText="1"/>
    </xf>
    <xf numFmtId="0" fontId="0" fillId="0" borderId="42" xfId="0" applyBorder="1" applyAlignment="1">
      <alignment horizontal="left" vertical="top"/>
    </xf>
    <xf numFmtId="0" fontId="0" fillId="0" borderId="43" xfId="0" applyBorder="1" applyAlignment="1">
      <alignment horizontal="left" vertical="top"/>
    </xf>
    <xf numFmtId="43" fontId="17" fillId="30" borderId="0" xfId="46" applyFont="1" applyFill="1" applyAlignment="1">
      <alignment horizontal="center" vertical="center"/>
    </xf>
    <xf numFmtId="0" fontId="84" fillId="0" borderId="0" xfId="0" applyFont="1" applyAlignment="1">
      <alignment horizontal="center"/>
    </xf>
    <xf numFmtId="0" fontId="85" fillId="26" borderId="41" xfId="0" applyFont="1" applyFill="1" applyBorder="1" applyAlignment="1">
      <alignment horizontal="center"/>
    </xf>
    <xf numFmtId="0" fontId="85" fillId="26" borderId="42" xfId="0" applyFont="1" applyFill="1" applyBorder="1" applyAlignment="1">
      <alignment horizontal="center"/>
    </xf>
    <xf numFmtId="0" fontId="85" fillId="26" borderId="43" xfId="0" applyFont="1" applyFill="1" applyBorder="1" applyAlignment="1">
      <alignment horizontal="center"/>
    </xf>
    <xf numFmtId="9" fontId="87" fillId="0" borderId="41" xfId="61" applyFont="1" applyBorder="1" applyAlignment="1">
      <alignment horizontal="left" vertical="top" wrapText="1"/>
    </xf>
    <xf numFmtId="9" fontId="87" fillId="0" borderId="42" xfId="61" applyFont="1" applyBorder="1" applyAlignment="1">
      <alignment horizontal="left" vertical="top" wrapText="1"/>
    </xf>
    <xf numFmtId="9" fontId="87" fillId="0" borderId="43" xfId="61" applyFont="1" applyBorder="1" applyAlignment="1">
      <alignment horizontal="left" vertical="top" wrapText="1"/>
    </xf>
    <xf numFmtId="0" fontId="86" fillId="0" borderId="42" xfId="0" applyFont="1" applyBorder="1" applyAlignment="1">
      <alignment horizontal="left" vertical="top"/>
    </xf>
    <xf numFmtId="0" fontId="86" fillId="0" borderId="43" xfId="0" applyFont="1" applyBorder="1" applyAlignment="1">
      <alignment horizontal="left" vertical="top"/>
    </xf>
    <xf numFmtId="43" fontId="86" fillId="0" borderId="41" xfId="0" applyNumberFormat="1" applyFont="1" applyBorder="1" applyAlignment="1">
      <alignment vertical="top" wrapText="1"/>
    </xf>
    <xf numFmtId="0" fontId="86" fillId="0" borderId="42" xfId="0" applyFont="1" applyBorder="1" applyAlignment="1">
      <alignment vertical="top"/>
    </xf>
    <xf numFmtId="0" fontId="86" fillId="0" borderId="43" xfId="0" applyFont="1" applyBorder="1" applyAlignment="1">
      <alignment vertical="top"/>
    </xf>
    <xf numFmtId="0" fontId="86" fillId="0" borderId="42" xfId="0" applyFont="1" applyBorder="1" applyAlignment="1">
      <alignment vertical="top" wrapText="1"/>
    </xf>
    <xf numFmtId="0" fontId="86" fillId="0" borderId="43" xfId="0" applyFont="1" applyBorder="1" applyAlignment="1">
      <alignment vertical="top" wrapText="1"/>
    </xf>
    <xf numFmtId="0" fontId="62" fillId="0" borderId="95" xfId="0" applyFont="1" applyBorder="1" applyAlignment="1">
      <alignment horizontal="justify" vertical="top" wrapText="1"/>
    </xf>
    <xf numFmtId="0" fontId="62" fillId="0" borderId="239" xfId="0" applyFont="1" applyBorder="1" applyAlignment="1">
      <alignment horizontal="justify" vertical="top" wrapText="1"/>
    </xf>
    <xf numFmtId="0" fontId="62" fillId="0" borderId="96" xfId="0" applyFont="1" applyBorder="1" applyAlignment="1">
      <alignment horizontal="justify" vertical="top" wrapText="1"/>
    </xf>
    <xf numFmtId="0" fontId="14" fillId="22" borderId="41" xfId="0" applyFont="1" applyFill="1" applyBorder="1" applyAlignment="1">
      <alignment horizontal="center" vertical="center" wrapText="1"/>
    </xf>
    <xf numFmtId="0" fontId="14" fillId="22" borderId="42" xfId="0" applyFont="1" applyFill="1" applyBorder="1" applyAlignment="1">
      <alignment horizontal="center" vertical="center"/>
    </xf>
    <xf numFmtId="0" fontId="14" fillId="22" borderId="43" xfId="0" applyFont="1" applyFill="1" applyBorder="1" applyAlignment="1">
      <alignment horizontal="center" vertical="center"/>
    </xf>
    <xf numFmtId="0" fontId="24" fillId="22" borderId="41" xfId="0" applyFont="1" applyFill="1" applyBorder="1" applyAlignment="1">
      <alignment horizontal="center" vertical="center"/>
    </xf>
    <xf numFmtId="0" fontId="24" fillId="22" borderId="42" xfId="0" applyFont="1" applyFill="1" applyBorder="1" applyAlignment="1">
      <alignment horizontal="center" vertical="center"/>
    </xf>
    <xf numFmtId="0" fontId="24" fillId="22" borderId="43" xfId="0" applyFont="1" applyFill="1" applyBorder="1" applyAlignment="1">
      <alignment horizontal="center" vertical="center"/>
    </xf>
    <xf numFmtId="0" fontId="84" fillId="0" borderId="0" xfId="0" applyFont="1" applyAlignment="1">
      <alignment horizontal="center" vertical="top"/>
    </xf>
    <xf numFmtId="0" fontId="0" fillId="0" borderId="239" xfId="0" applyBorder="1" applyAlignment="1">
      <alignment horizontal="center" vertical="top" wrapText="1"/>
    </xf>
    <xf numFmtId="0" fontId="106" fillId="0" borderId="42" xfId="0" applyFont="1" applyBorder="1" applyAlignment="1">
      <alignment horizontal="left" vertical="top" wrapText="1"/>
    </xf>
    <xf numFmtId="0" fontId="106" fillId="0" borderId="43" xfId="0" applyFont="1" applyBorder="1" applyAlignment="1">
      <alignment horizontal="left" vertical="top" wrapText="1"/>
    </xf>
    <xf numFmtId="0" fontId="87" fillId="0" borderId="88" xfId="0" applyFont="1" applyBorder="1" applyAlignment="1">
      <alignment horizontal="justify" vertical="top" wrapText="1"/>
    </xf>
    <xf numFmtId="0" fontId="87" fillId="0" borderId="97" xfId="0" applyFont="1" applyBorder="1" applyAlignment="1">
      <alignment horizontal="justify" vertical="top" wrapText="1"/>
    </xf>
    <xf numFmtId="0" fontId="87" fillId="0" borderId="98" xfId="0" applyFont="1" applyBorder="1" applyAlignment="1">
      <alignment horizontal="justify" vertical="top" wrapText="1"/>
    </xf>
    <xf numFmtId="43" fontId="86" fillId="0" borderId="95" xfId="0" applyNumberFormat="1" applyFont="1" applyBorder="1" applyAlignment="1">
      <alignment vertical="top" wrapText="1"/>
    </xf>
    <xf numFmtId="0" fontId="86" fillId="0" borderId="239" xfId="0" applyFont="1" applyBorder="1" applyAlignment="1">
      <alignment vertical="top" wrapText="1"/>
    </xf>
    <xf numFmtId="0" fontId="86" fillId="0" borderId="96" xfId="0" applyFont="1" applyBorder="1" applyAlignment="1">
      <alignment vertical="top" wrapText="1"/>
    </xf>
    <xf numFmtId="0" fontId="86" fillId="0" borderId="88" xfId="0" applyFont="1" applyBorder="1" applyAlignment="1">
      <alignment vertical="top" wrapText="1"/>
    </xf>
    <xf numFmtId="0" fontId="86" fillId="0" borderId="97" xfId="0" applyFont="1" applyBorder="1" applyAlignment="1">
      <alignment vertical="top" wrapText="1"/>
    </xf>
    <xf numFmtId="0" fontId="86" fillId="0" borderId="98" xfId="0" applyFont="1" applyBorder="1" applyAlignment="1">
      <alignment vertical="top" wrapText="1"/>
    </xf>
    <xf numFmtId="0" fontId="92" fillId="0" borderId="41" xfId="0" applyFont="1" applyBorder="1" applyAlignment="1" applyProtection="1">
      <alignment vertical="top" wrapText="1"/>
      <protection locked="0"/>
    </xf>
    <xf numFmtId="0" fontId="92" fillId="0" borderId="42" xfId="0" applyFont="1" applyBorder="1" applyAlignment="1" applyProtection="1">
      <alignment vertical="top" wrapText="1"/>
      <protection locked="0"/>
    </xf>
    <xf numFmtId="0" fontId="92" fillId="0" borderId="43" xfId="0" applyFont="1" applyBorder="1" applyAlignment="1" applyProtection="1">
      <alignment vertical="top" wrapText="1"/>
      <protection locked="0"/>
    </xf>
    <xf numFmtId="0" fontId="114" fillId="35" borderId="41" xfId="0" applyFont="1" applyFill="1" applyBorder="1" applyAlignment="1">
      <alignment horizontal="left" vertical="top" wrapText="1"/>
    </xf>
    <xf numFmtId="0" fontId="114" fillId="35" borderId="42" xfId="0" applyFont="1" applyFill="1" applyBorder="1" applyAlignment="1">
      <alignment horizontal="left" vertical="top" wrapText="1"/>
    </xf>
    <xf numFmtId="0" fontId="114" fillId="35" borderId="43" xfId="0" applyFont="1" applyFill="1" applyBorder="1" applyAlignment="1">
      <alignment horizontal="left" vertical="top" wrapText="1"/>
    </xf>
    <xf numFmtId="0" fontId="175" fillId="35" borderId="41" xfId="0" applyFont="1" applyFill="1" applyBorder="1" applyAlignment="1" applyProtection="1">
      <alignment horizontal="left" vertical="top" wrapText="1"/>
      <protection locked="0"/>
    </xf>
    <xf numFmtId="0" fontId="175" fillId="35" borderId="42" xfId="0" applyFont="1" applyFill="1" applyBorder="1" applyAlignment="1" applyProtection="1">
      <alignment horizontal="left" vertical="top" wrapText="1"/>
      <protection locked="0"/>
    </xf>
    <xf numFmtId="0" fontId="175" fillId="35" borderId="43" xfId="0" applyFont="1" applyFill="1" applyBorder="1" applyAlignment="1" applyProtection="1">
      <alignment horizontal="left" vertical="top" wrapText="1"/>
      <protection locked="0"/>
    </xf>
    <xf numFmtId="0" fontId="175" fillId="0" borderId="41" xfId="0" applyFont="1" applyBorder="1" applyAlignment="1" applyProtection="1">
      <alignment horizontal="left" vertical="top" wrapText="1"/>
      <protection locked="0"/>
    </xf>
    <xf numFmtId="0" fontId="175" fillId="0" borderId="42" xfId="0" applyFont="1" applyBorder="1" applyAlignment="1" applyProtection="1">
      <alignment horizontal="left" vertical="top" wrapText="1"/>
      <protection locked="0"/>
    </xf>
    <xf numFmtId="0" fontId="175" fillId="0" borderId="43" xfId="0" applyFont="1" applyBorder="1" applyAlignment="1" applyProtection="1">
      <alignment horizontal="left" vertical="top" wrapText="1"/>
      <protection locked="0"/>
    </xf>
    <xf numFmtId="0" fontId="0" fillId="0" borderId="42" xfId="0" applyBorder="1" applyAlignment="1">
      <alignment horizontal="justify" vertical="top" wrapText="1"/>
    </xf>
    <xf numFmtId="0" fontId="0" fillId="0" borderId="43" xfId="0" applyBorder="1" applyAlignment="1">
      <alignment horizontal="justify"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114" fillId="35" borderId="10" xfId="0" applyFont="1" applyFill="1" applyBorder="1" applyAlignment="1">
      <alignment vertical="top" wrapText="1"/>
    </xf>
    <xf numFmtId="0" fontId="177" fillId="0" borderId="41" xfId="0" applyFont="1" applyBorder="1" applyAlignment="1" applyProtection="1">
      <alignment horizontal="justify" vertical="top" wrapText="1"/>
      <protection locked="0"/>
    </xf>
    <xf numFmtId="0" fontId="178" fillId="0" borderId="42" xfId="0" applyFont="1" applyBorder="1" applyAlignment="1" applyProtection="1">
      <alignment horizontal="justify" vertical="top" wrapText="1"/>
      <protection locked="0"/>
    </xf>
    <xf numFmtId="0" fontId="178" fillId="0" borderId="43" xfId="0" applyFont="1" applyBorder="1" applyAlignment="1" applyProtection="1">
      <alignment horizontal="justify" vertical="top" wrapText="1"/>
      <protection locked="0"/>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0" borderId="43" xfId="0" applyBorder="1" applyAlignment="1">
      <alignment horizontal="center" vertical="top" wrapText="1"/>
    </xf>
    <xf numFmtId="0" fontId="24" fillId="22" borderId="41" xfId="0" applyFont="1" applyFill="1" applyBorder="1" applyAlignment="1">
      <alignment horizontal="center" vertical="top" wrapText="1"/>
    </xf>
    <xf numFmtId="0" fontId="24" fillId="22" borderId="42" xfId="0" applyFont="1" applyFill="1" applyBorder="1" applyAlignment="1">
      <alignment horizontal="center" vertical="top" wrapText="1"/>
    </xf>
    <xf numFmtId="0" fontId="24" fillId="22" borderId="43" xfId="0" applyFont="1" applyFill="1" applyBorder="1" applyAlignment="1">
      <alignment horizontal="center" vertical="top" wrapText="1"/>
    </xf>
    <xf numFmtId="0" fontId="0" fillId="0" borderId="42" xfId="0" applyBorder="1" applyAlignment="1">
      <alignment vertical="top" wrapText="1"/>
    </xf>
    <xf numFmtId="0" fontId="0" fillId="0" borderId="43" xfId="0" applyBorder="1" applyAlignment="1">
      <alignment vertical="top" wrapText="1"/>
    </xf>
    <xf numFmtId="0" fontId="24" fillId="0" borderId="41" xfId="0" applyFont="1" applyBorder="1" applyAlignment="1">
      <alignment horizontal="center" vertical="top" wrapText="1"/>
    </xf>
    <xf numFmtId="0" fontId="24" fillId="0" borderId="42" xfId="0" applyFont="1" applyBorder="1" applyAlignment="1">
      <alignment horizontal="center" vertical="top" wrapText="1"/>
    </xf>
    <xf numFmtId="0" fontId="24" fillId="0" borderId="43" xfId="0" applyFont="1" applyBorder="1" applyAlignment="1">
      <alignment horizontal="center" vertical="top" wrapText="1"/>
    </xf>
    <xf numFmtId="43" fontId="24" fillId="25" borderId="38" xfId="56" applyFont="1" applyFill="1" applyBorder="1" applyAlignment="1" applyProtection="1">
      <alignment horizontal="center"/>
    </xf>
    <xf numFmtId="43" fontId="1" fillId="0" borderId="38" xfId="56" applyFont="1" applyFill="1" applyBorder="1" applyAlignment="1" applyProtection="1">
      <alignment horizontal="right" vertical="top" wrapText="1"/>
    </xf>
    <xf numFmtId="43" fontId="102" fillId="33" borderId="38" xfId="56" applyFont="1" applyFill="1" applyBorder="1" applyAlignment="1" applyProtection="1">
      <alignment horizontal="center" wrapText="1"/>
    </xf>
    <xf numFmtId="43" fontId="1" fillId="0" borderId="38" xfId="56" applyFont="1" applyFill="1" applyBorder="1" applyAlignment="1" applyProtection="1">
      <alignment horizontal="right" wrapText="1"/>
    </xf>
    <xf numFmtId="15" fontId="24" fillId="25" borderId="38" xfId="56" applyNumberFormat="1" applyFont="1" applyFill="1" applyBorder="1" applyAlignment="1" applyProtection="1">
      <alignment horizontal="center"/>
    </xf>
    <xf numFmtId="43" fontId="17" fillId="30" borderId="0" xfId="38" applyFont="1" applyFill="1" applyAlignment="1">
      <alignment horizontal="center" vertical="center"/>
    </xf>
    <xf numFmtId="43" fontId="33" fillId="25" borderId="0" xfId="49" applyFont="1" applyFill="1" applyAlignment="1">
      <alignment horizontal="center" vertical="center" wrapText="1"/>
    </xf>
    <xf numFmtId="175" fontId="24" fillId="25" borderId="38" xfId="56" applyNumberFormat="1" applyFont="1" applyFill="1" applyBorder="1" applyAlignment="1" applyProtection="1">
      <alignment horizontal="center" vertical="center"/>
    </xf>
    <xf numFmtId="43" fontId="1" fillId="0" borderId="38" xfId="56" applyFont="1" applyBorder="1" applyAlignment="1" applyProtection="1">
      <alignment horizontal="right"/>
    </xf>
    <xf numFmtId="43" fontId="20" fillId="0" borderId="0" xfId="49" applyFont="1" applyAlignment="1">
      <alignment horizontal="right" vertical="center"/>
    </xf>
    <xf numFmtId="43" fontId="24" fillId="25" borderId="0" xfId="49" applyFont="1" applyFill="1" applyAlignment="1">
      <alignment horizontal="center" vertical="center" wrapText="1"/>
    </xf>
    <xf numFmtId="0" fontId="34" fillId="22" borderId="41" xfId="0" applyFont="1" applyFill="1"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43" xfId="0" applyBorder="1" applyAlignment="1" applyProtection="1">
      <alignment horizontal="left" wrapText="1"/>
      <protection locked="0"/>
    </xf>
    <xf numFmtId="0" fontId="103" fillId="0" borderId="116" xfId="0" applyFont="1" applyBorder="1" applyAlignment="1">
      <alignment horizontal="left" wrapText="1"/>
    </xf>
    <xf numFmtId="0" fontId="103" fillId="0" borderId="73" xfId="0" applyFont="1" applyBorder="1" applyAlignment="1">
      <alignment horizontal="left" wrapText="1"/>
    </xf>
    <xf numFmtId="0" fontId="103" fillId="0" borderId="117" xfId="0" applyFont="1" applyBorder="1" applyAlignment="1">
      <alignment horizontal="left" wrapText="1"/>
    </xf>
    <xf numFmtId="0" fontId="103" fillId="0" borderId="118" xfId="0" applyFont="1" applyBorder="1" applyAlignment="1">
      <alignment horizontal="left" wrapText="1"/>
    </xf>
    <xf numFmtId="43" fontId="60" fillId="30" borderId="0" xfId="47" applyFont="1" applyFill="1" applyAlignment="1">
      <alignment horizontal="center" vertical="center"/>
    </xf>
    <xf numFmtId="43" fontId="14" fillId="0" borderId="0" xfId="0" applyNumberFormat="1" applyFont="1" applyAlignment="1">
      <alignment horizontal="center" wrapText="1"/>
    </xf>
    <xf numFmtId="43" fontId="28" fillId="0" borderId="0" xfId="0" applyNumberFormat="1" applyFont="1" applyAlignment="1">
      <alignment horizontal="right"/>
    </xf>
    <xf numFmtId="15" fontId="28" fillId="0" borderId="0" xfId="0" applyNumberFormat="1" applyFont="1" applyAlignment="1">
      <alignment horizontal="right"/>
    </xf>
    <xf numFmtId="43" fontId="14" fillId="0" borderId="0" xfId="0" applyNumberFormat="1" applyFont="1" applyAlignment="1">
      <alignment horizontal="center"/>
    </xf>
    <xf numFmtId="43" fontId="28" fillId="0" borderId="0" xfId="0" applyNumberFormat="1" applyFont="1" applyAlignment="1">
      <alignment horizontal="left"/>
    </xf>
    <xf numFmtId="43" fontId="15" fillId="33" borderId="0" xfId="56" applyFont="1" applyFill="1" applyBorder="1" applyAlignment="1" applyProtection="1">
      <alignment horizontal="center" wrapText="1"/>
    </xf>
    <xf numFmtId="0" fontId="100" fillId="0" borderId="0" xfId="0" applyFont="1" applyAlignment="1">
      <alignment horizontal="center"/>
    </xf>
    <xf numFmtId="43" fontId="99" fillId="0" borderId="103" xfId="0" applyNumberFormat="1" applyFont="1" applyBorder="1" applyAlignment="1">
      <alignment horizontal="center" vertical="center" wrapText="1"/>
    </xf>
    <xf numFmtId="43" fontId="99" fillId="0" borderId="104" xfId="0" applyNumberFormat="1" applyFont="1" applyBorder="1" applyAlignment="1">
      <alignment horizontal="center" vertical="center" wrapText="1"/>
    </xf>
    <xf numFmtId="43" fontId="99" fillId="0" borderId="105" xfId="0" applyNumberFormat="1" applyFont="1" applyBorder="1" applyAlignment="1">
      <alignment horizontal="center" vertical="center" wrapText="1"/>
    </xf>
    <xf numFmtId="0" fontId="0" fillId="0" borderId="119" xfId="0" applyBorder="1" applyAlignment="1">
      <alignment horizontal="center"/>
    </xf>
    <xf numFmtId="0" fontId="0" fillId="0" borderId="56" xfId="0" applyBorder="1" applyAlignment="1">
      <alignment horizontal="center"/>
    </xf>
    <xf numFmtId="0" fontId="30" fillId="22" borderId="41" xfId="0" applyFont="1" applyFill="1" applyBorder="1" applyAlignment="1" applyProtection="1">
      <alignment horizontal="left" wrapText="1"/>
      <protection locked="0"/>
    </xf>
    <xf numFmtId="0" fontId="34" fillId="22" borderId="42"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121" fillId="53" borderId="245" xfId="0" applyFont="1" applyFill="1" applyBorder="1" applyAlignment="1">
      <alignment horizontal="center" vertical="center"/>
    </xf>
    <xf numFmtId="0" fontId="121" fillId="52" borderId="243" xfId="0" applyFont="1" applyFill="1" applyBorder="1" applyAlignment="1">
      <alignment horizontal="center" vertical="center" wrapText="1"/>
    </xf>
    <xf numFmtId="0" fontId="30" fillId="22" borderId="0" xfId="0" applyFont="1" applyFill="1" applyAlignment="1" applyProtection="1">
      <alignment horizontal="left" vertical="top" wrapText="1"/>
      <protection locked="0"/>
    </xf>
    <xf numFmtId="0" fontId="30" fillId="22" borderId="0" xfId="0" applyFont="1" applyFill="1" applyAlignment="1" applyProtection="1">
      <alignment horizontal="left" vertical="top"/>
      <protection locked="0"/>
    </xf>
    <xf numFmtId="0" fontId="34" fillId="22" borderId="104" xfId="0" applyFont="1" applyFill="1" applyBorder="1" applyAlignment="1" applyProtection="1">
      <alignment horizontal="left" vertical="top" wrapText="1"/>
      <protection locked="0"/>
    </xf>
    <xf numFmtId="43" fontId="35" fillId="0" borderId="0" xfId="0" applyNumberFormat="1" applyFont="1" applyAlignment="1">
      <alignment horizontal="center" vertical="center" wrapText="1"/>
    </xf>
    <xf numFmtId="43" fontId="35" fillId="0" borderId="0" xfId="0" applyNumberFormat="1" applyFont="1" applyAlignment="1">
      <alignment horizontal="center" vertical="center"/>
    </xf>
    <xf numFmtId="0" fontId="173" fillId="22" borderId="0" xfId="0" applyFont="1" applyFill="1" applyAlignment="1" applyProtection="1">
      <alignment horizontal="left" vertical="top" wrapText="1"/>
      <protection locked="0"/>
    </xf>
    <xf numFmtId="0" fontId="34" fillId="22" borderId="0" xfId="0" applyFont="1" applyFill="1" applyAlignment="1" applyProtection="1">
      <alignment horizontal="left" vertical="top" wrapText="1"/>
      <protection locked="0"/>
    </xf>
    <xf numFmtId="43" fontId="15" fillId="33" borderId="0" xfId="56" applyFont="1" applyFill="1" applyBorder="1" applyAlignment="1" applyProtection="1">
      <alignment horizontal="center" vertical="center" wrapText="1"/>
    </xf>
    <xf numFmtId="0" fontId="0" fillId="0" borderId="0" xfId="0" applyAlignment="1">
      <alignment horizontal="center"/>
    </xf>
    <xf numFmtId="0" fontId="171" fillId="22" borderId="104" xfId="0" applyFont="1" applyFill="1" applyBorder="1" applyAlignment="1" applyProtection="1">
      <alignment horizontal="left" vertical="top" wrapText="1"/>
      <protection locked="0"/>
    </xf>
    <xf numFmtId="43" fontId="35" fillId="0" borderId="0" xfId="0" applyNumberFormat="1" applyFont="1" applyAlignment="1">
      <alignment horizontal="left" vertical="center" wrapText="1"/>
    </xf>
    <xf numFmtId="0" fontId="14" fillId="0" borderId="0" xfId="0" applyFont="1" applyAlignment="1">
      <alignment horizontal="center"/>
    </xf>
    <xf numFmtId="43" fontId="28" fillId="0" borderId="0" xfId="0" applyNumberFormat="1" applyFont="1" applyAlignment="1">
      <alignment horizontal="left" vertical="center" wrapText="1"/>
    </xf>
    <xf numFmtId="0" fontId="174" fillId="22" borderId="104" xfId="0" applyFont="1" applyFill="1" applyBorder="1" applyAlignment="1" applyProtection="1">
      <alignment horizontal="left" vertical="top" wrapText="1"/>
      <protection locked="0"/>
    </xf>
    <xf numFmtId="0" fontId="28" fillId="0" borderId="254" xfId="0" applyFont="1" applyBorder="1" applyAlignment="1">
      <alignment horizontal="left" vertical="center" wrapText="1"/>
    </xf>
    <xf numFmtId="43" fontId="15" fillId="33" borderId="0" xfId="57" applyFont="1" applyFill="1" applyBorder="1" applyAlignment="1" applyProtection="1">
      <alignment horizontal="center"/>
    </xf>
    <xf numFmtId="43" fontId="100" fillId="0" borderId="0" xfId="0" applyNumberFormat="1" applyFont="1" applyAlignment="1">
      <alignment horizontal="center"/>
    </xf>
    <xf numFmtId="2" fontId="121" fillId="0" borderId="254" xfId="0" applyNumberFormat="1" applyFont="1" applyBorder="1" applyAlignment="1">
      <alignment horizontal="left" vertical="center" wrapText="1"/>
    </xf>
    <xf numFmtId="0" fontId="28" fillId="22" borderId="88" xfId="0" applyFont="1" applyFill="1" applyBorder="1" applyAlignment="1" applyProtection="1">
      <alignment horizontal="left" vertical="top" wrapText="1"/>
      <protection locked="0"/>
    </xf>
    <xf numFmtId="0" fontId="28" fillId="0" borderId="97" xfId="0" applyFont="1" applyBorder="1" applyAlignment="1">
      <alignment horizontal="left" vertical="top" wrapText="1"/>
    </xf>
    <xf numFmtId="0" fontId="28" fillId="0" borderId="98" xfId="0" applyFont="1" applyBorder="1" applyAlignment="1">
      <alignment horizontal="left" vertical="top" wrapText="1"/>
    </xf>
    <xf numFmtId="0" fontId="33" fillId="0" borderId="97" xfId="0" applyFont="1" applyBorder="1" applyAlignment="1">
      <alignment horizontal="center"/>
    </xf>
    <xf numFmtId="0" fontId="21" fillId="35" borderId="41" xfId="0" applyFont="1" applyFill="1" applyBorder="1" applyAlignment="1">
      <alignment vertical="center" wrapText="1"/>
    </xf>
    <xf numFmtId="0" fontId="21" fillId="35" borderId="42" xfId="0" applyFont="1" applyFill="1" applyBorder="1" applyAlignment="1">
      <alignment vertical="center" wrapText="1"/>
    </xf>
    <xf numFmtId="0" fontId="21" fillId="35" borderId="43" xfId="0" applyFont="1" applyFill="1" applyBorder="1" applyAlignment="1">
      <alignment vertical="center" wrapText="1"/>
    </xf>
    <xf numFmtId="0" fontId="34" fillId="0" borderId="10" xfId="0" applyFont="1" applyBorder="1" applyAlignment="1">
      <alignment horizontal="center" vertical="center" wrapText="1"/>
    </xf>
    <xf numFmtId="0" fontId="0" fillId="35" borderId="41" xfId="0" applyFill="1" applyBorder="1" applyAlignment="1">
      <alignment horizontal="left" vertical="center" wrapText="1"/>
    </xf>
    <xf numFmtId="0" fontId="0" fillId="35" borderId="42" xfId="0" applyFill="1" applyBorder="1" applyAlignment="1">
      <alignment horizontal="left" vertical="center" wrapText="1"/>
    </xf>
    <xf numFmtId="0" fontId="0" fillId="35" borderId="43" xfId="0" applyFill="1" applyBorder="1" applyAlignment="1">
      <alignment horizontal="left" vertical="center" wrapText="1"/>
    </xf>
    <xf numFmtId="9" fontId="130" fillId="31" borderId="41" xfId="61" applyFont="1" applyFill="1" applyBorder="1" applyAlignment="1" applyProtection="1">
      <alignment horizontal="center" vertical="center" wrapText="1"/>
    </xf>
    <xf numFmtId="9" fontId="130" fillId="31" borderId="43" xfId="61" applyFont="1" applyFill="1" applyBorder="1" applyAlignment="1" applyProtection="1">
      <alignment horizontal="center" vertical="center" wrapText="1"/>
    </xf>
    <xf numFmtId="9" fontId="128" fillId="0" borderId="41" xfId="61" applyFont="1" applyBorder="1" applyAlignment="1" applyProtection="1">
      <alignment horizontal="center" vertical="center" wrapText="1"/>
    </xf>
    <xf numFmtId="9" fontId="128" fillId="0" borderId="42" xfId="61" applyFont="1" applyBorder="1" applyAlignment="1" applyProtection="1">
      <alignment horizontal="center" vertical="center" wrapText="1"/>
    </xf>
    <xf numFmtId="9" fontId="128" fillId="0" borderId="43" xfId="61" applyFont="1" applyBorder="1" applyAlignment="1" applyProtection="1">
      <alignment horizontal="center" vertical="center" wrapText="1"/>
    </xf>
    <xf numFmtId="9" fontId="128" fillId="35" borderId="10" xfId="61" applyFont="1" applyFill="1" applyBorder="1" applyAlignment="1" applyProtection="1">
      <alignment horizontal="left" vertical="top" wrapText="1"/>
      <protection locked="0"/>
    </xf>
    <xf numFmtId="0" fontId="21" fillId="35" borderId="41" xfId="0" applyFont="1" applyFill="1" applyBorder="1" applyAlignment="1">
      <alignment horizontal="left" vertical="center" wrapText="1"/>
    </xf>
    <xf numFmtId="0" fontId="21" fillId="35" borderId="42" xfId="0" applyFont="1" applyFill="1" applyBorder="1" applyAlignment="1">
      <alignment horizontal="left" vertical="center" wrapText="1"/>
    </xf>
    <xf numFmtId="0" fontId="21" fillId="35" borderId="43" xfId="0" applyFont="1" applyFill="1" applyBorder="1" applyAlignment="1">
      <alignment horizontal="left" vertical="center" wrapText="1"/>
    </xf>
    <xf numFmtId="9" fontId="1" fillId="0" borderId="41" xfId="61" applyFont="1" applyBorder="1" applyAlignment="1" applyProtection="1">
      <alignment horizontal="center" vertical="center" wrapText="1"/>
    </xf>
    <xf numFmtId="9" fontId="1" fillId="0" borderId="42" xfId="61" applyFont="1" applyBorder="1" applyAlignment="1" applyProtection="1">
      <alignment horizontal="center" vertical="center" wrapText="1"/>
    </xf>
    <xf numFmtId="9" fontId="1" fillId="0" borderId="43" xfId="61" applyFont="1" applyBorder="1" applyAlignment="1" applyProtection="1">
      <alignment horizontal="center" vertical="center" wrapText="1"/>
    </xf>
    <xf numFmtId="9" fontId="0" fillId="35" borderId="41" xfId="61" applyFont="1" applyFill="1" applyBorder="1" applyAlignment="1" applyProtection="1">
      <alignment horizontal="left" vertical="top" wrapText="1"/>
      <protection locked="0"/>
    </xf>
    <xf numFmtId="0" fontId="0" fillId="35" borderId="42" xfId="0" applyFill="1" applyBorder="1" applyAlignment="1">
      <alignment horizontal="left" vertical="top" wrapText="1"/>
    </xf>
    <xf numFmtId="0" fontId="0" fillId="35" borderId="43" xfId="0" applyFill="1" applyBorder="1" applyAlignment="1">
      <alignment horizontal="left" vertical="top" wrapText="1"/>
    </xf>
    <xf numFmtId="9" fontId="21" fillId="35" borderId="41" xfId="61" applyFont="1" applyFill="1" applyBorder="1" applyAlignment="1" applyProtection="1">
      <alignment horizontal="center" vertical="center" wrapText="1"/>
    </xf>
    <xf numFmtId="0" fontId="21" fillId="35" borderId="42" xfId="0" applyFont="1" applyFill="1" applyBorder="1" applyAlignment="1">
      <alignment horizontal="center" vertical="center" wrapText="1"/>
    </xf>
    <xf numFmtId="0" fontId="21" fillId="35" borderId="43" xfId="0" applyFont="1" applyFill="1" applyBorder="1" applyAlignment="1">
      <alignment horizontal="center" vertical="center" wrapText="1"/>
    </xf>
    <xf numFmtId="0" fontId="0" fillId="35" borderId="42" xfId="0" applyFill="1" applyBorder="1" applyAlignment="1">
      <alignment vertical="center" wrapText="1"/>
    </xf>
    <xf numFmtId="0" fontId="0" fillId="35" borderId="43" xfId="0" applyFill="1" applyBorder="1" applyAlignment="1">
      <alignment vertical="center" wrapText="1"/>
    </xf>
    <xf numFmtId="9" fontId="1" fillId="35" borderId="41" xfId="61" applyFont="1" applyFill="1" applyBorder="1" applyAlignment="1" applyProtection="1">
      <alignment horizontal="center" vertical="center" wrapText="1"/>
    </xf>
    <xf numFmtId="9" fontId="1" fillId="35" borderId="42" xfId="61" applyFont="1" applyFill="1" applyBorder="1" applyAlignment="1" applyProtection="1">
      <alignment horizontal="center" vertical="center" wrapText="1"/>
    </xf>
    <xf numFmtId="9" fontId="1" fillId="35" borderId="43" xfId="61" applyFont="1" applyFill="1" applyBorder="1" applyAlignment="1" applyProtection="1">
      <alignment horizontal="center" vertical="center" wrapText="1"/>
    </xf>
    <xf numFmtId="9" fontId="21" fillId="35" borderId="10" xfId="61" applyFont="1" applyFill="1" applyBorder="1" applyAlignment="1" applyProtection="1">
      <alignment horizontal="left" vertical="top" wrapText="1"/>
      <protection locked="0"/>
    </xf>
    <xf numFmtId="9" fontId="21" fillId="35" borderId="41" xfId="61" applyFont="1" applyFill="1" applyBorder="1" applyAlignment="1" applyProtection="1">
      <alignment horizontal="left" vertical="top" wrapText="1"/>
      <protection locked="0"/>
    </xf>
    <xf numFmtId="0" fontId="21" fillId="35" borderId="42" xfId="0" applyFont="1" applyFill="1" applyBorder="1" applyAlignment="1">
      <alignment horizontal="left" vertical="top" wrapText="1"/>
    </xf>
    <xf numFmtId="0" fontId="21" fillId="35" borderId="43" xfId="0" applyFont="1" applyFill="1" applyBorder="1" applyAlignment="1">
      <alignment horizontal="left" vertical="top" wrapText="1"/>
    </xf>
    <xf numFmtId="0" fontId="0" fillId="35" borderId="42" xfId="0" applyFill="1" applyBorder="1" applyAlignment="1">
      <alignment horizontal="center" vertical="center" wrapText="1"/>
    </xf>
    <xf numFmtId="0" fontId="0" fillId="35" borderId="43" xfId="0" applyFill="1" applyBorder="1" applyAlignment="1">
      <alignment horizontal="center" vertical="center" wrapText="1"/>
    </xf>
    <xf numFmtId="0" fontId="34" fillId="20" borderId="0" xfId="0" applyFont="1" applyFill="1" applyAlignment="1">
      <alignment horizontal="center" vertical="center" wrapText="1"/>
    </xf>
    <xf numFmtId="0" fontId="122" fillId="20" borderId="41" xfId="0" applyFont="1" applyFill="1" applyBorder="1" applyAlignment="1">
      <alignment vertical="center" wrapText="1"/>
    </xf>
    <xf numFmtId="0" fontId="122" fillId="20" borderId="42" xfId="0" applyFont="1" applyFill="1" applyBorder="1" applyAlignment="1">
      <alignment vertical="center" wrapText="1"/>
    </xf>
    <xf numFmtId="0" fontId="122" fillId="20" borderId="43" xfId="0" applyFont="1" applyFill="1" applyBorder="1" applyAlignment="1">
      <alignment vertical="center" wrapText="1"/>
    </xf>
    <xf numFmtId="9" fontId="98" fillId="0" borderId="41" xfId="61" applyFont="1" applyBorder="1" applyAlignment="1">
      <alignment horizontal="center" vertical="center" wrapText="1"/>
    </xf>
    <xf numFmtId="9" fontId="98" fillId="0" borderId="42" xfId="61" applyFont="1" applyBorder="1" applyAlignment="1">
      <alignment horizontal="center" vertical="center" wrapText="1"/>
    </xf>
    <xf numFmtId="9" fontId="98" fillId="0" borderId="43" xfId="61" applyFont="1" applyBorder="1" applyAlignment="1">
      <alignment horizontal="center" vertical="center" wrapText="1"/>
    </xf>
    <xf numFmtId="0" fontId="34" fillId="20" borderId="0" xfId="0" applyFont="1" applyFill="1" applyAlignment="1" applyProtection="1">
      <alignment horizontal="left"/>
      <protection locked="0"/>
    </xf>
    <xf numFmtId="0" fontId="34" fillId="20" borderId="39" xfId="0" applyFont="1" applyFill="1" applyBorder="1" applyAlignment="1" applyProtection="1">
      <alignment horizontal="left"/>
      <protection locked="0"/>
    </xf>
    <xf numFmtId="0" fontId="34" fillId="20" borderId="120" xfId="0" applyFont="1" applyFill="1" applyBorder="1" applyAlignment="1" applyProtection="1">
      <alignment horizontal="left"/>
      <protection locked="0"/>
    </xf>
    <xf numFmtId="0" fontId="34" fillId="20" borderId="94" xfId="0" applyFont="1" applyFill="1" applyBorder="1" applyAlignment="1">
      <alignment horizontal="left"/>
    </xf>
    <xf numFmtId="0" fontId="34" fillId="20" borderId="94" xfId="0" applyFont="1" applyFill="1" applyBorder="1" applyAlignment="1">
      <alignment horizontal="left" vertical="center" wrapText="1"/>
    </xf>
    <xf numFmtId="49" fontId="122" fillId="20" borderId="41" xfId="0" applyNumberFormat="1" applyFont="1" applyFill="1" applyBorder="1" applyAlignment="1">
      <alignment vertical="center" wrapText="1"/>
    </xf>
    <xf numFmtId="9" fontId="0" fillId="22" borderId="10" xfId="61" applyFont="1" applyFill="1" applyBorder="1" applyAlignment="1" applyProtection="1">
      <alignment horizontal="left" vertical="top" wrapText="1"/>
      <protection locked="0"/>
    </xf>
    <xf numFmtId="9" fontId="1" fillId="22" borderId="10" xfId="61" applyFont="1" applyFill="1" applyBorder="1" applyAlignment="1" applyProtection="1">
      <alignment horizontal="left" vertical="top" wrapText="1"/>
      <protection locked="0"/>
    </xf>
    <xf numFmtId="0" fontId="34" fillId="20" borderId="0" xfId="0" applyFont="1" applyFill="1" applyAlignment="1">
      <alignment horizontal="left"/>
    </xf>
    <xf numFmtId="9" fontId="21" fillId="22" borderId="41" xfId="61" applyFont="1" applyFill="1" applyBorder="1" applyAlignment="1" applyProtection="1">
      <alignment horizontal="left" vertical="top" wrapText="1"/>
      <protection locked="0"/>
    </xf>
    <xf numFmtId="9" fontId="21" fillId="22" borderId="42" xfId="61" applyFont="1" applyFill="1" applyBorder="1" applyAlignment="1" applyProtection="1">
      <alignment horizontal="left" vertical="top" wrapText="1"/>
      <protection locked="0"/>
    </xf>
    <xf numFmtId="9" fontId="21" fillId="22" borderId="43" xfId="61" applyFont="1" applyFill="1" applyBorder="1" applyAlignment="1" applyProtection="1">
      <alignment horizontal="left" vertical="top" wrapText="1"/>
      <protection locked="0"/>
    </xf>
    <xf numFmtId="9" fontId="118" fillId="31" borderId="41" xfId="61" applyFont="1" applyFill="1" applyBorder="1" applyAlignment="1" applyProtection="1">
      <alignment horizontal="center" vertical="center" wrapText="1"/>
    </xf>
    <xf numFmtId="9" fontId="118" fillId="31" borderId="43" xfId="61" applyFont="1" applyFill="1" applyBorder="1" applyAlignment="1" applyProtection="1">
      <alignment horizontal="center" vertical="center" wrapText="1"/>
    </xf>
    <xf numFmtId="9" fontId="119" fillId="34" borderId="41" xfId="61" applyFont="1" applyFill="1" applyBorder="1" applyAlignment="1" applyProtection="1">
      <alignment horizontal="center" vertical="center" wrapText="1"/>
    </xf>
    <xf numFmtId="9" fontId="119" fillId="34" borderId="43" xfId="61" applyFont="1" applyFill="1" applyBorder="1" applyAlignment="1" applyProtection="1">
      <alignment horizontal="center" vertical="center" wrapText="1"/>
    </xf>
    <xf numFmtId="0" fontId="121" fillId="0" borderId="10" xfId="0" applyFont="1" applyBorder="1" applyAlignment="1">
      <alignment horizontal="center" vertical="center" wrapText="1"/>
    </xf>
    <xf numFmtId="49" fontId="121" fillId="0" borderId="41" xfId="0" applyNumberFormat="1" applyFont="1" applyBorder="1" applyAlignment="1">
      <alignment horizontal="center" vertical="center" wrapText="1"/>
    </xf>
    <xf numFmtId="49" fontId="121" fillId="0" borderId="42" xfId="0" applyNumberFormat="1" applyFont="1" applyBorder="1" applyAlignment="1">
      <alignment horizontal="center" vertical="center" wrapText="1"/>
    </xf>
    <xf numFmtId="49" fontId="121" fillId="0" borderId="43" xfId="0" applyNumberFormat="1" applyFont="1" applyBorder="1" applyAlignment="1">
      <alignment horizontal="center" vertical="center" wrapText="1"/>
    </xf>
    <xf numFmtId="9" fontId="98" fillId="0" borderId="41" xfId="61" applyFont="1" applyBorder="1" applyAlignment="1" applyProtection="1">
      <alignment horizontal="center" vertical="center" wrapText="1"/>
    </xf>
    <xf numFmtId="9" fontId="98" fillId="0" borderId="42" xfId="61" applyFont="1" applyBorder="1" applyAlignment="1" applyProtection="1">
      <alignment horizontal="center" vertical="center" wrapText="1"/>
    </xf>
    <xf numFmtId="9" fontId="98" fillId="0" borderId="43" xfId="61" applyFont="1" applyBorder="1" applyAlignment="1" applyProtection="1">
      <alignment horizontal="center" vertical="center" wrapText="1"/>
    </xf>
    <xf numFmtId="0" fontId="122" fillId="20" borderId="41" xfId="0" applyFont="1" applyFill="1" applyBorder="1" applyAlignment="1">
      <alignment horizontal="center" vertical="center" wrapText="1"/>
    </xf>
    <xf numFmtId="0" fontId="122" fillId="20" borderId="42" xfId="0" applyFont="1" applyFill="1" applyBorder="1" applyAlignment="1">
      <alignment horizontal="center" vertical="center" wrapText="1"/>
    </xf>
    <xf numFmtId="0" fontId="122" fillId="20" borderId="43" xfId="0" applyFont="1" applyFill="1" applyBorder="1" applyAlignment="1">
      <alignment horizontal="center" vertical="center" wrapText="1"/>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4" fillId="0" borderId="43" xfId="0" applyFont="1" applyBorder="1" applyAlignment="1">
      <alignment horizontal="center" vertical="center"/>
    </xf>
    <xf numFmtId="49" fontId="28" fillId="0" borderId="254" xfId="0" applyNumberFormat="1" applyFont="1" applyBorder="1" applyAlignment="1">
      <alignment horizontal="left" vertical="center" wrapText="1"/>
    </xf>
    <xf numFmtId="9" fontId="36" fillId="34" borderId="41" xfId="61" applyFont="1" applyFill="1" applyBorder="1" applyAlignment="1" applyProtection="1">
      <alignment horizontal="center" vertical="center" wrapText="1"/>
    </xf>
    <xf numFmtId="9" fontId="36" fillId="34" borderId="43" xfId="61" applyFont="1" applyFill="1" applyBorder="1" applyAlignment="1" applyProtection="1">
      <alignment horizontal="center" vertical="center" wrapText="1"/>
    </xf>
    <xf numFmtId="9" fontId="0" fillId="35" borderId="10" xfId="61" applyFont="1" applyFill="1" applyBorder="1" applyAlignment="1" applyProtection="1">
      <alignment horizontal="left" vertical="top" wrapText="1"/>
      <protection locked="0"/>
    </xf>
    <xf numFmtId="9" fontId="1" fillId="35" borderId="10" xfId="61" applyFont="1" applyFill="1" applyBorder="1" applyAlignment="1" applyProtection="1">
      <alignment horizontal="left" vertical="top" wrapText="1"/>
      <protection locked="0"/>
    </xf>
    <xf numFmtId="0" fontId="1" fillId="35" borderId="10" xfId="0" applyFont="1" applyFill="1" applyBorder="1" applyAlignment="1">
      <alignment vertical="center" wrapText="1"/>
    </xf>
    <xf numFmtId="9" fontId="21" fillId="35" borderId="42" xfId="61" applyFont="1" applyFill="1" applyBorder="1" applyAlignment="1" applyProtection="1">
      <alignment horizontal="left" vertical="top" wrapText="1"/>
      <protection locked="0"/>
    </xf>
    <xf numFmtId="9" fontId="21" fillId="35" borderId="43" xfId="61" applyFont="1" applyFill="1" applyBorder="1" applyAlignment="1" applyProtection="1">
      <alignment horizontal="left" vertical="top" wrapText="1"/>
      <protection locked="0"/>
    </xf>
    <xf numFmtId="0" fontId="28" fillId="22" borderId="264" xfId="0" applyFont="1" applyFill="1" applyBorder="1" applyAlignment="1" applyProtection="1">
      <alignment horizontal="left" vertical="top" wrapText="1"/>
      <protection locked="0"/>
    </xf>
    <xf numFmtId="0" fontId="28" fillId="0" borderId="215" xfId="0" applyFont="1" applyBorder="1" applyAlignment="1">
      <alignment horizontal="left" vertical="top" wrapText="1"/>
    </xf>
    <xf numFmtId="0" fontId="28" fillId="0" borderId="265" xfId="0" applyFont="1" applyBorder="1" applyAlignment="1">
      <alignment horizontal="left" vertical="top" wrapText="1"/>
    </xf>
    <xf numFmtId="0" fontId="28" fillId="0" borderId="216" xfId="0" applyFont="1" applyBorder="1" applyAlignment="1">
      <alignment horizontal="left" vertical="top" wrapText="1"/>
    </xf>
    <xf numFmtId="0" fontId="21" fillId="0" borderId="192" xfId="0" applyFont="1" applyBorder="1" applyAlignment="1" applyProtection="1">
      <alignment horizontal="left" wrapText="1"/>
      <protection locked="0"/>
    </xf>
    <xf numFmtId="0" fontId="21" fillId="0" borderId="193" xfId="0" applyFont="1" applyBorder="1" applyAlignment="1" applyProtection="1">
      <alignment horizontal="left" wrapText="1"/>
      <protection locked="0"/>
    </xf>
    <xf numFmtId="0" fontId="21" fillId="0" borderId="194" xfId="0" applyFont="1" applyBorder="1" applyAlignment="1" applyProtection="1">
      <alignment horizontal="left" wrapText="1"/>
      <protection locked="0"/>
    </xf>
    <xf numFmtId="0" fontId="21" fillId="0" borderId="195" xfId="0" applyFont="1" applyBorder="1" applyAlignment="1" applyProtection="1">
      <alignment horizontal="left" wrapText="1"/>
      <protection locked="0"/>
    </xf>
    <xf numFmtId="0" fontId="21" fillId="0" borderId="196" xfId="0" applyFont="1" applyBorder="1" applyAlignment="1" applyProtection="1">
      <alignment horizontal="left" vertical="top" wrapText="1"/>
      <protection locked="0"/>
    </xf>
    <xf numFmtId="0" fontId="21" fillId="0" borderId="197" xfId="0" applyFont="1" applyBorder="1" applyAlignment="1" applyProtection="1">
      <alignment horizontal="left" vertical="top" wrapText="1"/>
      <protection locked="0"/>
    </xf>
    <xf numFmtId="0" fontId="21" fillId="0" borderId="198" xfId="0" applyFont="1" applyBorder="1" applyAlignment="1" applyProtection="1">
      <alignment horizontal="left" vertical="top" wrapText="1"/>
      <protection locked="0"/>
    </xf>
    <xf numFmtId="0" fontId="21" fillId="0" borderId="190" xfId="0" applyFont="1" applyBorder="1" applyAlignment="1" applyProtection="1">
      <alignment horizontal="left" vertical="top" wrapText="1"/>
      <protection locked="0"/>
    </xf>
    <xf numFmtId="0" fontId="21" fillId="0" borderId="144" xfId="0" applyFont="1" applyBorder="1" applyAlignment="1" applyProtection="1">
      <alignment horizontal="left" vertical="top" wrapText="1"/>
      <protection locked="0"/>
    </xf>
    <xf numFmtId="0" fontId="21" fillId="0" borderId="191" xfId="0" applyFont="1" applyBorder="1" applyAlignment="1" applyProtection="1">
      <alignment horizontal="left" vertical="top" wrapText="1"/>
      <protection locked="0"/>
    </xf>
    <xf numFmtId="0" fontId="75" fillId="21" borderId="199" xfId="52" applyFont="1" applyFill="1" applyBorder="1" applyAlignment="1">
      <alignment horizontal="center" vertical="center" wrapText="1"/>
    </xf>
    <xf numFmtId="0" fontId="75" fillId="21" borderId="13" xfId="52" applyFont="1" applyFill="1" applyBorder="1" applyAlignment="1">
      <alignment horizontal="center" vertical="center" wrapText="1"/>
    </xf>
    <xf numFmtId="0" fontId="21" fillId="0" borderId="200" xfId="0" applyFont="1" applyBorder="1" applyAlignment="1" applyProtection="1">
      <alignment horizontal="left"/>
      <protection locked="0"/>
    </xf>
    <xf numFmtId="0" fontId="21" fillId="0" borderId="201" xfId="0" applyFont="1" applyBorder="1" applyAlignment="1" applyProtection="1">
      <alignment horizontal="left"/>
      <protection locked="0"/>
    </xf>
    <xf numFmtId="0" fontId="21" fillId="0" borderId="218" xfId="0" applyFont="1" applyBorder="1" applyAlignment="1" applyProtection="1">
      <alignment horizontal="left" wrapText="1"/>
      <protection locked="0"/>
    </xf>
    <xf numFmtId="0" fontId="21" fillId="0" borderId="34" xfId="0" applyFont="1" applyBorder="1" applyAlignment="1" applyProtection="1">
      <alignment horizontal="left" wrapText="1"/>
      <protection locked="0"/>
    </xf>
    <xf numFmtId="0" fontId="21" fillId="0" borderId="209" xfId="0" applyFont="1" applyBorder="1" applyAlignment="1" applyProtection="1">
      <alignment horizontal="left" wrapText="1"/>
      <protection locked="0"/>
    </xf>
    <xf numFmtId="0" fontId="21" fillId="0" borderId="200" xfId="0" applyFont="1" applyBorder="1" applyAlignment="1" applyProtection="1">
      <alignment horizontal="left" wrapText="1"/>
      <protection locked="0"/>
    </xf>
    <xf numFmtId="14" fontId="21" fillId="0" borderId="200" xfId="0" applyNumberFormat="1" applyFont="1" applyBorder="1" applyAlignment="1" applyProtection="1">
      <alignment horizontal="left"/>
      <protection locked="0"/>
    </xf>
    <xf numFmtId="14" fontId="21" fillId="0" borderId="34" xfId="0" applyNumberFormat="1" applyFont="1" applyBorder="1" applyAlignment="1" applyProtection="1">
      <alignment horizontal="left"/>
      <protection locked="0"/>
    </xf>
    <xf numFmtId="0" fontId="93" fillId="21" borderId="203" xfId="0" applyFont="1" applyFill="1" applyBorder="1" applyAlignment="1">
      <alignment horizontal="center" vertical="center" textRotation="90" wrapText="1"/>
    </xf>
    <xf numFmtId="0" fontId="93" fillId="21" borderId="204" xfId="0" applyFont="1" applyFill="1" applyBorder="1" applyAlignment="1">
      <alignment horizontal="center" vertical="center" textRotation="90" wrapText="1"/>
    </xf>
    <xf numFmtId="0" fontId="93" fillId="21" borderId="205" xfId="0" applyFont="1" applyFill="1" applyBorder="1" applyAlignment="1">
      <alignment horizontal="center" vertical="center" textRotation="90" wrapText="1"/>
    </xf>
    <xf numFmtId="0" fontId="75" fillId="21" borderId="206" xfId="52" applyFont="1" applyFill="1" applyBorder="1" applyAlignment="1">
      <alignment horizontal="center" vertical="center" wrapText="1"/>
    </xf>
    <xf numFmtId="0" fontId="75" fillId="21" borderId="207" xfId="52" applyFont="1" applyFill="1" applyBorder="1" applyAlignment="1">
      <alignment horizontal="center" vertical="center" wrapText="1"/>
    </xf>
    <xf numFmtId="0" fontId="75" fillId="21" borderId="208" xfId="52" applyFont="1" applyFill="1" applyBorder="1" applyAlignment="1">
      <alignment horizontal="center" vertical="center" wrapText="1"/>
    </xf>
    <xf numFmtId="0" fontId="75" fillId="21" borderId="210" xfId="52" applyFont="1" applyFill="1" applyBorder="1" applyAlignment="1">
      <alignment horizontal="center" vertical="center" wrapText="1"/>
    </xf>
    <xf numFmtId="0" fontId="21" fillId="0" borderId="211" xfId="0" applyFont="1" applyBorder="1" applyAlignment="1" applyProtection="1">
      <alignment horizontal="left" wrapText="1"/>
      <protection locked="0"/>
    </xf>
    <xf numFmtId="0" fontId="21" fillId="0" borderId="212" xfId="0" applyFont="1" applyBorder="1" applyAlignment="1" applyProtection="1">
      <alignment horizontal="left" wrapText="1"/>
      <protection locked="0"/>
    </xf>
    <xf numFmtId="0" fontId="21" fillId="0" borderId="196" xfId="0" applyFont="1" applyBorder="1" applyAlignment="1" applyProtection="1">
      <alignment horizontal="left"/>
      <protection locked="0"/>
    </xf>
    <xf numFmtId="0" fontId="21" fillId="0" borderId="197"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190" xfId="0" applyFont="1" applyBorder="1" applyAlignment="1" applyProtection="1">
      <alignment horizontal="left"/>
      <protection locked="0"/>
    </xf>
    <xf numFmtId="0" fontId="21" fillId="0" borderId="144" xfId="0" applyFont="1" applyBorder="1" applyAlignment="1" applyProtection="1">
      <alignment horizontal="left"/>
      <protection locked="0"/>
    </xf>
    <xf numFmtId="0" fontId="21" fillId="0" borderId="191" xfId="0" applyFont="1" applyBorder="1" applyAlignment="1" applyProtection="1">
      <alignment horizontal="left"/>
      <protection locked="0"/>
    </xf>
    <xf numFmtId="0" fontId="21" fillId="0" borderId="187" xfId="0" applyFont="1" applyBorder="1" applyAlignment="1" applyProtection="1">
      <alignment horizontal="left" vertical="top" wrapText="1"/>
      <protection locked="0"/>
    </xf>
    <xf numFmtId="0" fontId="21" fillId="0" borderId="188" xfId="0" applyFont="1" applyBorder="1" applyAlignment="1" applyProtection="1">
      <alignment horizontal="left" vertical="top" wrapText="1"/>
      <protection locked="0"/>
    </xf>
    <xf numFmtId="0" fontId="21" fillId="0" borderId="213" xfId="0" applyFont="1" applyBorder="1" applyAlignment="1" applyProtection="1">
      <alignment horizontal="left" vertical="top" wrapText="1"/>
      <protection locked="0"/>
    </xf>
    <xf numFmtId="0" fontId="21" fillId="0" borderId="195" xfId="0" applyFont="1" applyBorder="1" applyAlignment="1" applyProtection="1">
      <alignment horizontal="left" vertical="top" wrapText="1"/>
      <protection locked="0"/>
    </xf>
    <xf numFmtId="0" fontId="21" fillId="0" borderId="19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17" xfId="0" applyFont="1" applyBorder="1" applyAlignment="1" applyProtection="1">
      <alignment horizontal="left"/>
      <protection locked="0"/>
    </xf>
    <xf numFmtId="0" fontId="21" fillId="0" borderId="196" xfId="0" applyFont="1" applyBorder="1" applyAlignment="1" applyProtection="1">
      <alignment horizontal="left" wrapText="1"/>
      <protection locked="0"/>
    </xf>
    <xf numFmtId="0" fontId="21" fillId="0" borderId="197" xfId="0" applyFont="1" applyBorder="1" applyAlignment="1" applyProtection="1">
      <alignment horizontal="left" wrapText="1"/>
      <protection locked="0"/>
    </xf>
    <xf numFmtId="0" fontId="21" fillId="0" borderId="198" xfId="0" applyFont="1" applyBorder="1" applyAlignment="1" applyProtection="1">
      <alignment horizontal="left" wrapText="1"/>
      <protection locked="0"/>
    </xf>
    <xf numFmtId="0" fontId="21" fillId="0" borderId="190" xfId="0" applyFont="1" applyBorder="1" applyAlignment="1" applyProtection="1">
      <alignment horizontal="left" wrapText="1"/>
      <protection locked="0"/>
    </xf>
    <xf numFmtId="0" fontId="21" fillId="0" borderId="144" xfId="0" applyFont="1" applyBorder="1" applyAlignment="1" applyProtection="1">
      <alignment horizontal="left" wrapText="1"/>
      <protection locked="0"/>
    </xf>
    <xf numFmtId="0" fontId="21" fillId="0" borderId="191" xfId="0" applyFont="1" applyBorder="1" applyAlignment="1" applyProtection="1">
      <alignment horizontal="left" wrapText="1"/>
      <protection locked="0"/>
    </xf>
    <xf numFmtId="0" fontId="21" fillId="0" borderId="128" xfId="0" applyFont="1" applyBorder="1" applyAlignment="1" applyProtection="1">
      <alignment horizontal="left" vertical="center" wrapText="1"/>
      <protection locked="0"/>
    </xf>
    <xf numFmtId="0" fontId="21" fillId="0" borderId="184" xfId="0" applyFont="1" applyBorder="1" applyAlignment="1" applyProtection="1">
      <alignment horizontal="left" vertical="center" wrapText="1"/>
      <protection locked="0"/>
    </xf>
    <xf numFmtId="0" fontId="21" fillId="0" borderId="185" xfId="0" applyFont="1" applyBorder="1" applyAlignment="1" applyProtection="1">
      <alignment horizontal="left" vertical="center" wrapText="1"/>
      <protection locked="0"/>
    </xf>
    <xf numFmtId="0" fontId="21" fillId="0" borderId="186" xfId="0" applyFont="1" applyBorder="1" applyAlignment="1" applyProtection="1">
      <alignment horizontal="left" vertical="center" wrapText="1"/>
      <protection locked="0"/>
    </xf>
    <xf numFmtId="0" fontId="21" fillId="0" borderId="187" xfId="0" applyFont="1" applyBorder="1" applyAlignment="1" applyProtection="1">
      <alignment horizontal="left" wrapText="1"/>
      <protection locked="0"/>
    </xf>
    <xf numFmtId="0" fontId="21" fillId="0" borderId="188" xfId="0" applyFont="1" applyBorder="1" applyAlignment="1" applyProtection="1">
      <alignment horizontal="left" wrapText="1"/>
      <protection locked="0"/>
    </xf>
    <xf numFmtId="0" fontId="21" fillId="0" borderId="189" xfId="0" applyFont="1" applyBorder="1" applyAlignment="1" applyProtection="1">
      <alignment horizontal="left" wrapText="1"/>
      <protection locked="0"/>
    </xf>
    <xf numFmtId="0" fontId="93" fillId="21" borderId="90" xfId="0" applyFont="1" applyFill="1" applyBorder="1" applyAlignment="1">
      <alignment horizontal="center" vertical="center" textRotation="90"/>
    </xf>
    <xf numFmtId="0" fontId="0" fillId="21" borderId="72" xfId="0" applyFill="1" applyBorder="1" applyAlignment="1">
      <alignment horizontal="center" vertical="center" textRotation="90"/>
    </xf>
    <xf numFmtId="0" fontId="0" fillId="21" borderId="87" xfId="0" applyFill="1" applyBorder="1" applyAlignment="1">
      <alignment horizontal="center" vertical="center" textRotation="90"/>
    </xf>
    <xf numFmtId="0" fontId="21" fillId="0" borderId="220" xfId="0" applyFont="1" applyBorder="1" applyAlignment="1" applyProtection="1">
      <alignment horizontal="left" wrapText="1"/>
      <protection locked="0"/>
    </xf>
    <xf numFmtId="0" fontId="21" fillId="0" borderId="195"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34" xfId="0" applyFont="1" applyBorder="1" applyAlignment="1" applyProtection="1">
      <alignment horizontal="left"/>
      <protection locked="0"/>
    </xf>
    <xf numFmtId="14" fontId="21" fillId="0" borderId="218" xfId="0" applyNumberFormat="1" applyFont="1" applyBorder="1" applyAlignment="1" applyProtection="1">
      <alignment horizontal="left"/>
      <protection locked="0"/>
    </xf>
    <xf numFmtId="0" fontId="21" fillId="0" borderId="212" xfId="0" applyFont="1" applyBorder="1" applyAlignment="1" applyProtection="1">
      <alignment horizontal="left"/>
      <protection locked="0"/>
    </xf>
    <xf numFmtId="43" fontId="15" fillId="33" borderId="0" xfId="58" applyFont="1" applyFill="1" applyBorder="1" applyAlignment="1" applyProtection="1">
      <alignment horizontal="center"/>
      <protection locked="0"/>
    </xf>
    <xf numFmtId="0" fontId="21" fillId="0" borderId="221" xfId="0" applyFont="1" applyBorder="1" applyAlignment="1" applyProtection="1">
      <alignment horizontal="left" wrapText="1"/>
      <protection locked="0"/>
    </xf>
    <xf numFmtId="0" fontId="21" fillId="0" borderId="213" xfId="0" applyFont="1" applyBorder="1" applyAlignment="1" applyProtection="1">
      <alignment horizontal="left" wrapText="1"/>
      <protection locked="0"/>
    </xf>
    <xf numFmtId="0" fontId="0" fillId="22" borderId="95" xfId="0" applyFill="1" applyBorder="1" applyAlignment="1" applyProtection="1">
      <alignment horizontal="center"/>
      <protection locked="0"/>
    </xf>
    <xf numFmtId="0" fontId="0" fillId="22" borderId="94" xfId="0" applyFill="1" applyBorder="1" applyAlignment="1" applyProtection="1">
      <alignment horizontal="center"/>
      <protection locked="0"/>
    </xf>
    <xf numFmtId="0" fontId="0" fillId="22" borderId="96" xfId="0" applyFill="1" applyBorder="1" applyAlignment="1" applyProtection="1">
      <alignment horizontal="center"/>
      <protection locked="0"/>
    </xf>
    <xf numFmtId="0" fontId="0" fillId="22" borderId="88" xfId="0" applyFill="1" applyBorder="1" applyAlignment="1" applyProtection="1">
      <alignment horizontal="center"/>
      <protection locked="0"/>
    </xf>
    <xf numFmtId="0" fontId="0" fillId="22" borderId="97" xfId="0" applyFill="1" applyBorder="1" applyAlignment="1" applyProtection="1">
      <alignment horizontal="center"/>
      <protection locked="0"/>
    </xf>
    <xf numFmtId="0" fontId="0" fillId="22" borderId="98" xfId="0" applyFill="1" applyBorder="1" applyAlignment="1" applyProtection="1">
      <alignment horizontal="center"/>
      <protection locked="0"/>
    </xf>
    <xf numFmtId="0" fontId="75" fillId="21" borderId="183" xfId="52" applyFont="1" applyFill="1" applyBorder="1" applyAlignment="1">
      <alignment horizontal="center" vertical="center" wrapText="1"/>
    </xf>
    <xf numFmtId="0" fontId="21" fillId="0" borderId="219" xfId="0" applyFont="1" applyBorder="1" applyAlignment="1" applyProtection="1">
      <alignment horizontal="left"/>
      <protection locked="0"/>
    </xf>
    <xf numFmtId="14" fontId="21" fillId="0" borderId="202" xfId="0" applyNumberFormat="1" applyFont="1" applyBorder="1" applyAlignment="1" applyProtection="1">
      <alignment horizontal="left"/>
      <protection locked="0"/>
    </xf>
    <xf numFmtId="0" fontId="75" fillId="21" borderId="222" xfId="52" applyFont="1" applyFill="1" applyBorder="1" applyAlignment="1">
      <alignment horizontal="center" vertical="center" wrapText="1"/>
    </xf>
    <xf numFmtId="0" fontId="21" fillId="0" borderId="192" xfId="0" applyFont="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194" xfId="0" applyFont="1" applyBorder="1" applyAlignment="1" applyProtection="1">
      <alignment horizontal="left"/>
      <protection locked="0"/>
    </xf>
    <xf numFmtId="0" fontId="2" fillId="22" borderId="121" xfId="0" applyFont="1" applyFill="1" applyBorder="1" applyAlignment="1" applyProtection="1">
      <alignment horizontal="center" vertical="top" wrapText="1"/>
      <protection locked="0"/>
    </xf>
    <xf numFmtId="0" fontId="2" fillId="22" borderId="122" xfId="0" applyFont="1" applyFill="1" applyBorder="1" applyAlignment="1" applyProtection="1">
      <alignment horizontal="center" vertical="top" wrapText="1"/>
      <protection locked="0"/>
    </xf>
    <xf numFmtId="0" fontId="2" fillId="22" borderId="123" xfId="0" applyFont="1" applyFill="1" applyBorder="1" applyAlignment="1" applyProtection="1">
      <alignment horizontal="center" vertical="top" wrapText="1"/>
      <protection locked="0"/>
    </xf>
    <xf numFmtId="0" fontId="78" fillId="0" borderId="124" xfId="0" applyFont="1" applyBorder="1" applyAlignment="1">
      <alignment horizontal="left" vertical="top" wrapText="1"/>
    </xf>
    <xf numFmtId="0" fontId="78" fillId="0" borderId="125" xfId="0" applyFont="1" applyBorder="1" applyAlignment="1">
      <alignment horizontal="left" vertical="top" wrapText="1"/>
    </xf>
    <xf numFmtId="0" fontId="78" fillId="0" borderId="126" xfId="0" applyFont="1" applyBorder="1" applyAlignment="1">
      <alignment horizontal="left" vertical="top" wrapText="1"/>
    </xf>
    <xf numFmtId="49" fontId="2" fillId="26" borderId="127" xfId="0" applyNumberFormat="1" applyFont="1" applyFill="1" applyBorder="1" applyAlignment="1" applyProtection="1">
      <alignment horizontal="center" vertical="center"/>
      <protection locked="0"/>
    </xf>
    <xf numFmtId="49" fontId="2" fillId="26" borderId="128" xfId="0" applyNumberFormat="1" applyFont="1" applyFill="1" applyBorder="1" applyAlignment="1" applyProtection="1">
      <alignment horizontal="center" vertical="center"/>
      <protection locked="0"/>
    </xf>
    <xf numFmtId="49" fontId="2" fillId="26" borderId="129" xfId="0" applyNumberFormat="1" applyFont="1" applyFill="1" applyBorder="1" applyAlignment="1" applyProtection="1">
      <alignment horizontal="center" vertical="center"/>
      <protection locked="0"/>
    </xf>
    <xf numFmtId="0" fontId="78" fillId="0" borderId="0" xfId="0" applyFont="1" applyAlignment="1">
      <alignment horizontal="left" vertical="top" wrapText="1"/>
    </xf>
    <xf numFmtId="0" fontId="78" fillId="0" borderId="130" xfId="0" applyFont="1" applyBorder="1" applyAlignment="1">
      <alignment horizontal="left" vertical="top" wrapText="1"/>
    </xf>
    <xf numFmtId="0" fontId="107" fillId="25" borderId="146" xfId="0" applyFont="1" applyFill="1" applyBorder="1" applyAlignment="1">
      <alignment horizontal="center" vertical="center"/>
    </xf>
    <xf numFmtId="0" fontId="107" fillId="25" borderId="147" xfId="0" applyFont="1" applyFill="1"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107" fillId="25" borderId="149" xfId="0" applyFont="1" applyFill="1" applyBorder="1" applyAlignment="1">
      <alignment horizontal="center" vertical="center"/>
    </xf>
    <xf numFmtId="0" fontId="107" fillId="25" borderId="150" xfId="0" applyFont="1" applyFill="1" applyBorder="1" applyAlignment="1">
      <alignment horizontal="center" vertical="center"/>
    </xf>
    <xf numFmtId="0" fontId="107" fillId="25" borderId="151" xfId="0" applyFont="1" applyFill="1" applyBorder="1" applyAlignment="1">
      <alignment horizontal="center" vertical="center"/>
    </xf>
    <xf numFmtId="0" fontId="2" fillId="25" borderId="154" xfId="0" applyFont="1" applyFill="1" applyBorder="1" applyAlignment="1" applyProtection="1">
      <alignment horizontal="left" vertical="top" wrapText="1"/>
      <protection locked="0"/>
    </xf>
    <xf numFmtId="0" fontId="2" fillId="25" borderId="155" xfId="0" applyFont="1" applyFill="1" applyBorder="1" applyAlignment="1" applyProtection="1">
      <alignment horizontal="left" vertical="top" wrapText="1"/>
      <protection locked="0"/>
    </xf>
    <xf numFmtId="0" fontId="2" fillId="25" borderId="156" xfId="0" applyFont="1" applyFill="1" applyBorder="1" applyAlignment="1" applyProtection="1">
      <alignment horizontal="left" vertical="top" wrapText="1"/>
      <protection locked="0"/>
    </xf>
    <xf numFmtId="0" fontId="78" fillId="0" borderId="157" xfId="0" applyFont="1" applyBorder="1" applyAlignment="1">
      <alignment horizontal="left" vertical="top" wrapText="1"/>
    </xf>
    <xf numFmtId="0" fontId="78" fillId="0" borderId="158" xfId="0" applyFont="1" applyBorder="1" applyAlignment="1">
      <alignment horizontal="left" vertical="top" wrapText="1"/>
    </xf>
    <xf numFmtId="0" fontId="78" fillId="0" borderId="159" xfId="0" applyFont="1" applyBorder="1" applyAlignment="1">
      <alignment horizontal="left" vertical="top" wrapText="1"/>
    </xf>
    <xf numFmtId="0" fontId="78" fillId="0" borderId="160" xfId="0" applyFont="1" applyBorder="1" applyAlignment="1">
      <alignment horizontal="left" vertical="top" wrapText="1"/>
    </xf>
    <xf numFmtId="0" fontId="2" fillId="25" borderId="161" xfId="0" applyFont="1" applyFill="1" applyBorder="1" applyAlignment="1" applyProtection="1">
      <alignment horizontal="left" vertical="top" wrapText="1"/>
      <protection locked="0"/>
    </xf>
    <xf numFmtId="0" fontId="2" fillId="25" borderId="162" xfId="0" applyFont="1" applyFill="1" applyBorder="1" applyAlignment="1" applyProtection="1">
      <alignment horizontal="left" vertical="top" wrapText="1"/>
      <protection locked="0"/>
    </xf>
    <xf numFmtId="0" fontId="2" fillId="25" borderId="163" xfId="0" applyFont="1" applyFill="1" applyBorder="1" applyAlignment="1" applyProtection="1">
      <alignment horizontal="left" vertical="top" wrapText="1"/>
      <protection locked="0"/>
    </xf>
    <xf numFmtId="9" fontId="2" fillId="0" borderId="152" xfId="61" applyFont="1" applyFill="1" applyBorder="1" applyAlignment="1" applyProtection="1">
      <alignment horizontal="left" vertical="center" wrapText="1"/>
    </xf>
    <xf numFmtId="0" fontId="2" fillId="0" borderId="128" xfId="61" applyNumberFormat="1" applyFont="1" applyFill="1" applyBorder="1" applyAlignment="1" applyProtection="1">
      <alignment horizontal="left" vertical="center" wrapText="1"/>
    </xf>
    <xf numFmtId="0" fontId="2" fillId="0" borderId="153" xfId="61" applyNumberFormat="1" applyFont="1" applyFill="1" applyBorder="1" applyAlignment="1" applyProtection="1">
      <alignment horizontal="left" vertical="center" wrapText="1"/>
    </xf>
    <xf numFmtId="0" fontId="77" fillId="19" borderId="12" xfId="0" applyFont="1" applyFill="1" applyBorder="1" applyAlignment="1">
      <alignment horizontal="center" vertical="center"/>
    </xf>
    <xf numFmtId="0" fontId="59" fillId="26" borderId="134" xfId="0" applyFont="1" applyFill="1" applyBorder="1" applyAlignment="1">
      <alignment horizontal="center" vertical="center"/>
    </xf>
    <xf numFmtId="0" fontId="59" fillId="26" borderId="135" xfId="0" applyFont="1" applyFill="1" applyBorder="1" applyAlignment="1">
      <alignment horizontal="center" vertical="center"/>
    </xf>
    <xf numFmtId="0" fontId="59" fillId="26" borderId="136" xfId="0" applyFont="1" applyFill="1" applyBorder="1" applyAlignment="1">
      <alignment horizontal="center" vertical="center"/>
    </xf>
    <xf numFmtId="0" fontId="78" fillId="0" borderId="14" xfId="0" applyFont="1" applyBorder="1" applyAlignment="1">
      <alignment horizontal="left" vertical="top" wrapText="1"/>
    </xf>
    <xf numFmtId="0" fontId="78" fillId="0" borderId="137" xfId="0" applyFont="1" applyBorder="1" applyAlignment="1">
      <alignment horizontal="left" vertical="top" wrapText="1"/>
    </xf>
    <xf numFmtId="0" fontId="78" fillId="0" borderId="138" xfId="0" applyFont="1" applyBorder="1" applyAlignment="1">
      <alignment horizontal="left" vertical="top" wrapText="1"/>
    </xf>
    <xf numFmtId="0" fontId="78" fillId="0" borderId="139" xfId="0" applyFont="1" applyBorder="1" applyAlignment="1">
      <alignment horizontal="left" vertical="top" wrapText="1"/>
    </xf>
    <xf numFmtId="0" fontId="78" fillId="0" borderId="140" xfId="0" applyFont="1" applyBorder="1" applyAlignment="1">
      <alignment horizontal="left" vertical="top" wrapText="1"/>
    </xf>
    <xf numFmtId="49" fontId="2" fillId="26" borderId="141" xfId="0" applyNumberFormat="1" applyFont="1" applyFill="1" applyBorder="1" applyAlignment="1" applyProtection="1">
      <alignment horizontal="center" vertical="center"/>
      <protection locked="0"/>
    </xf>
    <xf numFmtId="49" fontId="2" fillId="26" borderId="14" xfId="0" applyNumberFormat="1" applyFont="1" applyFill="1" applyBorder="1" applyAlignment="1" applyProtection="1">
      <alignment horizontal="center" vertical="center"/>
      <protection locked="0"/>
    </xf>
    <xf numFmtId="49" fontId="2" fillId="26" borderId="137" xfId="0" applyNumberFormat="1" applyFont="1" applyFill="1" applyBorder="1" applyAlignment="1" applyProtection="1">
      <alignment horizontal="center" vertical="center"/>
      <protection locked="0"/>
    </xf>
    <xf numFmtId="0" fontId="76" fillId="0" borderId="0" xfId="0" applyFont="1" applyAlignment="1">
      <alignment horizontal="center"/>
    </xf>
    <xf numFmtId="0" fontId="76" fillId="0" borderId="142" xfId="0" applyFont="1" applyBorder="1" applyAlignment="1">
      <alignment horizontal="center"/>
    </xf>
    <xf numFmtId="49" fontId="2" fillId="26" borderId="143" xfId="0" applyNumberFormat="1" applyFont="1" applyFill="1" applyBorder="1" applyAlignment="1" applyProtection="1">
      <alignment horizontal="center" vertical="center"/>
      <protection locked="0"/>
    </xf>
    <xf numFmtId="49" fontId="2" fillId="26" borderId="144" xfId="0" applyNumberFormat="1" applyFont="1" applyFill="1" applyBorder="1" applyAlignment="1" applyProtection="1">
      <alignment horizontal="center" vertical="center"/>
      <protection locked="0"/>
    </xf>
    <xf numFmtId="49" fontId="2" fillId="26" borderId="145" xfId="0" applyNumberFormat="1" applyFont="1" applyFill="1" applyBorder="1" applyAlignment="1" applyProtection="1">
      <alignment horizontal="center" vertical="center"/>
      <protection locked="0"/>
    </xf>
    <xf numFmtId="0" fontId="76" fillId="0" borderId="164" xfId="0" applyFont="1" applyBorder="1" applyAlignment="1">
      <alignment horizontal="center"/>
    </xf>
    <xf numFmtId="0" fontId="2" fillId="25" borderId="165" xfId="0" applyFont="1" applyFill="1" applyBorder="1" applyAlignment="1" applyProtection="1">
      <alignment horizontal="left" vertical="top" wrapText="1"/>
      <protection locked="0"/>
    </xf>
    <xf numFmtId="0" fontId="2" fillId="25" borderId="166" xfId="0" applyFont="1" applyFill="1" applyBorder="1" applyAlignment="1" applyProtection="1">
      <alignment horizontal="left" vertical="top" wrapText="1"/>
      <protection locked="0"/>
    </xf>
    <xf numFmtId="0" fontId="2" fillId="25" borderId="167" xfId="0" applyFont="1" applyFill="1" applyBorder="1" applyAlignment="1" applyProtection="1">
      <alignment horizontal="left" vertical="top" wrapText="1"/>
      <protection locked="0"/>
    </xf>
    <xf numFmtId="0" fontId="2" fillId="22" borderId="168" xfId="0" applyFont="1" applyFill="1" applyBorder="1" applyAlignment="1" applyProtection="1">
      <alignment horizontal="center" vertical="top" wrapText="1"/>
      <protection locked="0"/>
    </xf>
    <xf numFmtId="0" fontId="2" fillId="22" borderId="169" xfId="0" applyFont="1" applyFill="1" applyBorder="1" applyAlignment="1" applyProtection="1">
      <alignment horizontal="center" vertical="top" wrapText="1"/>
      <protection locked="0"/>
    </xf>
    <xf numFmtId="0" fontId="2" fillId="22" borderId="170" xfId="0" applyFont="1" applyFill="1" applyBorder="1" applyAlignment="1" applyProtection="1">
      <alignment horizontal="center" vertical="top" wrapText="1"/>
      <protection locked="0"/>
    </xf>
    <xf numFmtId="0" fontId="2" fillId="0" borderId="152" xfId="61" applyNumberFormat="1" applyFont="1" applyFill="1" applyBorder="1" applyAlignment="1" applyProtection="1">
      <alignment horizontal="left" vertical="center" wrapText="1"/>
    </xf>
    <xf numFmtId="0" fontId="78" fillId="0" borderId="171" xfId="0" applyFont="1" applyBorder="1" applyAlignment="1">
      <alignment horizontal="left" vertical="top" wrapText="1"/>
    </xf>
    <xf numFmtId="0" fontId="78" fillId="0" borderId="172" xfId="0" applyFont="1" applyBorder="1" applyAlignment="1">
      <alignment horizontal="left" vertical="top" wrapText="1"/>
    </xf>
    <xf numFmtId="0" fontId="78" fillId="0" borderId="173" xfId="0" applyFont="1" applyBorder="1" applyAlignment="1">
      <alignment horizontal="left" vertical="top" wrapText="1"/>
    </xf>
    <xf numFmtId="9" fontId="2" fillId="0" borderId="174" xfId="61" applyFont="1" applyFill="1" applyBorder="1" applyAlignment="1" applyProtection="1">
      <alignment horizontal="left" vertical="center" wrapText="1"/>
    </xf>
    <xf numFmtId="0" fontId="2" fillId="0" borderId="175" xfId="61" applyNumberFormat="1" applyFont="1" applyFill="1" applyBorder="1" applyAlignment="1" applyProtection="1">
      <alignment horizontal="left" vertical="center" wrapText="1"/>
    </xf>
    <xf numFmtId="0" fontId="2" fillId="0" borderId="176" xfId="61" applyNumberFormat="1" applyFont="1" applyFill="1" applyBorder="1" applyAlignment="1" applyProtection="1">
      <alignment horizontal="left" vertical="center" wrapText="1"/>
    </xf>
    <xf numFmtId="0" fontId="59" fillId="22" borderId="177" xfId="0" applyFont="1" applyFill="1" applyBorder="1" applyAlignment="1">
      <alignment horizontal="center" vertical="center"/>
    </xf>
    <xf numFmtId="0" fontId="59" fillId="22" borderId="178" xfId="0" applyFont="1" applyFill="1" applyBorder="1" applyAlignment="1">
      <alignment horizontal="center" vertical="center"/>
    </xf>
    <xf numFmtId="0" fontId="59" fillId="22" borderId="179" xfId="0" applyFont="1" applyFill="1" applyBorder="1" applyAlignment="1">
      <alignment horizontal="center" vertical="center"/>
    </xf>
    <xf numFmtId="0" fontId="78" fillId="0" borderId="180" xfId="0" applyFont="1" applyBorder="1" applyAlignment="1">
      <alignment horizontal="left" vertical="center" wrapText="1"/>
    </xf>
    <xf numFmtId="0" fontId="78" fillId="0" borderId="181" xfId="0" applyFont="1" applyBorder="1" applyAlignment="1">
      <alignment horizontal="left" vertical="center" wrapText="1"/>
    </xf>
    <xf numFmtId="0" fontId="78" fillId="0" borderId="182" xfId="0" applyFont="1" applyBorder="1" applyAlignment="1">
      <alignment horizontal="left" vertical="center" wrapText="1"/>
    </xf>
    <xf numFmtId="0" fontId="2" fillId="22" borderId="131" xfId="0" applyFont="1" applyFill="1" applyBorder="1" applyAlignment="1" applyProtection="1">
      <alignment horizontal="center" vertical="top" wrapText="1"/>
      <protection locked="0"/>
    </xf>
    <xf numFmtId="0" fontId="2" fillId="22" borderId="132" xfId="0" applyFont="1" applyFill="1" applyBorder="1" applyAlignment="1" applyProtection="1">
      <alignment horizontal="center" vertical="top" wrapText="1"/>
      <protection locked="0"/>
    </xf>
    <xf numFmtId="0" fontId="2" fillId="22" borderId="133" xfId="0" applyFont="1" applyFill="1" applyBorder="1" applyAlignment="1" applyProtection="1">
      <alignment horizontal="center" vertical="top" wrapText="1"/>
      <protection locked="0"/>
    </xf>
    <xf numFmtId="0" fontId="2" fillId="22" borderId="121" xfId="0" applyFont="1" applyFill="1" applyBorder="1" applyAlignment="1" applyProtection="1">
      <alignment horizontal="left" vertical="top" wrapText="1"/>
      <protection locked="0"/>
    </xf>
    <xf numFmtId="0" fontId="2" fillId="22" borderId="122" xfId="0" applyFont="1" applyFill="1" applyBorder="1" applyAlignment="1" applyProtection="1">
      <alignment horizontal="left" vertical="top" wrapText="1"/>
      <protection locked="0"/>
    </xf>
    <xf numFmtId="0" fontId="2" fillId="22" borderId="123" xfId="0" applyFont="1" applyFill="1" applyBorder="1" applyAlignment="1" applyProtection="1">
      <alignment horizontal="left" vertical="top" wrapText="1"/>
      <protection locked="0"/>
    </xf>
    <xf numFmtId="0" fontId="33" fillId="0" borderId="0" xfId="0" applyFont="1" applyAlignment="1">
      <alignment horizontal="center"/>
    </xf>
    <xf numFmtId="0" fontId="0" fillId="0" borderId="0" xfId="0" applyAlignment="1"/>
    <xf numFmtId="0" fontId="14" fillId="0" borderId="109" xfId="0" applyFont="1" applyBorder="1" applyAlignment="1"/>
    <xf numFmtId="0" fontId="0" fillId="0" borderId="38" xfId="0" applyBorder="1" applyAlignment="1"/>
  </cellXfs>
  <cellStyles count="174">
    <cellStyle name="???????????" xfId="92" xr:uid="{00000000-0005-0000-0000-000000000000}"/>
    <cellStyle name="????????????? ???????????" xfId="93" xr:uid="{00000000-0005-0000-0000-000001000000}"/>
    <cellStyle name="_TB_Calc_number" xfId="69" xr:uid="{00000000-0005-0000-0000-000002000000}"/>
    <cellStyle name="_TB_Calc_percent" xfId="70" xr:uid="{00000000-0005-0000-0000-000003000000}"/>
    <cellStyle name="_TB_def_number" xfId="71" xr:uid="{00000000-0005-0000-0000-000004000000}"/>
    <cellStyle name="_TB_def_percent" xfId="72" xr:uid="{00000000-0005-0000-0000-000005000000}"/>
    <cellStyle name="_TB_results1" xfId="89" xr:uid="{00000000-0005-0000-0000-000006000000}"/>
    <cellStyle name="_TB_subtitle2" xfId="73" xr:uid="{00000000-0005-0000-0000-000007000000}"/>
    <cellStyle name="_TB_textunprotect" xfId="90" xr:uid="{00000000-0005-0000-0000-000008000000}"/>
    <cellStyle name="_TB_years" xfId="91" xr:uid="{00000000-0005-0000-0000-000009000000}"/>
    <cellStyle name="20% - Accent1" xfId="1" xr:uid="{00000000-0005-0000-0000-00000A000000}"/>
    <cellStyle name="20% - Accent2" xfId="2" xr:uid="{00000000-0005-0000-0000-00000B000000}"/>
    <cellStyle name="20% - Accent3" xfId="3" xr:uid="{00000000-0005-0000-0000-00000C000000}"/>
    <cellStyle name="20% - Accent4" xfId="4" xr:uid="{00000000-0005-0000-0000-00000D000000}"/>
    <cellStyle name="20% - Accent5" xfId="5" xr:uid="{00000000-0005-0000-0000-00000E000000}"/>
    <cellStyle name="20% - Accent6" xfId="6" xr:uid="{00000000-0005-0000-0000-00000F000000}"/>
    <cellStyle name="20% - Акцент1 2" xfId="94" xr:uid="{00000000-0005-0000-0000-000010000000}"/>
    <cellStyle name="20% - Акцент2 2" xfId="95" xr:uid="{00000000-0005-0000-0000-000011000000}"/>
    <cellStyle name="20% - Акцент3 2" xfId="96" xr:uid="{00000000-0005-0000-0000-000012000000}"/>
    <cellStyle name="20% - Акцент4 2" xfId="97" xr:uid="{00000000-0005-0000-0000-000013000000}"/>
    <cellStyle name="20% - Акцент5 2" xfId="98" xr:uid="{00000000-0005-0000-0000-000014000000}"/>
    <cellStyle name="20% - Акцент6 2" xfId="99" xr:uid="{00000000-0005-0000-0000-000015000000}"/>
    <cellStyle name="40% - Accent1" xfId="7" xr:uid="{00000000-0005-0000-0000-000016000000}"/>
    <cellStyle name="40% - Accent2" xfId="8" xr:uid="{00000000-0005-0000-0000-000017000000}"/>
    <cellStyle name="40% - Accent3" xfId="9" xr:uid="{00000000-0005-0000-0000-000018000000}"/>
    <cellStyle name="40% - Accent4" xfId="10" xr:uid="{00000000-0005-0000-0000-000019000000}"/>
    <cellStyle name="40% - Accent5" xfId="11" xr:uid="{00000000-0005-0000-0000-00001A000000}"/>
    <cellStyle name="40% - Accent6" xfId="12" xr:uid="{00000000-0005-0000-0000-00001B000000}"/>
    <cellStyle name="40% - Акцент1 2" xfId="100" xr:uid="{00000000-0005-0000-0000-00001C000000}"/>
    <cellStyle name="40% - Акцент2 2" xfId="101" xr:uid="{00000000-0005-0000-0000-00001D000000}"/>
    <cellStyle name="40% - Акцент3 2" xfId="102" xr:uid="{00000000-0005-0000-0000-00001E000000}"/>
    <cellStyle name="40% - Акцент4 2" xfId="103" xr:uid="{00000000-0005-0000-0000-00001F000000}"/>
    <cellStyle name="40% - Акцент5 2" xfId="104" xr:uid="{00000000-0005-0000-0000-000020000000}"/>
    <cellStyle name="40% - Акцент6 2" xfId="105" xr:uid="{00000000-0005-0000-0000-000021000000}"/>
    <cellStyle name="60% - Accent1" xfId="13" xr:uid="{00000000-0005-0000-0000-000022000000}"/>
    <cellStyle name="60% - Accent2" xfId="14" xr:uid="{00000000-0005-0000-0000-000023000000}"/>
    <cellStyle name="60% - Accent3" xfId="15" xr:uid="{00000000-0005-0000-0000-000024000000}"/>
    <cellStyle name="60% - Accent4" xfId="16" xr:uid="{00000000-0005-0000-0000-000025000000}"/>
    <cellStyle name="60% - Accent5" xfId="17" xr:uid="{00000000-0005-0000-0000-000026000000}"/>
    <cellStyle name="60% - Accent6" xfId="18" xr:uid="{00000000-0005-0000-0000-000027000000}"/>
    <cellStyle name="60% - Акцент1 2" xfId="106" xr:uid="{00000000-0005-0000-0000-000028000000}"/>
    <cellStyle name="60% - Акцент2 2" xfId="107" xr:uid="{00000000-0005-0000-0000-000029000000}"/>
    <cellStyle name="60% - Акцент3 2" xfId="108" xr:uid="{00000000-0005-0000-0000-00002A000000}"/>
    <cellStyle name="60% - Акцент4 2" xfId="109" xr:uid="{00000000-0005-0000-0000-00002B000000}"/>
    <cellStyle name="60% - Акцент5 2" xfId="110" xr:uid="{00000000-0005-0000-0000-00002C000000}"/>
    <cellStyle name="60% - Акцент6 2" xfId="111" xr:uid="{00000000-0005-0000-0000-00002D000000}"/>
    <cellStyle name="Accent1" xfId="19" xr:uid="{00000000-0005-0000-0000-00002E000000}"/>
    <cellStyle name="Accent2" xfId="20" xr:uid="{00000000-0005-0000-0000-00002F000000}"/>
    <cellStyle name="Accent3" xfId="21" xr:uid="{00000000-0005-0000-0000-000030000000}"/>
    <cellStyle name="Accent4" xfId="22" xr:uid="{00000000-0005-0000-0000-000031000000}"/>
    <cellStyle name="Accent5" xfId="23" xr:uid="{00000000-0005-0000-0000-000032000000}"/>
    <cellStyle name="Accent6" xfId="24" xr:uid="{00000000-0005-0000-0000-000033000000}"/>
    <cellStyle name="Activity" xfId="173" xr:uid="{00000000-0005-0000-0000-000034000000}"/>
    <cellStyle name="Ãèïåðññûëêà" xfId="112" xr:uid="{00000000-0005-0000-0000-000035000000}"/>
    <cellStyle name="Bad" xfId="25" xr:uid="{00000000-0005-0000-0000-000036000000}"/>
    <cellStyle name="Calculation" xfId="26" xr:uid="{00000000-0005-0000-0000-000037000000}"/>
    <cellStyle name="Check Cell" xfId="27" xr:uid="{00000000-0005-0000-0000-000038000000}"/>
    <cellStyle name="Comma 2" xfId="82" xr:uid="{00000000-0005-0000-0000-000039000000}"/>
    <cellStyle name="Comma 2 2" xfId="68" xr:uid="{00000000-0005-0000-0000-00003A000000}"/>
    <cellStyle name="Comma 2 3" xfId="85" xr:uid="{00000000-0005-0000-0000-00003B000000}"/>
    <cellStyle name="Comma 3" xfId="87" xr:uid="{00000000-0005-0000-0000-00003C000000}"/>
    <cellStyle name="Comma 4" xfId="113" xr:uid="{00000000-0005-0000-0000-00003D000000}"/>
    <cellStyle name="Comma 5" xfId="114" xr:uid="{00000000-0005-0000-0000-00003E000000}"/>
    <cellStyle name="Euro" xfId="28" xr:uid="{00000000-0005-0000-0000-00003F000000}"/>
    <cellStyle name="Euro 2" xfId="115" xr:uid="{00000000-0005-0000-0000-000040000000}"/>
    <cellStyle name="Explanatory Text" xfId="29" xr:uid="{00000000-0005-0000-0000-000041000000}"/>
    <cellStyle name="Good" xfId="30" xr:uid="{00000000-0005-0000-0000-000042000000}"/>
    <cellStyle name="Heading 1" xfId="31" xr:uid="{00000000-0005-0000-0000-000043000000}"/>
    <cellStyle name="Heading 2" xfId="32" xr:uid="{00000000-0005-0000-0000-000044000000}"/>
    <cellStyle name="Heading 3" xfId="33" xr:uid="{00000000-0005-0000-0000-000045000000}"/>
    <cellStyle name="Heading 4" xfId="34" xr:uid="{00000000-0005-0000-0000-000046000000}"/>
    <cellStyle name="Hyperlink 2" xfId="74" xr:uid="{00000000-0005-0000-0000-000047000000}"/>
    <cellStyle name="Hyperlink 3" xfId="116" xr:uid="{00000000-0005-0000-0000-000048000000}"/>
    <cellStyle name="info" xfId="117" xr:uid="{00000000-0005-0000-0000-000049000000}"/>
    <cellStyle name="Input" xfId="35" xr:uid="{00000000-0005-0000-0000-00004A000000}"/>
    <cellStyle name="Îòêðûâàâøàÿñÿ ãèïåðññûëêà" xfId="118" xr:uid="{00000000-0005-0000-0000-00004B000000}"/>
    <cellStyle name="Linked Cell" xfId="36" xr:uid="{00000000-0005-0000-0000-00004C000000}"/>
    <cellStyle name="ListData" xfId="119" xr:uid="{00000000-0005-0000-0000-00004D000000}"/>
    <cellStyle name="Millares 2" xfId="37" xr:uid="{00000000-0005-0000-0000-00004E000000}"/>
    <cellStyle name="Normal 10" xfId="120" xr:uid="{00000000-0005-0000-0000-00004F000000}"/>
    <cellStyle name="Normal 11" xfId="121" xr:uid="{00000000-0005-0000-0000-000050000000}"/>
    <cellStyle name="Normal 12" xfId="172" xr:uid="{00000000-0005-0000-0000-000051000000}"/>
    <cellStyle name="Normal 2" xfId="38" xr:uid="{00000000-0005-0000-0000-000052000000}"/>
    <cellStyle name="Normal 2 2" xfId="39" xr:uid="{00000000-0005-0000-0000-000053000000}"/>
    <cellStyle name="Normal 2 2 2" xfId="84" xr:uid="{00000000-0005-0000-0000-000054000000}"/>
    <cellStyle name="Normal 2 3" xfId="40" xr:uid="{00000000-0005-0000-0000-000055000000}"/>
    <cellStyle name="Normal 2 4" xfId="41" xr:uid="{00000000-0005-0000-0000-000056000000}"/>
    <cellStyle name="Normal 2 5" xfId="42" xr:uid="{00000000-0005-0000-0000-000057000000}"/>
    <cellStyle name="Normal 2 6" xfId="43" xr:uid="{00000000-0005-0000-0000-000058000000}"/>
    <cellStyle name="Normal 2 7" xfId="44" xr:uid="{00000000-0005-0000-0000-000059000000}"/>
    <cellStyle name="Normal 2 8" xfId="45" xr:uid="{00000000-0005-0000-0000-00005A000000}"/>
    <cellStyle name="Normal 2 9" xfId="65" xr:uid="{00000000-0005-0000-0000-00005B000000}"/>
    <cellStyle name="Normal 2_Dashboard ver 2.2 ES" xfId="46" xr:uid="{00000000-0005-0000-0000-00005C000000}"/>
    <cellStyle name="Normal 2_Prototipo" xfId="47" xr:uid="{00000000-0005-0000-0000-00005D000000}"/>
    <cellStyle name="Normal 3" xfId="48" xr:uid="{00000000-0005-0000-0000-00005E000000}"/>
    <cellStyle name="Normal 3 2" xfId="75" xr:uid="{00000000-0005-0000-0000-00005F000000}"/>
    <cellStyle name="Normal 4" xfId="49" xr:uid="{00000000-0005-0000-0000-000060000000}"/>
    <cellStyle name="Normal 4 2" xfId="76" xr:uid="{00000000-0005-0000-0000-000061000000}"/>
    <cellStyle name="Normal 5" xfId="50" xr:uid="{00000000-0005-0000-0000-000062000000}"/>
    <cellStyle name="Normal 5 2" xfId="78" xr:uid="{00000000-0005-0000-0000-000063000000}"/>
    <cellStyle name="Normal 5 3" xfId="77" xr:uid="{00000000-0005-0000-0000-000064000000}"/>
    <cellStyle name="Normal 6" xfId="51" xr:uid="{00000000-0005-0000-0000-000065000000}"/>
    <cellStyle name="Normal 6 2" xfId="79" xr:uid="{00000000-0005-0000-0000-000066000000}"/>
    <cellStyle name="Normal 7" xfId="64" xr:uid="{00000000-0005-0000-0000-000067000000}"/>
    <cellStyle name="Normal 7 2" xfId="122" xr:uid="{00000000-0005-0000-0000-000068000000}"/>
    <cellStyle name="Normal 8" xfId="123" xr:uid="{00000000-0005-0000-0000-000069000000}"/>
    <cellStyle name="Normal 8 2" xfId="124" xr:uid="{00000000-0005-0000-0000-00006A000000}"/>
    <cellStyle name="Normal 9" xfId="125" xr:uid="{00000000-0005-0000-0000-00006B000000}"/>
    <cellStyle name="Normal_TZ_R3HIV_Phase_2_21_August_08" xfId="52" xr:uid="{00000000-0005-0000-0000-00006C000000}"/>
    <cellStyle name="Note" xfId="53" xr:uid="{00000000-0005-0000-0000-00006D000000}"/>
    <cellStyle name="Output" xfId="54" xr:uid="{00000000-0005-0000-0000-00006E000000}"/>
    <cellStyle name="Percent 2" xfId="66" xr:uid="{00000000-0005-0000-0000-00006F000000}"/>
    <cellStyle name="Percent 3" xfId="67" xr:uid="{00000000-0005-0000-0000-000070000000}"/>
    <cellStyle name="Percent 4" xfId="88" xr:uid="{00000000-0005-0000-0000-000071000000}"/>
    <cellStyle name="Percent 5" xfId="126" xr:uid="{00000000-0005-0000-0000-000072000000}"/>
    <cellStyle name="Percent 6" xfId="127" xr:uid="{00000000-0005-0000-0000-000073000000}"/>
    <cellStyle name="Percent 7" xfId="128" xr:uid="{00000000-0005-0000-0000-000074000000}"/>
    <cellStyle name="Percent 8" xfId="129" xr:uid="{00000000-0005-0000-0000-000075000000}"/>
    <cellStyle name="SheetHeader" xfId="130" xr:uid="{00000000-0005-0000-0000-000076000000}"/>
    <cellStyle name="TableHeader" xfId="131" xr:uid="{00000000-0005-0000-0000-000077000000}"/>
    <cellStyle name="Title" xfId="55" xr:uid="{00000000-0005-0000-0000-000078000000}"/>
    <cellStyle name="Título 3 3" xfId="56" xr:uid="{00000000-0005-0000-0000-000079000000}"/>
    <cellStyle name="Título 3 3_Prototipo" xfId="57" xr:uid="{00000000-0005-0000-0000-00007A000000}"/>
    <cellStyle name="Título 3 3_PrototipoRep1" xfId="58" xr:uid="{00000000-0005-0000-0000-00007B000000}"/>
    <cellStyle name="Título 3 7" xfId="59" xr:uid="{00000000-0005-0000-0000-00007C000000}"/>
    <cellStyle name="Warning Text" xfId="60" xr:uid="{00000000-0005-0000-0000-00007D000000}"/>
    <cellStyle name="Акцент1 2" xfId="132" xr:uid="{00000000-0005-0000-0000-00007E000000}"/>
    <cellStyle name="Акцент2 2" xfId="133" xr:uid="{00000000-0005-0000-0000-00007F000000}"/>
    <cellStyle name="Акцент3 2" xfId="134" xr:uid="{00000000-0005-0000-0000-000080000000}"/>
    <cellStyle name="Акцент4 2" xfId="135" xr:uid="{00000000-0005-0000-0000-000081000000}"/>
    <cellStyle name="Акцент5 2" xfId="136" xr:uid="{00000000-0005-0000-0000-000082000000}"/>
    <cellStyle name="Акцент6 2" xfId="137" xr:uid="{00000000-0005-0000-0000-000083000000}"/>
    <cellStyle name="Ввод  2" xfId="138" xr:uid="{00000000-0005-0000-0000-000084000000}"/>
    <cellStyle name="Вывод 2" xfId="139" xr:uid="{00000000-0005-0000-0000-000085000000}"/>
    <cellStyle name="Вычисление 2" xfId="140" xr:uid="{00000000-0005-0000-0000-000086000000}"/>
    <cellStyle name="Гиперссылка 2" xfId="141" xr:uid="{00000000-0005-0000-0000-000087000000}"/>
    <cellStyle name="Гиперссылка 3" xfId="142" xr:uid="{00000000-0005-0000-0000-000088000000}"/>
    <cellStyle name="Заголовок 1 2" xfId="143" xr:uid="{00000000-0005-0000-0000-000089000000}"/>
    <cellStyle name="Заголовок 2 2" xfId="144" xr:uid="{00000000-0005-0000-0000-00008A000000}"/>
    <cellStyle name="Заголовок 3 2" xfId="145" xr:uid="{00000000-0005-0000-0000-00008B000000}"/>
    <cellStyle name="Заголовок 4 2" xfId="146" xr:uid="{00000000-0005-0000-0000-00008C000000}"/>
    <cellStyle name="Итог 2" xfId="147" xr:uid="{00000000-0005-0000-0000-00008D000000}"/>
    <cellStyle name="Контрольная ячейка 2" xfId="148" xr:uid="{00000000-0005-0000-0000-00008E000000}"/>
    <cellStyle name="Название 2" xfId="149" xr:uid="{00000000-0005-0000-0000-00008F000000}"/>
    <cellStyle name="Нейтральный 2" xfId="150" xr:uid="{00000000-0005-0000-0000-000090000000}"/>
    <cellStyle name="Обычный" xfId="0" builtinId="0"/>
    <cellStyle name="Обычный 2" xfId="80" xr:uid="{00000000-0005-0000-0000-000092000000}"/>
    <cellStyle name="Обычный 2 2" xfId="151" xr:uid="{00000000-0005-0000-0000-000093000000}"/>
    <cellStyle name="Обычный 2 3" xfId="152" xr:uid="{00000000-0005-0000-0000-000094000000}"/>
    <cellStyle name="Обычный 3" xfId="81" xr:uid="{00000000-0005-0000-0000-000095000000}"/>
    <cellStyle name="Обычный 4" xfId="153" xr:uid="{00000000-0005-0000-0000-000096000000}"/>
    <cellStyle name="Обычный 4 2" xfId="154" xr:uid="{00000000-0005-0000-0000-000097000000}"/>
    <cellStyle name="Обычный 4_KGZ Rnd 7 budget HIV" xfId="155" xr:uid="{00000000-0005-0000-0000-000098000000}"/>
    <cellStyle name="Обычный 5" xfId="156" xr:uid="{00000000-0005-0000-0000-000099000000}"/>
    <cellStyle name="Обычный 6" xfId="157" xr:uid="{00000000-0005-0000-0000-00009A000000}"/>
    <cellStyle name="Обычный 7" xfId="63" xr:uid="{00000000-0005-0000-0000-00009B000000}"/>
    <cellStyle name="Плохой 2" xfId="158" xr:uid="{00000000-0005-0000-0000-00009C000000}"/>
    <cellStyle name="Пояснение 2" xfId="159" xr:uid="{00000000-0005-0000-0000-00009D000000}"/>
    <cellStyle name="Примечание 2" xfId="160" xr:uid="{00000000-0005-0000-0000-00009E000000}"/>
    <cellStyle name="Процентный" xfId="61" builtinId="5"/>
    <cellStyle name="Процентный 2" xfId="161" xr:uid="{00000000-0005-0000-0000-0000A0000000}"/>
    <cellStyle name="Процентный 3" xfId="83" xr:uid="{00000000-0005-0000-0000-0000A1000000}"/>
    <cellStyle name="Связанная ячейка 2" xfId="162" xr:uid="{00000000-0005-0000-0000-0000A2000000}"/>
    <cellStyle name="Текст предупреждения 2" xfId="163" xr:uid="{00000000-0005-0000-0000-0000A3000000}"/>
    <cellStyle name="Финансовый" xfId="62" builtinId="3"/>
    <cellStyle name="Финансовый 2" xfId="164" xr:uid="{00000000-0005-0000-0000-0000A5000000}"/>
    <cellStyle name="Финансовый 2 2" xfId="165" xr:uid="{00000000-0005-0000-0000-0000A6000000}"/>
    <cellStyle name="Финансовый 3" xfId="166" xr:uid="{00000000-0005-0000-0000-0000A7000000}"/>
    <cellStyle name="Финансовый 4" xfId="167" xr:uid="{00000000-0005-0000-0000-0000A8000000}"/>
    <cellStyle name="Финансовый 5" xfId="168" xr:uid="{00000000-0005-0000-0000-0000A9000000}"/>
    <cellStyle name="Финансовый 6" xfId="169" xr:uid="{00000000-0005-0000-0000-0000AA000000}"/>
    <cellStyle name="Финансовый 7" xfId="86" xr:uid="{00000000-0005-0000-0000-0000AB000000}"/>
    <cellStyle name="Хороший 2" xfId="171" xr:uid="{00000000-0005-0000-0000-0000AC000000}"/>
    <cellStyle name="Хороший 3" xfId="170" xr:uid="{00000000-0005-0000-0000-0000AD000000}"/>
  </cellStyles>
  <dxfs count="77">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10781955</c:v>
                </c:pt>
              </c:numCache>
            </c:numRef>
          </c:val>
          <c:extLs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18761018</c:v>
                </c:pt>
              </c:numCache>
            </c:numRef>
          </c:val>
          <c:extLs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1388296480"/>
        <c:axId val="1388287232"/>
      </c:barChart>
      <c:catAx>
        <c:axId val="13882964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388287232"/>
        <c:crosses val="autoZero"/>
        <c:auto val="1"/>
        <c:lblAlgn val="ctr"/>
        <c:lblOffset val="100"/>
        <c:tickLblSkip val="1"/>
        <c:tickMarkSkip val="1"/>
        <c:noMultiLvlLbl val="0"/>
      </c:catAx>
      <c:valAx>
        <c:axId val="1388287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3882964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a:t>HTS-5 </a:t>
            </a:r>
            <a:r>
              <a:rPr lang="az-Cyrl-AZ"/>
              <a:t>Процент людей с впервые выявленным ВИЧ, начавших АРТ					</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'Ввод данных'!$D$176</c:f>
              <c:strCache>
                <c:ptCount val="1"/>
                <c:pt idx="0">
                  <c:v>Целевой показатель</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данных'!$E$173:$I$173</c:f>
              <c:strCache>
                <c:ptCount val="5"/>
                <c:pt idx="0">
                  <c:v>P1</c:v>
                </c:pt>
                <c:pt idx="1">
                  <c:v>P2</c:v>
                </c:pt>
                <c:pt idx="2">
                  <c:v>P3</c:v>
                </c:pt>
                <c:pt idx="3">
                  <c:v>P4</c:v>
                </c:pt>
                <c:pt idx="4">
                  <c:v>P5</c:v>
                </c:pt>
              </c:strCache>
            </c:strRef>
          </c:cat>
          <c:val>
            <c:numRef>
              <c:f>'Ввод данных'!$E$176:$I$176</c:f>
              <c:numCache>
                <c:formatCode>#,##0</c:formatCode>
                <c:ptCount val="5"/>
                <c:pt idx="0" formatCode="0%">
                  <c:v>0.9</c:v>
                </c:pt>
              </c:numCache>
            </c:numRef>
          </c:val>
          <c:extLst>
            <c:ext xmlns:c16="http://schemas.microsoft.com/office/drawing/2014/chart" uri="{C3380CC4-5D6E-409C-BE32-E72D297353CC}">
              <c16:uniqueId val="{00000000-5B30-4091-B18A-6AC4751D1127}"/>
            </c:ext>
          </c:extLst>
        </c:ser>
        <c:ser>
          <c:idx val="0"/>
          <c:order val="1"/>
          <c:tx>
            <c:strRef>
              <c:f>'Ввод данных'!$D$177</c:f>
              <c:strCache>
                <c:ptCount val="1"/>
                <c:pt idx="0">
                  <c:v>Достигнуто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данных'!$E$173:$I$173</c:f>
              <c:strCache>
                <c:ptCount val="5"/>
                <c:pt idx="0">
                  <c:v>P1</c:v>
                </c:pt>
                <c:pt idx="1">
                  <c:v>P2</c:v>
                </c:pt>
                <c:pt idx="2">
                  <c:v>P3</c:v>
                </c:pt>
                <c:pt idx="3">
                  <c:v>P4</c:v>
                </c:pt>
                <c:pt idx="4">
                  <c:v>P5</c:v>
                </c:pt>
              </c:strCache>
            </c:strRef>
          </c:cat>
          <c:val>
            <c:numRef>
              <c:f>'Ввод данных'!$E$177:$I$177</c:f>
              <c:numCache>
                <c:formatCode>#,##0</c:formatCode>
                <c:ptCount val="5"/>
                <c:pt idx="0" formatCode="0%">
                  <c:v>0.88</c:v>
                </c:pt>
              </c:numCache>
            </c:numRef>
          </c:val>
          <c:extLst>
            <c:ext xmlns:c16="http://schemas.microsoft.com/office/drawing/2014/chart" uri="{C3380CC4-5D6E-409C-BE32-E72D297353CC}">
              <c16:uniqueId val="{00000001-CBEF-44A4-AA78-3F1EBD06D11B}"/>
            </c:ext>
          </c:extLst>
        </c:ser>
        <c:dLbls>
          <c:showLegendKey val="0"/>
          <c:showVal val="1"/>
          <c:showCatName val="0"/>
          <c:showSerName val="0"/>
          <c:showPercent val="0"/>
          <c:showBubbleSize val="0"/>
        </c:dLbls>
        <c:gapWidth val="150"/>
        <c:overlap val="-25"/>
        <c:axId val="1511070352"/>
        <c:axId val="1511060560"/>
      </c:barChart>
      <c:catAx>
        <c:axId val="151107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0560"/>
        <c:crosses val="autoZero"/>
        <c:auto val="1"/>
        <c:lblAlgn val="ctr"/>
        <c:lblOffset val="100"/>
        <c:noMultiLvlLbl val="0"/>
      </c:catAx>
      <c:valAx>
        <c:axId val="1511060560"/>
        <c:scaling>
          <c:orientation val="minMax"/>
        </c:scaling>
        <c:delete val="1"/>
        <c:axPos val="l"/>
        <c:numFmt formatCode="0%" sourceLinked="1"/>
        <c:majorTickMark val="none"/>
        <c:minorTickMark val="none"/>
        <c:tickLblPos val="nextTo"/>
        <c:crossAx val="15110703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a:t>TCS-1.1⁽ᴹ⁾ </a:t>
            </a:r>
            <a:r>
              <a:rPr lang="az-Cyrl-AZ"/>
              <a:t>Процент людей, получающих АРТ, среди всех людей, живущих с ВИЧ, на конец отчетного периода					</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'Ввод данных'!$D$178</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данных'!$E$173:$I$173</c:f>
              <c:strCache>
                <c:ptCount val="5"/>
                <c:pt idx="0">
                  <c:v>P1</c:v>
                </c:pt>
                <c:pt idx="1">
                  <c:v>P2</c:v>
                </c:pt>
                <c:pt idx="2">
                  <c:v>P3</c:v>
                </c:pt>
                <c:pt idx="3">
                  <c:v>P4</c:v>
                </c:pt>
                <c:pt idx="4">
                  <c:v>P5</c:v>
                </c:pt>
              </c:strCache>
            </c:strRef>
          </c:cat>
          <c:val>
            <c:numRef>
              <c:f>'Ввод данных'!$E$178:$I$178</c:f>
              <c:numCache>
                <c:formatCode>#,##0</c:formatCode>
                <c:ptCount val="5"/>
                <c:pt idx="0" formatCode="0%">
                  <c:v>0.72</c:v>
                </c:pt>
              </c:numCache>
            </c:numRef>
          </c:val>
          <c:extLst>
            <c:ext xmlns:c16="http://schemas.microsoft.com/office/drawing/2014/chart" uri="{C3380CC4-5D6E-409C-BE32-E72D297353CC}">
              <c16:uniqueId val="{00000000-8E36-4759-95E6-C1FD3F67DC3B}"/>
            </c:ext>
          </c:extLst>
        </c:ser>
        <c:ser>
          <c:idx val="1"/>
          <c:order val="1"/>
          <c:tx>
            <c:strRef>
              <c:f>'Ввод данных'!$D$179</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данных'!$E$173:$I$173</c:f>
              <c:strCache>
                <c:ptCount val="5"/>
                <c:pt idx="0">
                  <c:v>P1</c:v>
                </c:pt>
                <c:pt idx="1">
                  <c:v>P2</c:v>
                </c:pt>
                <c:pt idx="2">
                  <c:v>P3</c:v>
                </c:pt>
                <c:pt idx="3">
                  <c:v>P4</c:v>
                </c:pt>
                <c:pt idx="4">
                  <c:v>P5</c:v>
                </c:pt>
              </c:strCache>
            </c:strRef>
          </c:cat>
          <c:val>
            <c:numRef>
              <c:f>'Ввод данных'!$E$179:$I$179</c:f>
              <c:numCache>
                <c:formatCode>#,##0</c:formatCode>
                <c:ptCount val="5"/>
                <c:pt idx="0" formatCode="0%">
                  <c:v>0.54</c:v>
                </c:pt>
              </c:numCache>
            </c:numRef>
          </c:val>
          <c:extLst>
            <c:ext xmlns:c16="http://schemas.microsoft.com/office/drawing/2014/chart" uri="{C3380CC4-5D6E-409C-BE32-E72D297353CC}">
              <c16:uniqueId val="{00000001-41C3-4460-A67D-C690C6047B8A}"/>
            </c:ext>
          </c:extLst>
        </c:ser>
        <c:dLbls>
          <c:showLegendKey val="0"/>
          <c:showVal val="1"/>
          <c:showCatName val="0"/>
          <c:showSerName val="0"/>
          <c:showPercent val="0"/>
          <c:showBubbleSize val="0"/>
        </c:dLbls>
        <c:gapWidth val="150"/>
        <c:overlap val="-25"/>
        <c:axId val="1511065456"/>
        <c:axId val="1511062736"/>
      </c:barChart>
      <c:catAx>
        <c:axId val="151106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2736"/>
        <c:crosses val="autoZero"/>
        <c:auto val="1"/>
        <c:lblAlgn val="ctr"/>
        <c:lblOffset val="100"/>
        <c:noMultiLvlLbl val="0"/>
      </c:catAx>
      <c:valAx>
        <c:axId val="1511062736"/>
        <c:scaling>
          <c:orientation val="minMax"/>
        </c:scaling>
        <c:delete val="1"/>
        <c:axPos val="l"/>
        <c:numFmt formatCode="0%" sourceLinked="1"/>
        <c:majorTickMark val="none"/>
        <c:minorTickMark val="none"/>
        <c:tickLblPos val="nextTo"/>
        <c:crossAx val="1511065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TB-6: </a:t>
            </a:r>
            <a:r>
              <a:rPr lang="az-Cyrl-AZ" sz="1000" b="0" i="0" u="none" strike="noStrike" baseline="0">
                <a:effectLst/>
              </a:rPr>
              <a:t>Процент ТБ пациентов с результатом ТЛЧ как минимум к рифампицину среди общего количества зарегистрированных (новых и ранее леченных) случаев том же году</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'Ввод данных'!$D$211</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данных'!$E$210:$I$210</c:f>
              <c:strCache>
                <c:ptCount val="5"/>
                <c:pt idx="0">
                  <c:v>Р1</c:v>
                </c:pt>
                <c:pt idx="1">
                  <c:v>Р2</c:v>
                </c:pt>
                <c:pt idx="2">
                  <c:v>P3</c:v>
                </c:pt>
                <c:pt idx="3">
                  <c:v>P4</c:v>
                </c:pt>
                <c:pt idx="4">
                  <c:v>P5</c:v>
                </c:pt>
              </c:strCache>
            </c:strRef>
          </c:cat>
          <c:val>
            <c:numRef>
              <c:f>'Ввод данных'!$E$211:$I$211</c:f>
              <c:numCache>
                <c:formatCode>0%</c:formatCode>
                <c:ptCount val="5"/>
                <c:pt idx="0">
                  <c:v>0.97</c:v>
                </c:pt>
              </c:numCache>
            </c:numRef>
          </c:val>
          <c:extLst>
            <c:ext xmlns:c16="http://schemas.microsoft.com/office/drawing/2014/chart" uri="{C3380CC4-5D6E-409C-BE32-E72D297353CC}">
              <c16:uniqueId val="{00000000-3B9B-49FD-BF6F-70EC39C3254D}"/>
            </c:ext>
          </c:extLst>
        </c:ser>
        <c:ser>
          <c:idx val="1"/>
          <c:order val="1"/>
          <c:tx>
            <c:strRef>
              <c:f>'Ввод данных'!$D$212</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данных'!$E$210:$I$210</c:f>
              <c:strCache>
                <c:ptCount val="5"/>
                <c:pt idx="0">
                  <c:v>Р1</c:v>
                </c:pt>
                <c:pt idx="1">
                  <c:v>Р2</c:v>
                </c:pt>
                <c:pt idx="2">
                  <c:v>P3</c:v>
                </c:pt>
                <c:pt idx="3">
                  <c:v>P4</c:v>
                </c:pt>
                <c:pt idx="4">
                  <c:v>P5</c:v>
                </c:pt>
              </c:strCache>
            </c:strRef>
          </c:cat>
          <c:val>
            <c:numRef>
              <c:f>'Ввод данных'!$E$212:$I$212</c:f>
              <c:numCache>
                <c:formatCode>#,##0</c:formatCode>
                <c:ptCount val="5"/>
                <c:pt idx="0" formatCode="0%">
                  <c:v>0.94</c:v>
                </c:pt>
              </c:numCache>
            </c:numRef>
          </c:val>
          <c:extLst>
            <c:ext xmlns:c16="http://schemas.microsoft.com/office/drawing/2014/chart" uri="{C3380CC4-5D6E-409C-BE32-E72D297353CC}">
              <c16:uniqueId val="{00000001-3B9B-49FD-BF6F-70EC39C3254D}"/>
            </c:ext>
          </c:extLst>
        </c:ser>
        <c:dLbls>
          <c:showLegendKey val="0"/>
          <c:showVal val="1"/>
          <c:showCatName val="0"/>
          <c:showSerName val="0"/>
          <c:showPercent val="0"/>
          <c:showBubbleSize val="0"/>
        </c:dLbls>
        <c:gapWidth val="150"/>
        <c:overlap val="-25"/>
        <c:axId val="1511056208"/>
        <c:axId val="1511056752"/>
      </c:barChart>
      <c:catAx>
        <c:axId val="151105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56752"/>
        <c:crosses val="autoZero"/>
        <c:auto val="1"/>
        <c:lblAlgn val="ctr"/>
        <c:lblOffset val="100"/>
        <c:noMultiLvlLbl val="0"/>
      </c:catAx>
      <c:valAx>
        <c:axId val="1511056752"/>
        <c:scaling>
          <c:orientation val="minMax"/>
        </c:scaling>
        <c:delete val="1"/>
        <c:axPos val="l"/>
        <c:numFmt formatCode="0%" sourceLinked="1"/>
        <c:majorTickMark val="none"/>
        <c:minorTickMark val="none"/>
        <c:tickLblPos val="nextTo"/>
        <c:crossAx val="15110562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TB-3: </a:t>
            </a:r>
            <a:r>
              <a:rPr lang="az-Cyrl-AZ" sz="1000" b="0" i="0" u="none" strike="noStrike" baseline="0">
                <a:effectLst/>
              </a:rPr>
              <a:t>Количество случаев с РУ/МЛУ ТБ, начавших лечение препаратами второго ряда</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'Ввод данных'!$D$215</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данных'!$E$210:$I$210</c:f>
              <c:strCache>
                <c:ptCount val="5"/>
                <c:pt idx="0">
                  <c:v>Р1</c:v>
                </c:pt>
                <c:pt idx="1">
                  <c:v>Р2</c:v>
                </c:pt>
                <c:pt idx="2">
                  <c:v>P3</c:v>
                </c:pt>
                <c:pt idx="3">
                  <c:v>P4</c:v>
                </c:pt>
                <c:pt idx="4">
                  <c:v>P5</c:v>
                </c:pt>
              </c:strCache>
            </c:strRef>
          </c:cat>
          <c:val>
            <c:numRef>
              <c:f>'Ввод данных'!$E$215:$I$215</c:f>
              <c:numCache>
                <c:formatCode>#,##0</c:formatCode>
                <c:ptCount val="5"/>
                <c:pt idx="0">
                  <c:v>1612</c:v>
                </c:pt>
              </c:numCache>
            </c:numRef>
          </c:val>
          <c:extLst>
            <c:ext xmlns:c16="http://schemas.microsoft.com/office/drawing/2014/chart" uri="{C3380CC4-5D6E-409C-BE32-E72D297353CC}">
              <c16:uniqueId val="{00000000-0FA3-483E-9E00-1641FC511067}"/>
            </c:ext>
          </c:extLst>
        </c:ser>
        <c:ser>
          <c:idx val="1"/>
          <c:order val="1"/>
          <c:tx>
            <c:strRef>
              <c:f>'Ввод данных'!$D$216</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данных'!$E$210:$I$210</c:f>
              <c:strCache>
                <c:ptCount val="5"/>
                <c:pt idx="0">
                  <c:v>Р1</c:v>
                </c:pt>
                <c:pt idx="1">
                  <c:v>Р2</c:v>
                </c:pt>
                <c:pt idx="2">
                  <c:v>P3</c:v>
                </c:pt>
                <c:pt idx="3">
                  <c:v>P4</c:v>
                </c:pt>
                <c:pt idx="4">
                  <c:v>P5</c:v>
                </c:pt>
              </c:strCache>
            </c:strRef>
          </c:cat>
          <c:val>
            <c:numRef>
              <c:f>'Ввод данных'!$E$216:$I$216</c:f>
              <c:numCache>
                <c:formatCode>#,##0</c:formatCode>
                <c:ptCount val="5"/>
                <c:pt idx="0">
                  <c:v>934</c:v>
                </c:pt>
              </c:numCache>
            </c:numRef>
          </c:val>
          <c:extLst>
            <c:ext xmlns:c16="http://schemas.microsoft.com/office/drawing/2014/chart" uri="{C3380CC4-5D6E-409C-BE32-E72D297353CC}">
              <c16:uniqueId val="{00000002-FBD6-4CFD-9ADD-E54BF7FE3C9B}"/>
            </c:ext>
          </c:extLst>
        </c:ser>
        <c:dLbls>
          <c:showLegendKey val="0"/>
          <c:showVal val="1"/>
          <c:showCatName val="0"/>
          <c:showSerName val="0"/>
          <c:showPercent val="0"/>
          <c:showBubbleSize val="0"/>
        </c:dLbls>
        <c:gapWidth val="150"/>
        <c:overlap val="-25"/>
        <c:axId val="1512274016"/>
        <c:axId val="1512273472"/>
      </c:barChart>
      <c:catAx>
        <c:axId val="15122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273472"/>
        <c:crosses val="autoZero"/>
        <c:auto val="1"/>
        <c:lblAlgn val="ctr"/>
        <c:lblOffset val="100"/>
        <c:noMultiLvlLbl val="0"/>
      </c:catAx>
      <c:valAx>
        <c:axId val="1512273472"/>
        <c:scaling>
          <c:orientation val="minMax"/>
        </c:scaling>
        <c:delete val="1"/>
        <c:axPos val="l"/>
        <c:numFmt formatCode="#,##0" sourceLinked="1"/>
        <c:majorTickMark val="none"/>
        <c:minorTickMark val="none"/>
        <c:tickLblPos val="nextTo"/>
        <c:crossAx val="15122740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TB-7: </a:t>
            </a:r>
            <a:r>
              <a:rPr lang="az-Cyrl-AZ" sz="1000" b="0" i="0" u="none" strike="noStrike" baseline="0">
                <a:effectLst/>
              </a:rPr>
              <a:t>Процент подтвержденных МЛУ-ТБ случаев, протестированных на чувствительность к препаратам второго ряда</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6907577767137161E-2"/>
          <c:y val="0.28708574224016331"/>
          <c:w val="0.97309242223286285"/>
          <c:h val="0.59200153327338678"/>
        </c:manualLayout>
      </c:layout>
      <c:barChart>
        <c:barDir val="col"/>
        <c:grouping val="clustered"/>
        <c:varyColors val="0"/>
        <c:ser>
          <c:idx val="0"/>
          <c:order val="0"/>
          <c:tx>
            <c:strRef>
              <c:f>'Ввод данных'!$D$217</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данных'!$E$210:$I$210</c:f>
              <c:strCache>
                <c:ptCount val="5"/>
                <c:pt idx="0">
                  <c:v>Р1</c:v>
                </c:pt>
                <c:pt idx="1">
                  <c:v>Р2</c:v>
                </c:pt>
                <c:pt idx="2">
                  <c:v>P3</c:v>
                </c:pt>
                <c:pt idx="3">
                  <c:v>P4</c:v>
                </c:pt>
                <c:pt idx="4">
                  <c:v>P5</c:v>
                </c:pt>
              </c:strCache>
            </c:strRef>
          </c:cat>
          <c:val>
            <c:numRef>
              <c:f>'Ввод данных'!$E$217:$I$217</c:f>
              <c:numCache>
                <c:formatCode>0%</c:formatCode>
                <c:ptCount val="5"/>
                <c:pt idx="0">
                  <c:v>0.72</c:v>
                </c:pt>
              </c:numCache>
            </c:numRef>
          </c:val>
          <c:extLst>
            <c:ext xmlns:c16="http://schemas.microsoft.com/office/drawing/2014/chart" uri="{C3380CC4-5D6E-409C-BE32-E72D297353CC}">
              <c16:uniqueId val="{00000000-C5F8-4F29-8519-CACFFDA40A9D}"/>
            </c:ext>
          </c:extLst>
        </c:ser>
        <c:ser>
          <c:idx val="1"/>
          <c:order val="1"/>
          <c:tx>
            <c:strRef>
              <c:f>'Ввод данных'!$D$218</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данных'!$E$210:$I$210</c:f>
              <c:strCache>
                <c:ptCount val="5"/>
                <c:pt idx="0">
                  <c:v>Р1</c:v>
                </c:pt>
                <c:pt idx="1">
                  <c:v>Р2</c:v>
                </c:pt>
                <c:pt idx="2">
                  <c:v>P3</c:v>
                </c:pt>
                <c:pt idx="3">
                  <c:v>P4</c:v>
                </c:pt>
                <c:pt idx="4">
                  <c:v>P5</c:v>
                </c:pt>
              </c:strCache>
            </c:strRef>
          </c:cat>
          <c:val>
            <c:numRef>
              <c:f>'Ввод данных'!$E$218:$I$218</c:f>
              <c:numCache>
                <c:formatCode>0%</c:formatCode>
                <c:ptCount val="5"/>
                <c:pt idx="0">
                  <c:v>0.79</c:v>
                </c:pt>
              </c:numCache>
            </c:numRef>
          </c:val>
          <c:extLst>
            <c:ext xmlns:c16="http://schemas.microsoft.com/office/drawing/2014/chart" uri="{C3380CC4-5D6E-409C-BE32-E72D297353CC}">
              <c16:uniqueId val="{00000001-2990-4390-BC04-5B6D0F1A34CC}"/>
            </c:ext>
          </c:extLst>
        </c:ser>
        <c:dLbls>
          <c:showLegendKey val="0"/>
          <c:showVal val="1"/>
          <c:showCatName val="0"/>
          <c:showSerName val="0"/>
          <c:showPercent val="0"/>
          <c:showBubbleSize val="0"/>
        </c:dLbls>
        <c:gapWidth val="150"/>
        <c:overlap val="-25"/>
        <c:axId val="1512272384"/>
        <c:axId val="1512268032"/>
      </c:barChart>
      <c:catAx>
        <c:axId val="15122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2268032"/>
        <c:crosses val="autoZero"/>
        <c:auto val="1"/>
        <c:lblAlgn val="ctr"/>
        <c:lblOffset val="100"/>
        <c:noMultiLvlLbl val="0"/>
      </c:catAx>
      <c:valAx>
        <c:axId val="1512268032"/>
        <c:scaling>
          <c:orientation val="minMax"/>
        </c:scaling>
        <c:delete val="1"/>
        <c:axPos val="l"/>
        <c:numFmt formatCode="0%" sourceLinked="1"/>
        <c:majorTickMark val="none"/>
        <c:minorTickMark val="none"/>
        <c:tickLblPos val="nextTo"/>
        <c:crossAx val="1512272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'Ввод данных'!$A$33</c:f>
              <c:strCache>
                <c:ptCount val="1"/>
                <c:pt idx="0">
                  <c:v>Общий бюджет</c:v>
                </c:pt>
              </c:strCache>
            </c:strRef>
          </c:tx>
          <c:spPr>
            <a:solidFill>
              <a:srgbClr val="339966"/>
            </a:solidFill>
            <a:ln w="12700">
              <a:solidFill>
                <a:srgbClr val="0000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данных'!$B$33:$L$33</c:f>
              <c:numCache>
                <c:formatCode>#,##0</c:formatCode>
                <c:ptCount val="11"/>
                <c:pt idx="0">
                  <c:v>10781955</c:v>
                </c:pt>
              </c:numCache>
            </c:numRef>
          </c:val>
          <c:extLst>
            <c:ext xmlns:c16="http://schemas.microsoft.com/office/drawing/2014/chart" uri="{C3380CC4-5D6E-409C-BE32-E72D297353CC}">
              <c16:uniqueId val="{00000000-745B-4750-98B5-D01D83B5846C}"/>
            </c:ext>
          </c:extLst>
        </c:ser>
        <c:ser>
          <c:idx val="1"/>
          <c:order val="1"/>
          <c:tx>
            <c:strRef>
              <c:f>'Ввод данных'!$A$34</c:f>
              <c:strCache>
                <c:ptCount val="1"/>
                <c:pt idx="0">
                  <c:v>Общая сумма выплат</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данных'!$B$34:$L$34</c:f>
              <c:numCache>
                <c:formatCode>#,##0</c:formatCode>
                <c:ptCount val="11"/>
                <c:pt idx="0">
                  <c:v>18761018</c:v>
                </c:pt>
              </c:numCache>
            </c:numRef>
          </c:val>
          <c:extLst>
            <c:ext xmlns:c16="http://schemas.microsoft.com/office/drawing/2014/chart" uri="{C3380CC4-5D6E-409C-BE32-E72D297353CC}">
              <c16:uniqueId val="{00000001-745B-4750-98B5-D01D83B5846C}"/>
            </c:ext>
          </c:extLst>
        </c:ser>
        <c:dLbls>
          <c:showLegendKey val="0"/>
          <c:showVal val="0"/>
          <c:showCatName val="0"/>
          <c:showSerName val="0"/>
          <c:showPercent val="0"/>
          <c:showBubbleSize val="0"/>
        </c:dLbls>
        <c:dropLines>
          <c:spPr>
            <a:ln w="3175">
              <a:solidFill>
                <a:srgbClr val="000000"/>
              </a:solidFill>
              <a:prstDash val="solid"/>
            </a:ln>
          </c:spPr>
        </c:dropLines>
        <c:axId val="1512269664"/>
        <c:axId val="1512270208"/>
      </c:areaChart>
      <c:catAx>
        <c:axId val="151226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512270208"/>
        <c:crosses val="autoZero"/>
        <c:auto val="1"/>
        <c:lblAlgn val="ctr"/>
        <c:lblOffset val="100"/>
        <c:tickLblSkip val="8"/>
        <c:tickMarkSkip val="1"/>
        <c:noMultiLvlLbl val="0"/>
      </c:catAx>
      <c:valAx>
        <c:axId val="151227020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5122696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7684682629"/>
          <c:y val="3.9455782312925194E-2"/>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данных'!$A$39:$A$63</c:f>
              <c:strCache>
                <c:ptCount val="24"/>
                <c:pt idx="0">
                  <c:v>Снижение рисков для программ по заболеваниям</c:v>
                </c:pt>
                <c:pt idx="1">
                  <c:v>Диагностика и тестирование COVID</c:v>
                </c:pt>
                <c:pt idx="2">
                  <c:v>Смягчение негативных воздействий для программ по ВИЧ</c:v>
                </c:pt>
                <c:pt idx="3">
                  <c:v>Устранение препятствий к услугам, связанных с правами человека и гендерными факторами</c:v>
                </c:pt>
                <c:pt idx="4">
                  <c:v>Кейс-менеджмент, клинические операции и лечение</c:v>
                </c:pt>
                <c:pt idx="5">
                  <c:v>Профилактика инфекций, контроль и защита медицинских работников</c:v>
                </c:pt>
                <c:pt idx="6">
                  <c:v>Лабораторные системы</c:v>
                </c:pt>
                <c:pt idx="7">
                  <c:v>Смягчение негативных воздействий для программ по ТБ</c:v>
                </c:pt>
                <c:pt idx="8">
                  <c:v>Мероприятия по изменению поведения</c:v>
                </c:pt>
                <c:pt idx="9">
                  <c:v>Программы обмена игл и шприцев</c:v>
                </c:pt>
                <c:pt idx="10">
                  <c:v>Опиоидная заместительная терапия и другое лечение наркозависимости с медицинской помощью</c:v>
                </c:pt>
                <c:pt idx="11">
                  <c:v>Лечение (МЛУ ТБ)</c:v>
                </c:pt>
                <c:pt idx="12">
                  <c:v>Выявление и диагностика случаев (МЛУ-ТБ)</c:v>
                </c:pt>
                <c:pt idx="13">
                  <c:v>Оказание помощи при МЛУ-ТБ по месту жительства</c:v>
                </c:pt>
                <c:pt idx="14">
                  <c:v>Дифференцированное предоставление услуг АРВТ и помощь при ВИЧ</c:v>
                </c:pt>
                <c:pt idx="15">
                  <c:v>Консультации и психосоциальная поддержка</c:v>
                </c:pt>
                <c:pt idx="16">
                  <c:v>Тестирование в учреждениях</c:v>
                </c:pt>
                <c:pt idx="17">
                  <c:v>Тестирование в сообществах</c:v>
                </c:pt>
                <c:pt idx="18">
                  <c:v>Мобилизация сообщества и адвокация (ВИЧ / ТБ)</c:v>
                </c:pt>
                <c:pt idx="19">
                  <c:v>Снижение стигмы и дискриминации (ВИЧ / ТБ)</c:v>
                </c:pt>
                <c:pt idx="20">
                  <c:v>Юридические услуги по ВИЧ и ВИЧ/ТБ</c:v>
                </c:pt>
                <c:pt idx="21">
                  <c:v>Системы менеджмента качества и аккредитация</c:v>
                </c:pt>
                <c:pt idx="22">
                  <c:v>Регулярная отчетность</c:v>
                </c:pt>
                <c:pt idx="23">
                  <c:v>Управление грантом</c:v>
                </c:pt>
              </c:strCache>
            </c:strRef>
          </c:cat>
          <c:val>
            <c:numRef>
              <c:f>'Ввод данных'!$B$39:$B$63</c:f>
              <c:numCache>
                <c:formatCode>_(* #,##0.00_);_(* \(#,##0.00\);_(* "-"??_);_(@_)</c:formatCode>
                <c:ptCount val="25"/>
                <c:pt idx="0">
                  <c:v>15807.17</c:v>
                </c:pt>
                <c:pt idx="1">
                  <c:v>761063.4</c:v>
                </c:pt>
                <c:pt idx="2">
                  <c:v>139709.54999999999</c:v>
                </c:pt>
                <c:pt idx="3">
                  <c:v>20733.79</c:v>
                </c:pt>
                <c:pt idx="4">
                  <c:v>1591507.76</c:v>
                </c:pt>
                <c:pt idx="5">
                  <c:v>348519.53</c:v>
                </c:pt>
                <c:pt idx="6">
                  <c:v>374207.03</c:v>
                </c:pt>
                <c:pt idx="7">
                  <c:v>7502.14</c:v>
                </c:pt>
                <c:pt idx="8">
                  <c:v>408795.49</c:v>
                </c:pt>
                <c:pt idx="9">
                  <c:v>312622.76</c:v>
                </c:pt>
                <c:pt idx="10">
                  <c:v>339227.82</c:v>
                </c:pt>
                <c:pt idx="11">
                  <c:v>1427120.98</c:v>
                </c:pt>
                <c:pt idx="12">
                  <c:v>976229.21</c:v>
                </c:pt>
                <c:pt idx="13">
                  <c:v>314509.64</c:v>
                </c:pt>
                <c:pt idx="14">
                  <c:v>572610.6</c:v>
                </c:pt>
                <c:pt idx="15">
                  <c:v>221008.27</c:v>
                </c:pt>
                <c:pt idx="16">
                  <c:v>33428.31</c:v>
                </c:pt>
                <c:pt idx="17">
                  <c:v>165311.34</c:v>
                </c:pt>
                <c:pt idx="18">
                  <c:v>158538.04999999999</c:v>
                </c:pt>
                <c:pt idx="19">
                  <c:v>100551.08</c:v>
                </c:pt>
                <c:pt idx="20">
                  <c:v>120606.67</c:v>
                </c:pt>
                <c:pt idx="21">
                  <c:v>131957.82</c:v>
                </c:pt>
                <c:pt idx="22">
                  <c:v>125445.79</c:v>
                </c:pt>
                <c:pt idx="23">
                  <c:v>2114940.92</c:v>
                </c:pt>
              </c:numCache>
            </c:numRef>
          </c:val>
          <c:extLs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данных'!$A$39:$A$63</c:f>
              <c:strCache>
                <c:ptCount val="24"/>
                <c:pt idx="0">
                  <c:v>Снижение рисков для программ по заболеваниям</c:v>
                </c:pt>
                <c:pt idx="1">
                  <c:v>Диагностика и тестирование COVID</c:v>
                </c:pt>
                <c:pt idx="2">
                  <c:v>Смягчение негативных воздействий для программ по ВИЧ</c:v>
                </c:pt>
                <c:pt idx="3">
                  <c:v>Устранение препятствий к услугам, связанных с правами человека и гендерными факторами</c:v>
                </c:pt>
                <c:pt idx="4">
                  <c:v>Кейс-менеджмент, клинические операции и лечение</c:v>
                </c:pt>
                <c:pt idx="5">
                  <c:v>Профилактика инфекций, контроль и защита медицинских работников</c:v>
                </c:pt>
                <c:pt idx="6">
                  <c:v>Лабораторные системы</c:v>
                </c:pt>
                <c:pt idx="7">
                  <c:v>Смягчение негативных воздействий для программ по ТБ</c:v>
                </c:pt>
                <c:pt idx="8">
                  <c:v>Мероприятия по изменению поведения</c:v>
                </c:pt>
                <c:pt idx="9">
                  <c:v>Программы обмена игл и шприцев</c:v>
                </c:pt>
                <c:pt idx="10">
                  <c:v>Опиоидная заместительная терапия и другое лечение наркозависимости с медицинской помощью</c:v>
                </c:pt>
                <c:pt idx="11">
                  <c:v>Лечение (МЛУ ТБ)</c:v>
                </c:pt>
                <c:pt idx="12">
                  <c:v>Выявление и диагностика случаев (МЛУ-ТБ)</c:v>
                </c:pt>
                <c:pt idx="13">
                  <c:v>Оказание помощи при МЛУ-ТБ по месту жительства</c:v>
                </c:pt>
                <c:pt idx="14">
                  <c:v>Дифференцированное предоставление услуг АРВТ и помощь при ВИЧ</c:v>
                </c:pt>
                <c:pt idx="15">
                  <c:v>Консультации и психосоциальная поддержка</c:v>
                </c:pt>
                <c:pt idx="16">
                  <c:v>Тестирование в учреждениях</c:v>
                </c:pt>
                <c:pt idx="17">
                  <c:v>Тестирование в сообществах</c:v>
                </c:pt>
                <c:pt idx="18">
                  <c:v>Мобилизация сообщества и адвокация (ВИЧ / ТБ)</c:v>
                </c:pt>
                <c:pt idx="19">
                  <c:v>Снижение стигмы и дискриминации (ВИЧ / ТБ)</c:v>
                </c:pt>
                <c:pt idx="20">
                  <c:v>Юридические услуги по ВИЧ и ВИЧ/ТБ</c:v>
                </c:pt>
                <c:pt idx="21">
                  <c:v>Системы менеджмента качества и аккредитация</c:v>
                </c:pt>
                <c:pt idx="22">
                  <c:v>Регулярная отчетность</c:v>
                </c:pt>
                <c:pt idx="23">
                  <c:v>Управление грантом</c:v>
                </c:pt>
              </c:strCache>
            </c:strRef>
          </c:cat>
          <c:val>
            <c:numRef>
              <c:f>'Ввод данных'!$C$39:$C$63</c:f>
              <c:numCache>
                <c:formatCode>_(* #,##0.00_);_(* \(#,##0.00\);_(* "-"??_);_(@_)</c:formatCode>
                <c:ptCount val="25"/>
                <c:pt idx="0">
                  <c:v>0</c:v>
                </c:pt>
                <c:pt idx="1">
                  <c:v>346865</c:v>
                </c:pt>
                <c:pt idx="2">
                  <c:v>47791.06</c:v>
                </c:pt>
                <c:pt idx="3">
                  <c:v>11055.14</c:v>
                </c:pt>
                <c:pt idx="4">
                  <c:v>14879</c:v>
                </c:pt>
                <c:pt idx="5">
                  <c:v>17681.227470000002</c:v>
                </c:pt>
                <c:pt idx="6">
                  <c:v>215</c:v>
                </c:pt>
                <c:pt idx="7">
                  <c:v>0</c:v>
                </c:pt>
                <c:pt idx="8">
                  <c:v>315495</c:v>
                </c:pt>
                <c:pt idx="9">
                  <c:v>224687</c:v>
                </c:pt>
                <c:pt idx="10">
                  <c:v>106629</c:v>
                </c:pt>
                <c:pt idx="11">
                  <c:v>519918</c:v>
                </c:pt>
                <c:pt idx="12">
                  <c:v>758364</c:v>
                </c:pt>
                <c:pt idx="13">
                  <c:v>169030</c:v>
                </c:pt>
                <c:pt idx="14">
                  <c:v>532630</c:v>
                </c:pt>
                <c:pt idx="15">
                  <c:v>146490</c:v>
                </c:pt>
                <c:pt idx="16">
                  <c:v>2724</c:v>
                </c:pt>
                <c:pt idx="17">
                  <c:v>76045</c:v>
                </c:pt>
                <c:pt idx="18">
                  <c:v>100504</c:v>
                </c:pt>
                <c:pt idx="19">
                  <c:v>159554</c:v>
                </c:pt>
                <c:pt idx="20">
                  <c:v>144608</c:v>
                </c:pt>
                <c:pt idx="21">
                  <c:v>22746</c:v>
                </c:pt>
                <c:pt idx="22">
                  <c:v>72216</c:v>
                </c:pt>
                <c:pt idx="23">
                  <c:v>1927645.817</c:v>
                </c:pt>
              </c:numCache>
            </c:numRef>
          </c:val>
          <c:extLs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1388297024"/>
        <c:axId val="1388292128"/>
      </c:barChart>
      <c:catAx>
        <c:axId val="138829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388292128"/>
        <c:crosses val="autoZero"/>
        <c:auto val="1"/>
        <c:lblAlgn val="ctr"/>
        <c:lblOffset val="100"/>
        <c:tickMarkSkip val="1"/>
        <c:noMultiLvlLbl val="0"/>
      </c:catAx>
      <c:valAx>
        <c:axId val="13882921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3882970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данных'!$A$69:$A$72</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данных'!$B$69:$B$72</c:f>
              <c:numCache>
                <c:formatCode>#,##0</c:formatCode>
                <c:ptCount val="4"/>
                <c:pt idx="0">
                  <c:v>0</c:v>
                </c:pt>
                <c:pt idx="1">
                  <c:v>0</c:v>
                </c:pt>
                <c:pt idx="2">
                  <c:v>0</c:v>
                </c:pt>
                <c:pt idx="3">
                  <c:v>0</c:v>
                </c:pt>
              </c:numCache>
            </c:numRef>
          </c:val>
          <c:extLs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данных'!$A$69:$A$72</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данных'!$C$69:$C$72</c:f>
              <c:numCache>
                <c:formatCode>#,##0</c:formatCode>
                <c:ptCount val="4"/>
                <c:pt idx="0">
                  <c:v>18761018</c:v>
                </c:pt>
                <c:pt idx="1">
                  <c:v>3823162</c:v>
                </c:pt>
                <c:pt idx="2">
                  <c:v>1971063</c:v>
                </c:pt>
                <c:pt idx="3">
                  <c:v>1894611</c:v>
                </c:pt>
              </c:numCache>
            </c:numRef>
          </c:val>
          <c:extLs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1388286688"/>
        <c:axId val="1388282880"/>
      </c:barChart>
      <c:catAx>
        <c:axId val="1388286688"/>
        <c:scaling>
          <c:orientation val="minMax"/>
        </c:scaling>
        <c:delete val="0"/>
        <c:axPos val="b"/>
        <c:numFmt formatCode="General" sourceLinked="1"/>
        <c:majorTickMark val="none"/>
        <c:minorTickMark val="none"/>
        <c:tickLblPos val="nextTo"/>
        <c:crossAx val="1388282880"/>
        <c:crosses val="autoZero"/>
        <c:auto val="1"/>
        <c:lblAlgn val="ctr"/>
        <c:lblOffset val="100"/>
        <c:noMultiLvlLbl val="0"/>
      </c:catAx>
      <c:valAx>
        <c:axId val="1388282880"/>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388286688"/>
        <c:crosses val="autoZero"/>
        <c:crossBetween val="between"/>
      </c:valAx>
      <c:dTable>
        <c:showHorzBorder val="1"/>
        <c:showVertBorder val="1"/>
        <c:showOutline val="1"/>
        <c:showKeys val="1"/>
        <c:txPr>
          <a:bodyPr/>
          <a:lstStyle/>
          <a:p>
            <a:pPr rtl="0">
              <a:defRPr sz="500" baseline="0"/>
            </a:pPr>
            <a:endParaRPr lang="en-US"/>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'Ввод данных'!$A$110:$A$114</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данных'!$C$110:$C$114</c:f>
              <c:numCache>
                <c:formatCode>0</c:formatCode>
                <c:ptCount val="5"/>
                <c:pt idx="0" formatCode="General">
                  <c:v>0</c:v>
                </c:pt>
                <c:pt idx="1">
                  <c:v>0</c:v>
                </c:pt>
                <c:pt idx="2">
                  <c:v>32</c:v>
                </c:pt>
                <c:pt idx="4">
                  <c:v>5</c:v>
                </c:pt>
              </c:numCache>
            </c:numRef>
          </c:val>
          <c:extLs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'Ввод данных'!$A$110:$A$114</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данных'!$D$110:$D$114</c:f>
              <c:numCache>
                <c:formatCode>0</c:formatCode>
                <c:ptCount val="5"/>
                <c:pt idx="0" formatCode="General">
                  <c:v>0</c:v>
                </c:pt>
                <c:pt idx="1">
                  <c:v>0</c:v>
                </c:pt>
                <c:pt idx="2">
                  <c:v>0</c:v>
                </c:pt>
                <c:pt idx="3">
                  <c:v>0</c:v>
                </c:pt>
                <c:pt idx="4">
                  <c:v>0</c:v>
                </c:pt>
              </c:numCache>
            </c:numRef>
          </c:val>
          <c:extLs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1388293216"/>
        <c:axId val="1388288320"/>
      </c:barChart>
      <c:catAx>
        <c:axId val="138829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8288320"/>
        <c:crosses val="autoZero"/>
        <c:auto val="1"/>
        <c:lblAlgn val="ctr"/>
        <c:lblOffset val="100"/>
        <c:noMultiLvlLbl val="0"/>
      </c:catAx>
      <c:valAx>
        <c:axId val="13882883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8293216"/>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1" l="0.75000000000000033" r="0.750000000000000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0-9E67-4D7D-BE0E-C99C3E701244}"/>
            </c:ext>
          </c:extLst>
        </c:ser>
        <c:ser>
          <c:idx val="1"/>
          <c:order val="1"/>
          <c:tx>
            <c:strRef>
              <c:f>'Ввод данных'!$C$88</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данных'!$C$89:$C$92</c:f>
              <c:numCache>
                <c:formatCode>0</c:formatCode>
                <c:ptCount val="4"/>
                <c:pt idx="0">
                  <c:v>0</c:v>
                </c:pt>
                <c:pt idx="1">
                  <c:v>0</c:v>
                </c:pt>
                <c:pt idx="2">
                  <c:v>0</c:v>
                </c:pt>
                <c:pt idx="3">
                  <c:v>0</c:v>
                </c:pt>
              </c:numCache>
            </c:numRef>
          </c:val>
          <c:extLst>
            <c:ext xmlns:c16="http://schemas.microsoft.com/office/drawing/2014/chart" uri="{C3380CC4-5D6E-409C-BE32-E72D297353CC}">
              <c16:uniqueId val="{00000001-9E67-4D7D-BE0E-C99C3E701244}"/>
            </c:ext>
          </c:extLst>
        </c:ser>
        <c:ser>
          <c:idx val="2"/>
          <c:order val="2"/>
          <c:tx>
            <c:strRef>
              <c:f>'Ввод данных'!$D$88</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данных'!$D$89:$D$92</c:f>
              <c:numCache>
                <c:formatCode>0</c:formatCode>
                <c:ptCount val="4"/>
                <c:pt idx="0">
                  <c:v>0</c:v>
                </c:pt>
                <c:pt idx="1">
                  <c:v>0</c:v>
                </c:pt>
                <c:pt idx="2">
                  <c:v>0</c:v>
                </c:pt>
                <c:pt idx="3">
                  <c:v>0</c:v>
                </c:pt>
              </c:numCache>
            </c:numRef>
          </c:val>
          <c:extLst>
            <c:ext xmlns:c16="http://schemas.microsoft.com/office/drawing/2014/chart" uri="{C3380CC4-5D6E-409C-BE32-E72D297353CC}">
              <c16:uniqueId val="{00000002-9E67-4D7D-BE0E-C99C3E701244}"/>
            </c:ext>
          </c:extLst>
        </c:ser>
        <c:ser>
          <c:idx val="3"/>
          <c:order val="3"/>
          <c:tx>
            <c:v>Невыполненные и просроченные</c:v>
          </c:tx>
          <c:spPr>
            <a:solidFill>
              <a:schemeClr val="accent1">
                <a:lumMod val="60000"/>
              </a:schemeClr>
            </a:solidFill>
            <a:ln>
              <a:noFill/>
            </a:ln>
            <a:effectLst/>
          </c:spPr>
          <c:invertIfNegative val="0"/>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3-9E67-4D7D-BE0E-C99C3E701244}"/>
            </c:ext>
          </c:extLst>
        </c:ser>
        <c:dLbls>
          <c:showLegendKey val="0"/>
          <c:showVal val="0"/>
          <c:showCatName val="0"/>
          <c:showSerName val="0"/>
          <c:showPercent val="0"/>
          <c:showBubbleSize val="0"/>
        </c:dLbls>
        <c:gapWidth val="55"/>
        <c:overlap val="100"/>
        <c:axId val="1511067088"/>
        <c:axId val="1511068720"/>
      </c:barChart>
      <c:catAx>
        <c:axId val="1511067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8720"/>
        <c:crosses val="autoZero"/>
        <c:auto val="1"/>
        <c:lblAlgn val="ctr"/>
        <c:lblOffset val="100"/>
        <c:tickLblSkip val="1"/>
        <c:tickMarkSkip val="1"/>
        <c:noMultiLvlLbl val="0"/>
      </c:catAx>
      <c:valAx>
        <c:axId val="151106872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11067088"/>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alignWithMargins="0"/>
    <c:pageMargins b="1" l="0.75000000000000033" r="0.750000000000000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данных'!$A$98</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данных'!$B$104:$F$104</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данных'!$B$105:$F$105</c:f>
              <c:numCache>
                <c:formatCode>General</c:formatCode>
                <c:ptCount val="5"/>
                <c:pt idx="0">
                  <c:v>21</c:v>
                </c:pt>
                <c:pt idx="1">
                  <c:v>21</c:v>
                </c:pt>
                <c:pt idx="2">
                  <c:v>21</c:v>
                </c:pt>
                <c:pt idx="3">
                  <c:v>21</c:v>
                </c:pt>
                <c:pt idx="4">
                  <c:v>21</c:v>
                </c:pt>
              </c:numCache>
            </c:numRef>
          </c:val>
          <c:extLst>
            <c:ext xmlns:c16="http://schemas.microsoft.com/office/drawing/2014/chart" uri="{C3380CC4-5D6E-409C-BE32-E72D297353CC}">
              <c16:uniqueId val="{00000000-3C2F-4B91-B11C-0BA014ED291D}"/>
            </c:ext>
          </c:extLst>
        </c:ser>
        <c:ser>
          <c:idx val="1"/>
          <c:order val="1"/>
          <c:tx>
            <c:strRef>
              <c:f>'Ввод данных'!$A$100</c:f>
              <c:strCache>
                <c:ptCount val="1"/>
                <c:pt idx="0">
                  <c:v>Общее (оба компонента)</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данных'!$B$104:$F$104</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данных'!$B$106:$F$106</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1-3C2F-4B91-B11C-0BA014ED291D}"/>
            </c:ext>
          </c:extLst>
        </c:ser>
        <c:dLbls>
          <c:showLegendKey val="0"/>
          <c:showVal val="1"/>
          <c:showCatName val="0"/>
          <c:showSerName val="0"/>
          <c:showPercent val="0"/>
          <c:showBubbleSize val="0"/>
        </c:dLbls>
        <c:gapWidth val="150"/>
        <c:overlap val="-25"/>
        <c:axId val="1511067632"/>
        <c:axId val="1511058928"/>
      </c:barChart>
      <c:catAx>
        <c:axId val="15110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58928"/>
        <c:crosses val="autoZero"/>
        <c:auto val="1"/>
        <c:lblAlgn val="ctr"/>
        <c:lblOffset val="100"/>
        <c:noMultiLvlLbl val="0"/>
      </c:catAx>
      <c:valAx>
        <c:axId val="1511058928"/>
        <c:scaling>
          <c:orientation val="minMax"/>
        </c:scaling>
        <c:delete val="1"/>
        <c:axPos val="l"/>
        <c:numFmt formatCode="General" sourceLinked="1"/>
        <c:majorTickMark val="none"/>
        <c:minorTickMark val="none"/>
        <c:tickLblPos val="nextTo"/>
        <c:crossAx val="151106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данных'!$A$122</c:f>
              <c:strCache>
                <c:ptCount val="1"/>
                <c:pt idx="0">
                  <c:v>Совокупный утвердженный бюджет*</c:v>
                </c:pt>
              </c:strCache>
            </c:strRef>
          </c:tx>
          <c:spPr>
            <a:solidFill>
              <a:schemeClr val="accent1"/>
            </a:solidFill>
            <a:ln>
              <a:noFill/>
            </a:ln>
            <a:effectLst/>
          </c:spPr>
          <c:invertIfNegative val="0"/>
          <c:cat>
            <c:strRef>
              <c:f>'Ввод данных'!$B$118:$F$118</c:f>
              <c:strCache>
                <c:ptCount val="5"/>
                <c:pt idx="0">
                  <c:v>P1</c:v>
                </c:pt>
                <c:pt idx="1">
                  <c:v>P2</c:v>
                </c:pt>
                <c:pt idx="2">
                  <c:v>P3</c:v>
                </c:pt>
                <c:pt idx="3">
                  <c:v>P4</c:v>
                </c:pt>
                <c:pt idx="4">
                  <c:v>P5</c:v>
                </c:pt>
              </c:strCache>
            </c:strRef>
          </c:cat>
          <c:val>
            <c:numRef>
              <c:f>'Ввод данных'!$B$122:$F$122</c:f>
              <c:numCache>
                <c:formatCode>#,##0</c:formatCode>
                <c:ptCount val="5"/>
                <c:pt idx="0">
                  <c:v>5182783</c:v>
                </c:pt>
              </c:numCache>
            </c:numRef>
          </c:val>
          <c:extLst>
            <c:ext xmlns:c16="http://schemas.microsoft.com/office/drawing/2014/chart" uri="{C3380CC4-5D6E-409C-BE32-E72D297353CC}">
              <c16:uniqueId val="{00000000-D5DF-4B11-9CD6-1C5401548576}"/>
            </c:ext>
          </c:extLst>
        </c:ser>
        <c:ser>
          <c:idx val="1"/>
          <c:order val="1"/>
          <c:tx>
            <c:strRef>
              <c:f>'Ввод данных'!$A$123</c:f>
              <c:strCache>
                <c:ptCount val="1"/>
                <c:pt idx="0">
                  <c:v>Общий объем финансовых обязательств</c:v>
                </c:pt>
              </c:strCache>
            </c:strRef>
          </c:tx>
          <c:spPr>
            <a:solidFill>
              <a:schemeClr val="accent2"/>
            </a:solidFill>
            <a:ln>
              <a:noFill/>
            </a:ln>
            <a:effectLst/>
          </c:spPr>
          <c:invertIfNegative val="0"/>
          <c:cat>
            <c:strRef>
              <c:f>'Ввод данных'!$B$118:$F$118</c:f>
              <c:strCache>
                <c:ptCount val="5"/>
                <c:pt idx="0">
                  <c:v>P1</c:v>
                </c:pt>
                <c:pt idx="1">
                  <c:v>P2</c:v>
                </c:pt>
                <c:pt idx="2">
                  <c:v>P3</c:v>
                </c:pt>
                <c:pt idx="3">
                  <c:v>P4</c:v>
                </c:pt>
                <c:pt idx="4">
                  <c:v>P5</c:v>
                </c:pt>
              </c:strCache>
            </c:strRef>
          </c:cat>
          <c:val>
            <c:numRef>
              <c:f>'Ввод данных'!$B$123:$F$123</c:f>
              <c:numCache>
                <c:formatCode>#,##0</c:formatCode>
                <c:ptCount val="5"/>
                <c:pt idx="0">
                  <c:v>2445797</c:v>
                </c:pt>
              </c:numCache>
            </c:numRef>
          </c:val>
          <c:extLst>
            <c:ext xmlns:c16="http://schemas.microsoft.com/office/drawing/2014/chart" uri="{C3380CC4-5D6E-409C-BE32-E72D297353CC}">
              <c16:uniqueId val="{00000001-D5DF-4B11-9CD6-1C5401548576}"/>
            </c:ext>
          </c:extLst>
        </c:ser>
        <c:ser>
          <c:idx val="2"/>
          <c:order val="2"/>
          <c:tx>
            <c:strRef>
              <c:f>'Ввод данных'!$A$124</c:f>
              <c:strCache>
                <c:ptCount val="1"/>
                <c:pt idx="0">
                  <c:v>Общий объем расходов</c:v>
                </c:pt>
              </c:strCache>
            </c:strRef>
          </c:tx>
          <c:spPr>
            <a:solidFill>
              <a:schemeClr val="accent3"/>
            </a:solidFill>
            <a:ln>
              <a:noFill/>
            </a:ln>
            <a:effectLst/>
          </c:spPr>
          <c:invertIfNegative val="0"/>
          <c:cat>
            <c:strRef>
              <c:f>'Ввод данных'!$B$118:$F$118</c:f>
              <c:strCache>
                <c:ptCount val="5"/>
                <c:pt idx="0">
                  <c:v>P1</c:v>
                </c:pt>
                <c:pt idx="1">
                  <c:v>P2</c:v>
                </c:pt>
                <c:pt idx="2">
                  <c:v>P3</c:v>
                </c:pt>
                <c:pt idx="3">
                  <c:v>P4</c:v>
                </c:pt>
                <c:pt idx="4">
                  <c:v>P5</c:v>
                </c:pt>
              </c:strCache>
            </c:strRef>
          </c:cat>
          <c:val>
            <c:numRef>
              <c:f>'Ввод данных'!$B$124:$F$124</c:f>
              <c:numCache>
                <c:formatCode>#,##0</c:formatCode>
                <c:ptCount val="5"/>
                <c:pt idx="0">
                  <c:v>1718390</c:v>
                </c:pt>
              </c:numCache>
            </c:numRef>
          </c:val>
          <c:extLst>
            <c:ext xmlns:c16="http://schemas.microsoft.com/office/drawing/2014/chart" uri="{C3380CC4-5D6E-409C-BE32-E72D297353CC}">
              <c16:uniqueId val="{00000002-D5DF-4B11-9CD6-1C5401548576}"/>
            </c:ext>
          </c:extLst>
        </c:ser>
        <c:dLbls>
          <c:showLegendKey val="0"/>
          <c:showVal val="0"/>
          <c:showCatName val="0"/>
          <c:showSerName val="0"/>
          <c:showPercent val="0"/>
          <c:showBubbleSize val="0"/>
        </c:dLbls>
        <c:gapWidth val="219"/>
        <c:overlap val="-27"/>
        <c:axId val="390931016"/>
        <c:axId val="390927408"/>
      </c:barChart>
      <c:catAx>
        <c:axId val="3909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927408"/>
        <c:crosses val="autoZero"/>
        <c:auto val="1"/>
        <c:lblAlgn val="ctr"/>
        <c:lblOffset val="100"/>
        <c:noMultiLvlLbl val="0"/>
      </c:catAx>
      <c:valAx>
        <c:axId val="390927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0931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'Ввод данных'!$A$98</c:f>
              <c:strCache>
                <c:ptCount val="1"/>
                <c:pt idx="0">
                  <c:v>ВИЧ/СПИД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данных'!$B$97:$D$97</c:f>
              <c:strCache>
                <c:ptCount val="3"/>
                <c:pt idx="0">
                  <c:v>Запланировано</c:v>
                </c:pt>
                <c:pt idx="1">
                  <c:v>Заполнено</c:v>
                </c:pt>
                <c:pt idx="2">
                  <c:v>Вакантно</c:v>
                </c:pt>
              </c:strCache>
            </c:strRef>
          </c:cat>
          <c:val>
            <c:numRef>
              <c:f>'Ввод данных'!$B$98:$D$98</c:f>
              <c:numCache>
                <c:formatCode>0</c:formatCode>
                <c:ptCount val="3"/>
                <c:pt idx="0">
                  <c:v>5</c:v>
                </c:pt>
                <c:pt idx="1">
                  <c:v>4</c:v>
                </c:pt>
                <c:pt idx="2">
                  <c:v>1</c:v>
                </c:pt>
              </c:numCache>
            </c:numRef>
          </c:val>
          <c:extLst>
            <c:ext xmlns:c16="http://schemas.microsoft.com/office/drawing/2014/chart" uri="{C3380CC4-5D6E-409C-BE32-E72D297353CC}">
              <c16:uniqueId val="{00000000-A73B-4FB5-940A-8CCE9EAD75A2}"/>
            </c:ext>
          </c:extLst>
        </c:ser>
        <c:ser>
          <c:idx val="0"/>
          <c:order val="1"/>
          <c:tx>
            <c:strRef>
              <c:f>'Ввод данных'!$A$99</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данных'!$B$97:$D$97</c:f>
              <c:strCache>
                <c:ptCount val="3"/>
                <c:pt idx="0">
                  <c:v>Запланировано</c:v>
                </c:pt>
                <c:pt idx="1">
                  <c:v>Заполнено</c:v>
                </c:pt>
                <c:pt idx="2">
                  <c:v>Вакантно</c:v>
                </c:pt>
              </c:strCache>
            </c:strRef>
          </c:cat>
          <c:val>
            <c:numRef>
              <c:f>'Ввод данных'!$B$99:$D$99</c:f>
              <c:numCache>
                <c:formatCode>0</c:formatCode>
                <c:ptCount val="3"/>
                <c:pt idx="0" formatCode="General">
                  <c:v>2</c:v>
                </c:pt>
                <c:pt idx="1">
                  <c:v>2</c:v>
                </c:pt>
                <c:pt idx="2">
                  <c:v>0</c:v>
                </c:pt>
              </c:numCache>
            </c:numRef>
          </c:val>
          <c:extLst>
            <c:ext xmlns:c16="http://schemas.microsoft.com/office/drawing/2014/chart" uri="{C3380CC4-5D6E-409C-BE32-E72D297353CC}">
              <c16:uniqueId val="{00000001-A73B-4FB5-940A-8CCE9EAD75A2}"/>
            </c:ext>
          </c:extLst>
        </c:ser>
        <c:ser>
          <c:idx val="2"/>
          <c:order val="2"/>
          <c:tx>
            <c:strRef>
              <c:f>'Ввод данных'!$A$100</c:f>
              <c:strCache>
                <c:ptCount val="1"/>
                <c:pt idx="0">
                  <c:v>Общее (оба компонента)</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данных'!$B$97:$D$97</c:f>
              <c:strCache>
                <c:ptCount val="3"/>
                <c:pt idx="0">
                  <c:v>Запланировано</c:v>
                </c:pt>
                <c:pt idx="1">
                  <c:v>Заполнено</c:v>
                </c:pt>
                <c:pt idx="2">
                  <c:v>Вакантно</c:v>
                </c:pt>
              </c:strCache>
            </c:strRef>
          </c:cat>
          <c:val>
            <c:numRef>
              <c:f>'Ввод данных'!$B$100:$D$100</c:f>
              <c:numCache>
                <c:formatCode>0</c:formatCode>
                <c:ptCount val="3"/>
                <c:pt idx="0" formatCode="General">
                  <c:v>17</c:v>
                </c:pt>
                <c:pt idx="1">
                  <c:v>17</c:v>
                </c:pt>
                <c:pt idx="2">
                  <c:v>0</c:v>
                </c:pt>
              </c:numCache>
            </c:numRef>
          </c:val>
          <c:extLst>
            <c:ext xmlns:c16="http://schemas.microsoft.com/office/drawing/2014/chart" uri="{C3380CC4-5D6E-409C-BE32-E72D297353CC}">
              <c16:uniqueId val="{00000002-A73B-4FB5-940A-8CCE9EAD75A2}"/>
            </c:ext>
          </c:extLst>
        </c:ser>
        <c:dLbls>
          <c:showLegendKey val="0"/>
          <c:showVal val="1"/>
          <c:showCatName val="0"/>
          <c:showSerName val="0"/>
          <c:showPercent val="0"/>
          <c:showBubbleSize val="0"/>
        </c:dLbls>
        <c:gapWidth val="150"/>
        <c:overlap val="-25"/>
        <c:axId val="1511063280"/>
        <c:axId val="1511061648"/>
      </c:barChart>
      <c:catAx>
        <c:axId val="151106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1648"/>
        <c:crosses val="autoZero"/>
        <c:auto val="1"/>
        <c:lblAlgn val="ctr"/>
        <c:lblOffset val="100"/>
        <c:noMultiLvlLbl val="0"/>
      </c:catAx>
      <c:valAx>
        <c:axId val="1511061648"/>
        <c:scaling>
          <c:orientation val="minMax"/>
        </c:scaling>
        <c:delete val="1"/>
        <c:axPos val="l"/>
        <c:numFmt formatCode="0" sourceLinked="1"/>
        <c:majorTickMark val="none"/>
        <c:minorTickMark val="none"/>
        <c:tickLblPos val="nextTo"/>
        <c:crossAx val="15110632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KP-1d⁽ᴹ⁾ </a:t>
            </a:r>
            <a:r>
              <a:rPr lang="az-Cyrl-AZ" sz="1000"/>
              <a:t>Процент ЛУИН, охваченных программами по профилактике ВИЧ - минимальный пакет услуг			</a:t>
            </a:r>
          </a:p>
        </c:rich>
      </c:tx>
      <c:overlay val="1"/>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'Ввод данных'!$D$174</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данных'!$E$173:$I$173</c:f>
              <c:strCache>
                <c:ptCount val="5"/>
                <c:pt idx="0">
                  <c:v>P1</c:v>
                </c:pt>
                <c:pt idx="1">
                  <c:v>P2</c:v>
                </c:pt>
                <c:pt idx="2">
                  <c:v>P3</c:v>
                </c:pt>
                <c:pt idx="3">
                  <c:v>P4</c:v>
                </c:pt>
                <c:pt idx="4">
                  <c:v>P5</c:v>
                </c:pt>
              </c:strCache>
            </c:strRef>
          </c:cat>
          <c:val>
            <c:numRef>
              <c:f>'Ввод данных'!$E$174:$I$174</c:f>
              <c:numCache>
                <c:formatCode>#,##0</c:formatCode>
                <c:ptCount val="5"/>
                <c:pt idx="0" formatCode="0%">
                  <c:v>0.7</c:v>
                </c:pt>
              </c:numCache>
            </c:numRef>
          </c:val>
          <c:extLst>
            <c:ext xmlns:c16="http://schemas.microsoft.com/office/drawing/2014/chart" uri="{C3380CC4-5D6E-409C-BE32-E72D297353CC}">
              <c16:uniqueId val="{00000000-F4FA-4784-8E5F-61D375F426FC}"/>
            </c:ext>
          </c:extLst>
        </c:ser>
        <c:ser>
          <c:idx val="1"/>
          <c:order val="1"/>
          <c:tx>
            <c:strRef>
              <c:f>'Ввод данных'!$D$175</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данных'!$E$173:$I$173</c:f>
              <c:strCache>
                <c:ptCount val="5"/>
                <c:pt idx="0">
                  <c:v>P1</c:v>
                </c:pt>
                <c:pt idx="1">
                  <c:v>P2</c:v>
                </c:pt>
                <c:pt idx="2">
                  <c:v>P3</c:v>
                </c:pt>
                <c:pt idx="3">
                  <c:v>P4</c:v>
                </c:pt>
                <c:pt idx="4">
                  <c:v>P5</c:v>
                </c:pt>
              </c:strCache>
            </c:strRef>
          </c:cat>
          <c:val>
            <c:numRef>
              <c:f>'Ввод данных'!$E$175:$I$175</c:f>
              <c:numCache>
                <c:formatCode>#,##0</c:formatCode>
                <c:ptCount val="5"/>
                <c:pt idx="0" formatCode="0%">
                  <c:v>0.68</c:v>
                </c:pt>
              </c:numCache>
            </c:numRef>
          </c:val>
          <c:extLst>
            <c:ext xmlns:c16="http://schemas.microsoft.com/office/drawing/2014/chart" uri="{C3380CC4-5D6E-409C-BE32-E72D297353CC}">
              <c16:uniqueId val="{00000000-5E2C-4D8B-9303-E6825A744889}"/>
            </c:ext>
          </c:extLst>
        </c:ser>
        <c:dLbls>
          <c:showLegendKey val="0"/>
          <c:showVal val="1"/>
          <c:showCatName val="0"/>
          <c:showSerName val="0"/>
          <c:showPercent val="0"/>
          <c:showBubbleSize val="0"/>
        </c:dLbls>
        <c:gapWidth val="150"/>
        <c:overlap val="-25"/>
        <c:axId val="1511059472"/>
        <c:axId val="1511063824"/>
      </c:barChart>
      <c:catAx>
        <c:axId val="151105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063824"/>
        <c:crosses val="autoZero"/>
        <c:auto val="1"/>
        <c:lblAlgn val="ctr"/>
        <c:lblOffset val="100"/>
        <c:noMultiLvlLbl val="0"/>
      </c:catAx>
      <c:valAx>
        <c:axId val="1511063824"/>
        <c:scaling>
          <c:orientation val="minMax"/>
        </c:scaling>
        <c:delete val="1"/>
        <c:axPos val="l"/>
        <c:numFmt formatCode="0%" sourceLinked="1"/>
        <c:majorTickMark val="none"/>
        <c:minorTickMark val="none"/>
        <c:tickLblPos val="nextTo"/>
        <c:crossAx val="1511059472"/>
        <c:crosses val="autoZero"/>
        <c:crossBetween val="between"/>
      </c:valAx>
      <c:spPr>
        <a:noFill/>
        <a:ln>
          <a:noFill/>
        </a:ln>
        <a:effectLst/>
      </c:spPr>
    </c:plotArea>
    <c:legend>
      <c:legendPos val="t"/>
      <c:layout>
        <c:manualLayout>
          <c:xMode val="edge"/>
          <c:yMode val="edge"/>
          <c:x val="0.16948667135520623"/>
          <c:y val="0.14742951907131011"/>
          <c:w val="0.51638426283155525"/>
          <c:h val="8.88531969928702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1052;&#1077;&#1085;&#1102;!A1"/><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hyperlink" Target="#&#1052;&#1077;&#1085;&#1102;!A1"/><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1" Type="http://schemas.openxmlformats.org/officeDocument/2006/relationships/hyperlink" Target="#&#1052;&#1077;&#1085;&#1102;!A1"/></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a:extLst>
            <a:ext uri="{FF2B5EF4-FFF2-40B4-BE49-F238E27FC236}">
              <a16:creationId xmlns:a16="http://schemas.microsoft.com/office/drawing/2014/main" id="{00000000-0008-0000-0000-000096F93B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a:extLst>
            <a:ext uri="{FF2B5EF4-FFF2-40B4-BE49-F238E27FC236}">
              <a16:creationId xmlns:a16="http://schemas.microsoft.com/office/drawing/2014/main" id="{00000000-0008-0000-0000-000097F93B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a:extLst>
            <a:ext uri="{FF2B5EF4-FFF2-40B4-BE49-F238E27FC236}">
              <a16:creationId xmlns:a16="http://schemas.microsoft.com/office/drawing/2014/main" id="{00000000-0008-0000-0000-000098F93B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a:extLst>
            <a:ext uri="{FF2B5EF4-FFF2-40B4-BE49-F238E27FC236}">
              <a16:creationId xmlns:a16="http://schemas.microsoft.com/office/drawing/2014/main" id="{00000000-0008-0000-0000-000099F93B00}"/>
            </a:ext>
          </a:extLst>
        </xdr:cNvPr>
        <xdr:cNvGrpSpPr>
          <a:grpSpLocks/>
        </xdr:cNvGrpSpPr>
      </xdr:nvGrpSpPr>
      <xdr:grpSpPr bwMode="auto">
        <a:xfrm>
          <a:off x="3257550" y="2390775"/>
          <a:ext cx="1285875" cy="409575"/>
          <a:chOff x="1200" y="1912"/>
          <a:chExt cx="3456" cy="774"/>
        </a:xfrm>
      </xdr:grpSpPr>
      <xdr:sp macro="" textlink="">
        <xdr:nvSpPr>
          <xdr:cNvPr id="3930565" name="AutoShape 26">
            <a:extLst>
              <a:ext uri="{FF2B5EF4-FFF2-40B4-BE49-F238E27FC236}">
                <a16:creationId xmlns:a16="http://schemas.microsoft.com/office/drawing/2014/main" id="{00000000-0008-0000-0000-0000C5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a:extLst>
            <a:ext uri="{FF2B5EF4-FFF2-40B4-BE49-F238E27FC236}">
              <a16:creationId xmlns:a16="http://schemas.microsoft.com/office/drawing/2014/main" id="{00000000-0008-0000-0000-00009AF93B00}"/>
            </a:ext>
          </a:extLst>
        </xdr:cNvPr>
        <xdr:cNvGrpSpPr>
          <a:grpSpLocks/>
        </xdr:cNvGrpSpPr>
      </xdr:nvGrpSpPr>
      <xdr:grpSpPr bwMode="auto">
        <a:xfrm>
          <a:off x="3257550" y="3457575"/>
          <a:ext cx="1314450" cy="371475"/>
          <a:chOff x="1200" y="1912"/>
          <a:chExt cx="3456" cy="774"/>
        </a:xfrm>
      </xdr:grpSpPr>
      <xdr:sp macro="" textlink="">
        <xdr:nvSpPr>
          <xdr:cNvPr id="3930562" name="AutoShape 26">
            <a:extLst>
              <a:ext uri="{FF2B5EF4-FFF2-40B4-BE49-F238E27FC236}">
                <a16:creationId xmlns:a16="http://schemas.microsoft.com/office/drawing/2014/main" id="{00000000-0008-0000-0000-0000C2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a:extLst>
              <a:ext uri="{FF2B5EF4-FFF2-40B4-BE49-F238E27FC236}">
                <a16:creationId xmlns:a16="http://schemas.microsoft.com/office/drawing/2014/main" id="{00000000-0008-0000-0000-00001A000000}"/>
              </a:ext>
            </a:extLst>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a:extLst>
            <a:ext uri="{FF2B5EF4-FFF2-40B4-BE49-F238E27FC236}">
              <a16:creationId xmlns:a16="http://schemas.microsoft.com/office/drawing/2014/main" id="{00000000-0008-0000-0000-00009BF93B00}"/>
            </a:ext>
          </a:extLst>
        </xdr:cNvPr>
        <xdr:cNvGrpSpPr>
          <a:grpSpLocks/>
        </xdr:cNvGrpSpPr>
      </xdr:nvGrpSpPr>
      <xdr:grpSpPr bwMode="auto">
        <a:xfrm>
          <a:off x="3248025" y="2924175"/>
          <a:ext cx="1314450" cy="390525"/>
          <a:chOff x="1200" y="1912"/>
          <a:chExt cx="3456" cy="774"/>
        </a:xfrm>
      </xdr:grpSpPr>
      <xdr:sp macro="" textlink="">
        <xdr:nvSpPr>
          <xdr:cNvPr id="3930559" name="AutoShape 26">
            <a:extLst>
              <a:ext uri="{FF2B5EF4-FFF2-40B4-BE49-F238E27FC236}">
                <a16:creationId xmlns:a16="http://schemas.microsoft.com/office/drawing/2014/main" id="{00000000-0008-0000-0000-0000BF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a:extLst>
              <a:ext uri="{FF2B5EF4-FFF2-40B4-BE49-F238E27FC236}">
                <a16:creationId xmlns:a16="http://schemas.microsoft.com/office/drawing/2014/main" id="{00000000-0008-0000-0000-0000452C0300}"/>
              </a:ext>
            </a:extLst>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a:extLst>
            <a:ext uri="{FF2B5EF4-FFF2-40B4-BE49-F238E27FC236}">
              <a16:creationId xmlns:a16="http://schemas.microsoft.com/office/drawing/2014/main" id="{00000000-0008-0000-0000-00004E753000}"/>
            </a:ext>
          </a:extLst>
        </xdr:cNvPr>
        <xdr:cNvSpPr>
          <a:spLocks noChangeArrowheads="1"/>
        </xdr:cNvSpPr>
      </xdr:nvSpPr>
      <xdr:spPr bwMode="auto">
        <a:xfrm>
          <a:off x="2247900" y="1428750"/>
          <a:ext cx="3362325" cy="238125"/>
        </a:xfrm>
        <a:prstGeom prst="rect">
          <a:avLst/>
        </a:prstGeom>
        <a:noFill/>
        <a:ln>
          <a:noFill/>
        </a:ln>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a:extLst>
            <a:ext uri="{FF2B5EF4-FFF2-40B4-BE49-F238E27FC236}">
              <a16:creationId xmlns:a16="http://schemas.microsoft.com/office/drawing/2014/main" id="{00000000-0008-0000-0000-00009DF93B00}"/>
            </a:ext>
          </a:extLst>
        </xdr:cNvPr>
        <xdr:cNvGrpSpPr>
          <a:grpSpLocks/>
        </xdr:cNvGrpSpPr>
      </xdr:nvGrpSpPr>
      <xdr:grpSpPr bwMode="auto">
        <a:xfrm>
          <a:off x="5705475" y="2571750"/>
          <a:ext cx="1504950" cy="409575"/>
          <a:chOff x="599" y="262"/>
          <a:chExt cx="158" cy="43"/>
        </a:xfrm>
      </xdr:grpSpPr>
      <xdr:sp macro="" textlink="">
        <xdr:nvSpPr>
          <xdr:cNvPr id="3930555" name="AutoShape 30">
            <a:extLst>
              <a:ext uri="{FF2B5EF4-FFF2-40B4-BE49-F238E27FC236}">
                <a16:creationId xmlns:a16="http://schemas.microsoft.com/office/drawing/2014/main" id="{00000000-0008-0000-0000-0000BBF93B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a:extLst>
              <a:ext uri="{FF2B5EF4-FFF2-40B4-BE49-F238E27FC236}">
                <a16:creationId xmlns:a16="http://schemas.microsoft.com/office/drawing/2014/main" id="{00000000-0008-0000-0000-0000BCF93B00}"/>
              </a:ext>
            </a:extLst>
          </xdr:cNvPr>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a:extLst>
                <a:ext uri="{FF2B5EF4-FFF2-40B4-BE49-F238E27FC236}">
                  <a16:creationId xmlns:a16="http://schemas.microsoft.com/office/drawing/2014/main" id="{00000000-0008-0000-0000-0000BEF93B00}"/>
                </a:ext>
              </a:extLst>
            </xdr:cNvPr>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a:extLst>
            <a:ext uri="{FF2B5EF4-FFF2-40B4-BE49-F238E27FC236}">
              <a16:creationId xmlns:a16="http://schemas.microsoft.com/office/drawing/2014/main" id="{00000000-0008-0000-0000-00009EF93B00}"/>
            </a:ext>
          </a:extLst>
        </xdr:cNvPr>
        <xdr:cNvGrpSpPr>
          <a:grpSpLocks/>
        </xdr:cNvGrpSpPr>
      </xdr:nvGrpSpPr>
      <xdr:grpSpPr bwMode="auto">
        <a:xfrm>
          <a:off x="323850" y="1895475"/>
          <a:ext cx="2143125" cy="2124075"/>
          <a:chOff x="32" y="188"/>
          <a:chExt cx="225" cy="225"/>
        </a:xfrm>
      </xdr:grpSpPr>
      <xdr:sp macro="" textlink="">
        <xdr:nvSpPr>
          <xdr:cNvPr id="3930553" name="AutoShape 31">
            <a:extLst>
              <a:ext uri="{FF2B5EF4-FFF2-40B4-BE49-F238E27FC236}">
                <a16:creationId xmlns:a16="http://schemas.microsoft.com/office/drawing/2014/main" id="{00000000-0008-0000-0000-0000B9F93B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a:extLst>
            <a:ext uri="{FF2B5EF4-FFF2-40B4-BE49-F238E27FC236}">
              <a16:creationId xmlns:a16="http://schemas.microsoft.com/office/drawing/2014/main" id="{00000000-0008-0000-0000-00009FF93B00}"/>
            </a:ext>
          </a:extLst>
        </xdr:cNvPr>
        <xdr:cNvGrpSpPr>
          <a:grpSpLocks/>
        </xdr:cNvGrpSpPr>
      </xdr:nvGrpSpPr>
      <xdr:grpSpPr bwMode="auto">
        <a:xfrm>
          <a:off x="5695950" y="3200400"/>
          <a:ext cx="1504950" cy="409575"/>
          <a:chOff x="578" y="328"/>
          <a:chExt cx="158" cy="43"/>
        </a:xfrm>
      </xdr:grpSpPr>
      <xdr:sp macro="" textlink="">
        <xdr:nvSpPr>
          <xdr:cNvPr id="3930549" name="AutoShape 30">
            <a:extLst>
              <a:ext uri="{FF2B5EF4-FFF2-40B4-BE49-F238E27FC236}">
                <a16:creationId xmlns:a16="http://schemas.microsoft.com/office/drawing/2014/main" id="{00000000-0008-0000-0000-0000B5F93B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a:extLst>
              <a:ext uri="{FF2B5EF4-FFF2-40B4-BE49-F238E27FC236}">
                <a16:creationId xmlns:a16="http://schemas.microsoft.com/office/drawing/2014/main" id="{00000000-0008-0000-0000-0000B6F93B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a:extLst>
                <a:ext uri="{FF2B5EF4-FFF2-40B4-BE49-F238E27FC236}">
                  <a16:creationId xmlns:a16="http://schemas.microsoft.com/office/drawing/2014/main" id="{00000000-0008-0000-0000-0000B8F93B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a:extLst>
            <a:ext uri="{FF2B5EF4-FFF2-40B4-BE49-F238E27FC236}">
              <a16:creationId xmlns:a16="http://schemas.microsoft.com/office/drawing/2014/main" id="{00000000-0008-0000-0000-0000A0F93B00}"/>
            </a:ext>
          </a:extLst>
        </xdr:cNvPr>
        <xdr:cNvGrpSpPr>
          <a:grpSpLocks/>
        </xdr:cNvGrpSpPr>
      </xdr:nvGrpSpPr>
      <xdr:grpSpPr bwMode="auto">
        <a:xfrm>
          <a:off x="590550" y="3467100"/>
          <a:ext cx="1504950" cy="342900"/>
          <a:chOff x="56" y="259"/>
          <a:chExt cx="158" cy="40"/>
        </a:xfrm>
      </xdr:grpSpPr>
      <xdr:sp macro="" textlink="">
        <xdr:nvSpPr>
          <xdr:cNvPr id="3930545" name="AutoShape 30">
            <a:extLst>
              <a:ext uri="{FF2B5EF4-FFF2-40B4-BE49-F238E27FC236}">
                <a16:creationId xmlns:a16="http://schemas.microsoft.com/office/drawing/2014/main" id="{00000000-0008-0000-0000-0000B1F93B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a:extLst>
              <a:ext uri="{FF2B5EF4-FFF2-40B4-BE49-F238E27FC236}">
                <a16:creationId xmlns:a16="http://schemas.microsoft.com/office/drawing/2014/main" id="{00000000-0008-0000-0000-0000B2F93B00}"/>
              </a:ext>
            </a:extLst>
          </xdr:cNvPr>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a:extLst>
            <a:ext uri="{FF2B5EF4-FFF2-40B4-BE49-F238E27FC236}">
              <a16:creationId xmlns:a16="http://schemas.microsoft.com/office/drawing/2014/main" id="{00000000-0008-0000-0000-0000A1F93B00}"/>
            </a:ext>
          </a:extLst>
        </xdr:cNvPr>
        <xdr:cNvGrpSpPr>
          <a:grpSpLocks/>
        </xdr:cNvGrpSpPr>
      </xdr:nvGrpSpPr>
      <xdr:grpSpPr bwMode="auto">
        <a:xfrm>
          <a:off x="590550" y="2409825"/>
          <a:ext cx="1504950" cy="371475"/>
          <a:chOff x="1343025" y="2428876"/>
          <a:chExt cx="3240982" cy="617274"/>
        </a:xfrm>
      </xdr:grpSpPr>
      <xdr:sp macro="" textlink="">
        <xdr:nvSpPr>
          <xdr:cNvPr id="3930541" name="AutoShape 30">
            <a:extLst>
              <a:ext uri="{FF2B5EF4-FFF2-40B4-BE49-F238E27FC236}">
                <a16:creationId xmlns:a16="http://schemas.microsoft.com/office/drawing/2014/main" id="{00000000-0008-0000-0000-0000AD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a:extLst>
              <a:ext uri="{FF2B5EF4-FFF2-40B4-BE49-F238E27FC236}">
                <a16:creationId xmlns:a16="http://schemas.microsoft.com/office/drawing/2014/main" id="{00000000-0008-0000-0000-0000AEF93B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a:extLst>
            <a:ext uri="{FF2B5EF4-FFF2-40B4-BE49-F238E27FC236}">
              <a16:creationId xmlns:a16="http://schemas.microsoft.com/office/drawing/2014/main" id="{00000000-0008-0000-0000-0000A2F93B00}"/>
            </a:ext>
          </a:extLst>
        </xdr:cNvPr>
        <xdr:cNvGrpSpPr>
          <a:grpSpLocks/>
        </xdr:cNvGrpSpPr>
      </xdr:nvGrpSpPr>
      <xdr:grpSpPr bwMode="auto">
        <a:xfrm>
          <a:off x="590550" y="2943225"/>
          <a:ext cx="1504950" cy="371475"/>
          <a:chOff x="1343025" y="2428876"/>
          <a:chExt cx="3240982" cy="617274"/>
        </a:xfrm>
      </xdr:grpSpPr>
      <xdr:sp macro="" textlink="">
        <xdr:nvSpPr>
          <xdr:cNvPr id="3930537" name="AutoShape 30">
            <a:extLst>
              <a:ext uri="{FF2B5EF4-FFF2-40B4-BE49-F238E27FC236}">
                <a16:creationId xmlns:a16="http://schemas.microsoft.com/office/drawing/2014/main" id="{00000000-0008-0000-0000-0000A9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a:extLst>
              <a:ext uri="{FF2B5EF4-FFF2-40B4-BE49-F238E27FC236}">
                <a16:creationId xmlns:a16="http://schemas.microsoft.com/office/drawing/2014/main" id="{00000000-0008-0000-0000-0000AAF93B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a:extLst>
            <a:ext uri="{FF2B5EF4-FFF2-40B4-BE49-F238E27FC236}">
              <a16:creationId xmlns:a16="http://schemas.microsoft.com/office/drawing/2014/main" id="{00000000-0008-0000-0000-0000A3F93B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a:extLst>
            <a:ext uri="{FF2B5EF4-FFF2-40B4-BE49-F238E27FC236}">
              <a16:creationId xmlns:a16="http://schemas.microsoft.com/office/drawing/2014/main" id="{00000000-0008-0000-0000-0000A5F93B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a:extLst>
            <a:ext uri="{FF2B5EF4-FFF2-40B4-BE49-F238E27FC236}">
              <a16:creationId xmlns:a16="http://schemas.microsoft.com/office/drawing/2014/main" id="{00000000-0008-0000-0000-0000A7F93B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a:extLst>
            <a:ext uri="{FF2B5EF4-FFF2-40B4-BE49-F238E27FC236}">
              <a16:creationId xmlns:a16="http://schemas.microsoft.com/office/drawing/2014/main" id="{00000000-0008-0000-0900-00002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63</xdr:row>
      <xdr:rowOff>144991</xdr:rowOff>
    </xdr:from>
    <xdr:to>
      <xdr:col>3</xdr:col>
      <xdr:colOff>885825</xdr:colOff>
      <xdr:row>63</xdr:row>
      <xdr:rowOff>144991</xdr:rowOff>
    </xdr:to>
    <xdr:cxnSp macro="">
      <xdr:nvCxnSpPr>
        <xdr:cNvPr id="7137" name="AutoShape 101">
          <a:extLst>
            <a:ext uri="{FF2B5EF4-FFF2-40B4-BE49-F238E27FC236}">
              <a16:creationId xmlns:a16="http://schemas.microsoft.com/office/drawing/2014/main" id="{00000000-0008-0000-0200-0000E11B0000}"/>
            </a:ext>
          </a:extLst>
        </xdr:cNvPr>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63</xdr:row>
      <xdr:rowOff>10583</xdr:rowOff>
    </xdr:to>
    <xdr:cxnSp macro="">
      <xdr:nvCxnSpPr>
        <xdr:cNvPr id="7138" name="Straight Arrow Connector 9">
          <a:extLst>
            <a:ext uri="{FF2B5EF4-FFF2-40B4-BE49-F238E27FC236}">
              <a16:creationId xmlns:a16="http://schemas.microsoft.com/office/drawing/2014/main" id="{00000000-0008-0000-0200-0000E21B0000}"/>
            </a:ext>
          </a:extLst>
        </xdr:cNvPr>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a:extLst>
            <a:ext uri="{FF2B5EF4-FFF2-40B4-BE49-F238E27FC236}">
              <a16:creationId xmlns:a16="http://schemas.microsoft.com/office/drawing/2014/main" id="{00000000-0008-0000-0400-0000BC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92364</xdr:colOff>
      <xdr:row>24</xdr:row>
      <xdr:rowOff>23090</xdr:rowOff>
    </xdr:from>
    <xdr:to>
      <xdr:col>6</xdr:col>
      <xdr:colOff>139211</xdr:colOff>
      <xdr:row>33</xdr:row>
      <xdr:rowOff>21980</xdr:rowOff>
    </xdr:to>
    <xdr:graphicFrame macro="">
      <xdr:nvGraphicFramePr>
        <xdr:cNvPr id="2854334" name="Chart 34">
          <a:extLst>
            <a:ext uri="{FF2B5EF4-FFF2-40B4-BE49-F238E27FC236}">
              <a16:creationId xmlns:a16="http://schemas.microsoft.com/office/drawing/2014/main" id="{00000000-0008-0000-0400-0000BE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a:extLst>
            <a:ext uri="{FF2B5EF4-FFF2-40B4-BE49-F238E27FC236}">
              <a16:creationId xmlns:a16="http://schemas.microsoft.com/office/drawing/2014/main" id="{00000000-0008-0000-0400-0000BF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a:extLst>
            <a:ext uri="{FF2B5EF4-FFF2-40B4-BE49-F238E27FC236}">
              <a16:creationId xmlns:a16="http://schemas.microsoft.com/office/drawing/2014/main" id="{00000000-0008-0000-0400-0000C08D2B00}"/>
            </a:ext>
          </a:extLst>
        </xdr:cNvPr>
        <xdr:cNvGrpSpPr>
          <a:grpSpLocks/>
        </xdr:cNvGrpSpPr>
      </xdr:nvGrpSpPr>
      <xdr:grpSpPr bwMode="auto">
        <a:xfrm>
          <a:off x="4760302" y="4343401"/>
          <a:ext cx="3393098" cy="162658"/>
          <a:chOff x="0" y="0"/>
          <a:chExt cx="37352" cy="2842"/>
        </a:xfrm>
      </xdr:grpSpPr>
      <xdr:sp macro="" textlink="">
        <xdr:nvSpPr>
          <xdr:cNvPr id="2854337" name="Rectangle 1">
            <a:extLst>
              <a:ext uri="{FF2B5EF4-FFF2-40B4-BE49-F238E27FC236}">
                <a16:creationId xmlns:a16="http://schemas.microsoft.com/office/drawing/2014/main" id="{00000000-0008-0000-0400-0000C18D2B00}"/>
              </a:ext>
            </a:extLst>
          </xdr:cNvPr>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a:extLst>
              <a:ext uri="{FF2B5EF4-FFF2-40B4-BE49-F238E27FC236}">
                <a16:creationId xmlns:a16="http://schemas.microsoft.com/office/drawing/2014/main" id="{00000000-0008-0000-0400-0000578D2B00}"/>
              </a:ext>
            </a:extLst>
          </xdr:cNvPr>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a:extLst>
              <a:ext uri="{FF2B5EF4-FFF2-40B4-BE49-F238E27FC236}">
                <a16:creationId xmlns:a16="http://schemas.microsoft.com/office/drawing/2014/main" id="{00000000-0008-0000-0400-0000C38D2B00}"/>
              </a:ext>
            </a:extLst>
          </xdr:cNvPr>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a:extLst>
              <a:ext uri="{FF2B5EF4-FFF2-40B4-BE49-F238E27FC236}">
                <a16:creationId xmlns:a16="http://schemas.microsoft.com/office/drawing/2014/main" id="{00000000-0008-0000-0400-0000558D2B00}"/>
              </a:ext>
            </a:extLst>
          </xdr:cNvPr>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18</xdr:row>
      <xdr:rowOff>2447924</xdr:rowOff>
    </xdr:from>
    <xdr:to>
      <xdr:col>12</xdr:col>
      <xdr:colOff>914400</xdr:colOff>
      <xdr:row>26</xdr:row>
      <xdr:rowOff>47625</xdr:rowOff>
    </xdr:to>
    <xdr:graphicFrame macro="">
      <xdr:nvGraphicFramePr>
        <xdr:cNvPr id="2870841" name="Chart 1054">
          <a:extLst>
            <a:ext uri="{FF2B5EF4-FFF2-40B4-BE49-F238E27FC236}">
              <a16:creationId xmlns:a16="http://schemas.microsoft.com/office/drawing/2014/main" id="{00000000-0008-0000-0500-000039CE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2"/>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10" name="Chart 1046">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11" name="Диаграмма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30</xdr:row>
      <xdr:rowOff>9525</xdr:rowOff>
    </xdr:from>
    <xdr:to>
      <xdr:col>5</xdr:col>
      <xdr:colOff>1085850</xdr:colOff>
      <xdr:row>34</xdr:row>
      <xdr:rowOff>114300</xdr:rowOff>
    </xdr:to>
    <xdr:graphicFrame macro="">
      <xdr:nvGraphicFramePr>
        <xdr:cNvPr id="8" name="Диаграмма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8</xdr:row>
      <xdr:rowOff>0</xdr:rowOff>
    </xdr:from>
    <xdr:to>
      <xdr:col>12</xdr:col>
      <xdr:colOff>942975</xdr:colOff>
      <xdr:row>16</xdr:row>
      <xdr:rowOff>466725</xdr:rowOff>
    </xdr:to>
    <xdr:graphicFrame macro="">
      <xdr:nvGraphicFramePr>
        <xdr:cNvPr id="12" name="Диаграмма 11">
          <a:extLst>
            <a:ext uri="{FF2B5EF4-FFF2-40B4-BE49-F238E27FC236}">
              <a16:creationId xmlns:a16="http://schemas.microsoft.com/office/drawing/2014/main" id="{BD62D30F-EC47-4C15-989A-E952C0175425}"/>
            </a:ext>
            <a:ext uri="{147F2762-F138-4A5C-976F-8EAC2B608ADB}">
              <a16:predDERef xmlns:a16="http://schemas.microsoft.com/office/drawing/2014/main" pre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1</xdr:col>
      <xdr:colOff>0</xdr:colOff>
      <xdr:row>9</xdr:row>
      <xdr:rowOff>0</xdr:rowOff>
    </xdr:from>
    <xdr:to>
      <xdr:col>4</xdr:col>
      <xdr:colOff>942975</xdr:colOff>
      <xdr:row>19</xdr:row>
      <xdr:rowOff>47625</xdr:rowOff>
    </xdr:to>
    <xdr:graphicFrame macro="">
      <xdr:nvGraphicFramePr>
        <xdr:cNvPr id="10" name="Диаграмма 9">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600-00007D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9</xdr:row>
      <xdr:rowOff>19050</xdr:rowOff>
    </xdr:from>
    <xdr:to>
      <xdr:col>11</xdr:col>
      <xdr:colOff>0</xdr:colOff>
      <xdr:row>19</xdr:row>
      <xdr:rowOff>57150</xdr:rowOff>
    </xdr:to>
    <xdr:graphicFrame macro="">
      <xdr:nvGraphicFramePr>
        <xdr:cNvPr id="12" name="Диаграмма 11">
          <a:extLst>
            <a:ext uri="{FF2B5EF4-FFF2-40B4-BE49-F238E27FC236}">
              <a16:creationId xmlns:a16="http://schemas.microsoft.com/office/drawing/2014/main" id="{00000000-0008-0000-0600-00000C000000}"/>
            </a:ext>
            <a:ext uri="{147F2762-F138-4A5C-976F-8EAC2B608ADB}">
              <a16:predDERef xmlns:a16="http://schemas.microsoft.com/office/drawing/2014/main" pre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9</xdr:row>
      <xdr:rowOff>0</xdr:rowOff>
    </xdr:from>
    <xdr:to>
      <xdr:col>17</xdr:col>
      <xdr:colOff>9525</xdr:colOff>
      <xdr:row>19</xdr:row>
      <xdr:rowOff>47625</xdr:rowOff>
    </xdr:to>
    <xdr:graphicFrame macro="">
      <xdr:nvGraphicFramePr>
        <xdr:cNvPr id="13" name="Диаграмма 12">
          <a:extLst>
            <a:ext uri="{FF2B5EF4-FFF2-40B4-BE49-F238E27FC236}">
              <a16:creationId xmlns:a16="http://schemas.microsoft.com/office/drawing/2014/main" id="{00000000-0008-0000-0600-00000D000000}"/>
            </a:ext>
            <a:ext uri="{147F2762-F138-4A5C-976F-8EAC2B608ADB}">
              <a16:predDERef xmlns:a16="http://schemas.microsoft.com/office/drawing/2014/main" pre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36</xdr:row>
      <xdr:rowOff>9525</xdr:rowOff>
    </xdr:from>
    <xdr:to>
      <xdr:col>5</xdr:col>
      <xdr:colOff>28575</xdr:colOff>
      <xdr:row>46</xdr:row>
      <xdr:rowOff>66675</xdr:rowOff>
    </xdr:to>
    <xdr:graphicFrame macro="">
      <xdr:nvGraphicFramePr>
        <xdr:cNvPr id="14" name="Диаграмма 13">
          <a:extLst>
            <a:ext uri="{FF2B5EF4-FFF2-40B4-BE49-F238E27FC236}">
              <a16:creationId xmlns:a16="http://schemas.microsoft.com/office/drawing/2014/main" id="{00000000-0008-0000-0600-00000E000000}"/>
            </a:ext>
            <a:ext uri="{147F2762-F138-4A5C-976F-8EAC2B608ADB}">
              <a16:predDERef xmlns:a16="http://schemas.microsoft.com/office/drawing/2014/main" pre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952500</xdr:colOff>
      <xdr:row>36</xdr:row>
      <xdr:rowOff>0</xdr:rowOff>
    </xdr:from>
    <xdr:to>
      <xdr:col>10</xdr:col>
      <xdr:colOff>1428750</xdr:colOff>
      <xdr:row>46</xdr:row>
      <xdr:rowOff>66675</xdr:rowOff>
    </xdr:to>
    <xdr:graphicFrame macro="">
      <xdr:nvGraphicFramePr>
        <xdr:cNvPr id="15" name="Диаграмма 14">
          <a:extLst>
            <a:ext uri="{FF2B5EF4-FFF2-40B4-BE49-F238E27FC236}">
              <a16:creationId xmlns:a16="http://schemas.microsoft.com/office/drawing/2014/main" id="{00000000-0008-0000-0600-00000F000000}"/>
            </a:ext>
            <a:ext uri="{147F2762-F138-4A5C-976F-8EAC2B608ADB}">
              <a16:predDERef xmlns:a16="http://schemas.microsoft.com/office/drawing/2014/main" pre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11907</xdr:colOff>
      <xdr:row>36</xdr:row>
      <xdr:rowOff>0</xdr:rowOff>
    </xdr:from>
    <xdr:to>
      <xdr:col>17</xdr:col>
      <xdr:colOff>11907</xdr:colOff>
      <xdr:row>46</xdr:row>
      <xdr:rowOff>68356</xdr:rowOff>
    </xdr:to>
    <xdr:graphicFrame macro="">
      <xdr:nvGraphicFramePr>
        <xdr:cNvPr id="16" name="Диаграмма 15">
          <a:extLst>
            <a:ext uri="{FF2B5EF4-FFF2-40B4-BE49-F238E27FC236}">
              <a16:creationId xmlns:a16="http://schemas.microsoft.com/office/drawing/2014/main" id="{00000000-0008-0000-0600-000010000000}"/>
            </a:ext>
            <a:ext uri="{147F2762-F138-4A5C-976F-8EAC2B608ADB}">
              <a16:predDERef xmlns:a16="http://schemas.microsoft.com/office/drawing/2014/main" pre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518" name="Chart 1">
          <a:extLst>
            <a:ext uri="{FF2B5EF4-FFF2-40B4-BE49-F238E27FC236}">
              <a16:creationId xmlns:a16="http://schemas.microsoft.com/office/drawing/2014/main" id="{00000000-0008-0000-0800-0000E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5135" name="Group 41">
          <a:extLst>
            <a:ext uri="{FF2B5EF4-FFF2-40B4-BE49-F238E27FC236}">
              <a16:creationId xmlns:a16="http://schemas.microsoft.com/office/drawing/2014/main" id="{00000000-0008-0000-0700-00007F6A3400}"/>
            </a:ext>
          </a:extLst>
        </xdr:cNvPr>
        <xdr:cNvGrpSpPr>
          <a:grpSpLocks/>
        </xdr:cNvGrpSpPr>
      </xdr:nvGrpSpPr>
      <xdr:grpSpPr bwMode="auto">
        <a:xfrm>
          <a:off x="5553075" y="5562600"/>
          <a:ext cx="85725" cy="0"/>
          <a:chOff x="595" y="540"/>
          <a:chExt cx="9" cy="9"/>
        </a:xfrm>
      </xdr:grpSpPr>
      <xdr:sp macro="" textlink="">
        <xdr:nvSpPr>
          <xdr:cNvPr id="3435146" name="Rectangle 11">
            <a:extLst>
              <a:ext uri="{FF2B5EF4-FFF2-40B4-BE49-F238E27FC236}">
                <a16:creationId xmlns:a16="http://schemas.microsoft.com/office/drawing/2014/main" id="{00000000-0008-0000-0700-00008A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7" name="Arc 12">
            <a:extLst>
              <a:ext uri="{FF2B5EF4-FFF2-40B4-BE49-F238E27FC236}">
                <a16:creationId xmlns:a16="http://schemas.microsoft.com/office/drawing/2014/main" id="{00000000-0008-0000-0700-00008B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5136" name="Group 44">
          <a:extLst>
            <a:ext uri="{FF2B5EF4-FFF2-40B4-BE49-F238E27FC236}">
              <a16:creationId xmlns:a16="http://schemas.microsoft.com/office/drawing/2014/main" id="{00000000-0008-0000-0700-0000806A3400}"/>
            </a:ext>
          </a:extLst>
        </xdr:cNvPr>
        <xdr:cNvGrpSpPr>
          <a:grpSpLocks/>
        </xdr:cNvGrpSpPr>
      </xdr:nvGrpSpPr>
      <xdr:grpSpPr bwMode="auto">
        <a:xfrm>
          <a:off x="6534150" y="5562600"/>
          <a:ext cx="85725" cy="0"/>
          <a:chOff x="698" y="540"/>
          <a:chExt cx="9" cy="9"/>
        </a:xfrm>
      </xdr:grpSpPr>
      <xdr:sp macro="" textlink="">
        <xdr:nvSpPr>
          <xdr:cNvPr id="3435144" name="Rectangle 47">
            <a:extLst>
              <a:ext uri="{FF2B5EF4-FFF2-40B4-BE49-F238E27FC236}">
                <a16:creationId xmlns:a16="http://schemas.microsoft.com/office/drawing/2014/main" id="{00000000-0008-0000-0700-000088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5" name="Arc 48">
            <a:extLst>
              <a:ext uri="{FF2B5EF4-FFF2-40B4-BE49-F238E27FC236}">
                <a16:creationId xmlns:a16="http://schemas.microsoft.com/office/drawing/2014/main" id="{00000000-0008-0000-0700-000089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3435137" name="Group 47">
          <a:extLst>
            <a:ext uri="{FF2B5EF4-FFF2-40B4-BE49-F238E27FC236}">
              <a16:creationId xmlns:a16="http://schemas.microsoft.com/office/drawing/2014/main" id="{00000000-0008-0000-0700-0000816A3400}"/>
            </a:ext>
          </a:extLst>
        </xdr:cNvPr>
        <xdr:cNvGrpSpPr>
          <a:grpSpLocks/>
        </xdr:cNvGrpSpPr>
      </xdr:nvGrpSpPr>
      <xdr:grpSpPr bwMode="auto">
        <a:xfrm>
          <a:off x="5181600" y="5562600"/>
          <a:ext cx="85725" cy="0"/>
          <a:chOff x="698" y="540"/>
          <a:chExt cx="9" cy="9"/>
        </a:xfrm>
      </xdr:grpSpPr>
      <xdr:sp macro="" textlink="">
        <xdr:nvSpPr>
          <xdr:cNvPr id="3435142" name="Rectangle 47">
            <a:extLst>
              <a:ext uri="{FF2B5EF4-FFF2-40B4-BE49-F238E27FC236}">
                <a16:creationId xmlns:a16="http://schemas.microsoft.com/office/drawing/2014/main" id="{00000000-0008-0000-0700-000086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3" name="Arc 48">
            <a:extLst>
              <a:ext uri="{FF2B5EF4-FFF2-40B4-BE49-F238E27FC236}">
                <a16:creationId xmlns:a16="http://schemas.microsoft.com/office/drawing/2014/main" id="{00000000-0008-0000-0700-000087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3435138" name="Group 50">
          <a:extLst>
            <a:ext uri="{FF2B5EF4-FFF2-40B4-BE49-F238E27FC236}">
              <a16:creationId xmlns:a16="http://schemas.microsoft.com/office/drawing/2014/main" id="{00000000-0008-0000-0700-0000826A3400}"/>
            </a:ext>
          </a:extLst>
        </xdr:cNvPr>
        <xdr:cNvGrpSpPr>
          <a:grpSpLocks/>
        </xdr:cNvGrpSpPr>
      </xdr:nvGrpSpPr>
      <xdr:grpSpPr bwMode="auto">
        <a:xfrm>
          <a:off x="1438275" y="5562600"/>
          <a:ext cx="85725" cy="0"/>
          <a:chOff x="595" y="540"/>
          <a:chExt cx="9" cy="9"/>
        </a:xfrm>
      </xdr:grpSpPr>
      <xdr:sp macro="" textlink="">
        <xdr:nvSpPr>
          <xdr:cNvPr id="3435140" name="Rectangle 11">
            <a:extLst>
              <a:ext uri="{FF2B5EF4-FFF2-40B4-BE49-F238E27FC236}">
                <a16:creationId xmlns:a16="http://schemas.microsoft.com/office/drawing/2014/main" id="{00000000-0008-0000-0700-000084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1" name="Arc 12">
            <a:extLst>
              <a:ext uri="{FF2B5EF4-FFF2-40B4-BE49-F238E27FC236}">
                <a16:creationId xmlns:a16="http://schemas.microsoft.com/office/drawing/2014/main" id="{00000000-0008-0000-0700-000085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zoomScaleNormal="100" workbookViewId="0">
      <selection activeCell="O10" sqref="O10"/>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99" t="str">
        <f>+"Панель показателей:  "&amp;"  "&amp;IF(+'Ввод данных'!B4="Выберите","",'Ввод данных'!B4&amp;" - ")&amp;IF('Ввод данных'!F6="Выберите","",'Ввод данных'!F6)</f>
        <v>Панель показателей:    Кыргызстан - ВИЧ/СПИД/ТБ</v>
      </c>
      <c r="C2" s="599"/>
      <c r="D2" s="599"/>
      <c r="E2" s="599"/>
      <c r="F2" s="599"/>
      <c r="G2" s="599"/>
      <c r="H2" s="599"/>
      <c r="I2" s="599"/>
      <c r="J2" s="599"/>
      <c r="K2" s="599"/>
      <c r="L2" s="599"/>
      <c r="M2" s="599"/>
      <c r="N2" s="1"/>
      <c r="O2" s="1"/>
    </row>
    <row r="4" spans="2:15" ht="21">
      <c r="B4" s="596" t="str">
        <f>+IF('Ввод данных'!F6="Выберите", "",'Ввод данных'!F6) &amp;"  "&amp;+IF('Ввод данных'!F8="Выберите", "", 'Ввод данных'!F8&amp;",  ")&amp;+IF('Ввод данных'!H8="Выберите","",'Ввод данных'!H8)</f>
        <v xml:space="preserve">ВИЧ/СПИД/ТБ  ,  </v>
      </c>
      <c r="C4" s="596"/>
      <c r="D4" s="596"/>
      <c r="E4" s="1121"/>
      <c r="F4" s="160"/>
      <c r="G4" s="160"/>
      <c r="H4" s="159" t="str">
        <f>+'Ввод данных'!A6&amp;" "&amp;+'Ввод данных'!B6</f>
        <v>Грант № KGZ-C-UNDP</v>
      </c>
      <c r="I4" s="159"/>
      <c r="J4" s="159"/>
      <c r="K4" s="160"/>
      <c r="L4" s="160"/>
    </row>
    <row r="22" spans="2:12" ht="26.25">
      <c r="B22" s="597" t="s">
        <v>0</v>
      </c>
      <c r="C22" s="598"/>
      <c r="D22" s="598"/>
      <c r="E22" s="598"/>
      <c r="F22" s="598"/>
      <c r="G22" s="598"/>
      <c r="H22" s="598"/>
      <c r="I22" s="598"/>
      <c r="J22" s="598"/>
      <c r="K22" s="598"/>
      <c r="L22" s="598"/>
    </row>
  </sheetData>
  <sheetProtection password="CFC9" sheet="1"/>
  <mergeCells count="3">
    <mergeCell ref="B4:E4"/>
    <mergeCell ref="B22:L22"/>
    <mergeCell ref="B2:M2"/>
  </mergeCells>
  <phoneticPr fontId="30"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M144"/>
  <sheetViews>
    <sheetView showGridLines="0" topLeftCell="A16" zoomScale="80" zoomScaleNormal="80" workbookViewId="0">
      <selection activeCell="I28" sqref="I28: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3" ht="25.5" customHeight="1"/>
    <row r="3" spans="2:13" ht="36">
      <c r="B3" s="827" t="str">
        <f>'Сведения о гранте'!B3:J3</f>
        <v>Панель показателей:  Кыргызстан - ВИЧ/СПИД/ТБ</v>
      </c>
      <c r="C3" s="827"/>
      <c r="D3" s="827"/>
      <c r="E3" s="827"/>
      <c r="F3" s="827"/>
      <c r="G3" s="827"/>
      <c r="H3" s="827"/>
      <c r="I3" s="1"/>
    </row>
    <row r="6" spans="2:13" ht="18.75">
      <c r="B6" s="1120" t="s">
        <v>471</v>
      </c>
      <c r="C6" s="1120"/>
      <c r="D6" s="1120"/>
      <c r="E6" s="1120"/>
      <c r="F6" s="1120"/>
      <c r="G6" s="1120"/>
      <c r="H6" s="1120"/>
    </row>
    <row r="8" spans="2:13" ht="18.75">
      <c r="B8" s="45" t="s">
        <v>472</v>
      </c>
      <c r="C8" s="45" t="s">
        <v>473</v>
      </c>
      <c r="D8" s="45" t="s">
        <v>474</v>
      </c>
      <c r="E8" s="45" t="s">
        <v>475</v>
      </c>
      <c r="F8" s="45" t="s">
        <v>476</v>
      </c>
      <c r="G8" s="45" t="s">
        <v>408</v>
      </c>
      <c r="H8" s="45" t="s">
        <v>477</v>
      </c>
      <c r="I8" s="45" t="s">
        <v>478</v>
      </c>
      <c r="J8" s="45" t="s">
        <v>479</v>
      </c>
    </row>
    <row r="9" spans="2:13">
      <c r="B9" s="30" t="s">
        <v>20</v>
      </c>
      <c r="C9" s="30" t="s">
        <v>20</v>
      </c>
      <c r="D9" s="30" t="s">
        <v>20</v>
      </c>
      <c r="E9" s="30" t="s">
        <v>20</v>
      </c>
      <c r="F9" s="30" t="s">
        <v>20</v>
      </c>
      <c r="G9" s="30" t="s">
        <v>20</v>
      </c>
      <c r="H9" s="30" t="s">
        <v>20</v>
      </c>
      <c r="I9" s="18" t="s">
        <v>20</v>
      </c>
      <c r="J9" s="30" t="s">
        <v>20</v>
      </c>
    </row>
    <row r="10" spans="2:13">
      <c r="B10" s="41" t="s">
        <v>480</v>
      </c>
      <c r="C10" s="41" t="s">
        <v>37</v>
      </c>
      <c r="D10" s="41" t="s">
        <v>481</v>
      </c>
      <c r="E10" s="41" t="s">
        <v>482</v>
      </c>
      <c r="F10" s="41" t="s">
        <v>25</v>
      </c>
      <c r="G10" s="41" t="s">
        <v>483</v>
      </c>
      <c r="H10" s="44" t="s">
        <v>484</v>
      </c>
      <c r="I10" s="18" t="s">
        <v>485</v>
      </c>
      <c r="J10" s="30" t="s">
        <v>486</v>
      </c>
    </row>
    <row r="11" spans="2:13">
      <c r="B11" s="41" t="s">
        <v>487</v>
      </c>
      <c r="C11" s="41" t="s">
        <v>488</v>
      </c>
      <c r="D11" s="41" t="s">
        <v>489</v>
      </c>
      <c r="E11" s="41" t="s">
        <v>490</v>
      </c>
      <c r="F11" s="41" t="s">
        <v>40</v>
      </c>
      <c r="G11" s="41" t="s">
        <v>491</v>
      </c>
      <c r="H11" s="44" t="s">
        <v>492</v>
      </c>
      <c r="I11" s="18" t="s">
        <v>493</v>
      </c>
      <c r="J11" s="30" t="s">
        <v>494</v>
      </c>
    </row>
    <row r="12" spans="2:13">
      <c r="B12" s="41" t="s">
        <v>138</v>
      </c>
      <c r="D12" s="41" t="s">
        <v>495</v>
      </c>
      <c r="E12" s="41" t="s">
        <v>496</v>
      </c>
      <c r="F12" s="41" t="s">
        <v>41</v>
      </c>
      <c r="G12" s="41" t="s">
        <v>497</v>
      </c>
      <c r="H12" s="44" t="s">
        <v>498</v>
      </c>
      <c r="I12" s="18" t="s">
        <v>499</v>
      </c>
      <c r="J12" s="30" t="s">
        <v>500</v>
      </c>
      <c r="M12" s="138"/>
    </row>
    <row r="13" spans="2:13">
      <c r="B13" s="41" t="s">
        <v>9</v>
      </c>
      <c r="D13" s="41" t="s">
        <v>501</v>
      </c>
      <c r="E13" s="42"/>
      <c r="F13" s="41" t="s">
        <v>42</v>
      </c>
      <c r="G13" s="41" t="s">
        <v>502</v>
      </c>
      <c r="H13" s="44" t="s">
        <v>503</v>
      </c>
      <c r="I13" s="18" t="s">
        <v>504</v>
      </c>
      <c r="J13" s="30" t="s">
        <v>505</v>
      </c>
      <c r="M13" s="138"/>
    </row>
    <row r="14" spans="2:13">
      <c r="B14" s="41" t="s">
        <v>506</v>
      </c>
      <c r="D14" s="41" t="s">
        <v>507</v>
      </c>
      <c r="F14" s="41" t="s">
        <v>43</v>
      </c>
      <c r="G14" s="41" t="s">
        <v>508</v>
      </c>
      <c r="H14" s="44" t="s">
        <v>509</v>
      </c>
      <c r="I14" s="18" t="s">
        <v>510</v>
      </c>
      <c r="J14" s="30" t="s">
        <v>511</v>
      </c>
      <c r="M14" s="138"/>
    </row>
    <row r="15" spans="2:13">
      <c r="D15" s="41" t="s">
        <v>512</v>
      </c>
      <c r="F15" s="41" t="s">
        <v>44</v>
      </c>
      <c r="H15" s="44" t="s">
        <v>513</v>
      </c>
      <c r="I15" s="18" t="s">
        <v>514</v>
      </c>
      <c r="J15" s="30" t="s">
        <v>515</v>
      </c>
      <c r="M15" s="138"/>
    </row>
    <row r="16" spans="2:13">
      <c r="D16" s="41" t="s">
        <v>516</v>
      </c>
      <c r="F16" s="41" t="s">
        <v>45</v>
      </c>
      <c r="H16" s="44" t="s">
        <v>517</v>
      </c>
      <c r="I16" s="18" t="s">
        <v>518</v>
      </c>
      <c r="J16" s="30" t="s">
        <v>519</v>
      </c>
      <c r="M16" s="138"/>
    </row>
    <row r="17" spans="4:13">
      <c r="D17" s="41" t="s">
        <v>520</v>
      </c>
      <c r="F17" s="41" t="s">
        <v>46</v>
      </c>
      <c r="H17" s="44" t="s">
        <v>521</v>
      </c>
      <c r="I17" s="18" t="s">
        <v>522</v>
      </c>
      <c r="J17" s="30" t="s">
        <v>523</v>
      </c>
      <c r="M17" s="138"/>
    </row>
    <row r="18" spans="4:13">
      <c r="D18" s="41" t="s">
        <v>524</v>
      </c>
      <c r="F18" s="41" t="s">
        <v>47</v>
      </c>
      <c r="H18" s="44" t="s">
        <v>525</v>
      </c>
      <c r="I18" s="18" t="s">
        <v>526</v>
      </c>
      <c r="J18" s="30" t="s">
        <v>527</v>
      </c>
      <c r="M18" s="138"/>
    </row>
    <row r="19" spans="4:13">
      <c r="D19" s="41" t="s">
        <v>528</v>
      </c>
      <c r="F19" s="41" t="s">
        <v>48</v>
      </c>
      <c r="H19" s="44" t="s">
        <v>529</v>
      </c>
      <c r="I19" s="18" t="s">
        <v>530</v>
      </c>
      <c r="J19" s="30" t="s">
        <v>531</v>
      </c>
      <c r="M19" s="138"/>
    </row>
    <row r="20" spans="4:13">
      <c r="D20" s="43"/>
      <c r="F20" s="41" t="s">
        <v>49</v>
      </c>
      <c r="H20" s="44" t="s">
        <v>18</v>
      </c>
      <c r="I20" s="18" t="s">
        <v>532</v>
      </c>
      <c r="J20" s="30" t="s">
        <v>533</v>
      </c>
    </row>
    <row r="21" spans="4:13">
      <c r="D21" s="423"/>
      <c r="F21" s="41" t="s">
        <v>50</v>
      </c>
      <c r="H21" s="423"/>
      <c r="I21" s="18" t="s">
        <v>534</v>
      </c>
      <c r="J21" s="30" t="s">
        <v>535</v>
      </c>
    </row>
    <row r="22" spans="4:13">
      <c r="H22" s="423"/>
      <c r="I22" s="18" t="s">
        <v>536</v>
      </c>
      <c r="J22" s="30" t="s">
        <v>537</v>
      </c>
    </row>
    <row r="23" spans="4:13">
      <c r="I23" s="18" t="s">
        <v>538</v>
      </c>
      <c r="J23" s="30" t="s">
        <v>539</v>
      </c>
    </row>
    <row r="24" spans="4:13">
      <c r="I24" s="18" t="s">
        <v>540</v>
      </c>
      <c r="J24" s="30" t="s">
        <v>541</v>
      </c>
    </row>
    <row r="25" spans="4:13">
      <c r="I25" s="30"/>
      <c r="J25" s="30" t="s">
        <v>542</v>
      </c>
    </row>
    <row r="26" spans="4:13">
      <c r="I26" s="18" t="s">
        <v>543</v>
      </c>
      <c r="J26" s="30" t="s">
        <v>544</v>
      </c>
    </row>
    <row r="27" spans="4:13">
      <c r="I27" s="18" t="s">
        <v>545</v>
      </c>
      <c r="J27" s="30" t="s">
        <v>546</v>
      </c>
    </row>
    <row r="28" spans="4:13">
      <c r="I28" s="30" t="s">
        <v>547</v>
      </c>
      <c r="J28" s="30" t="s">
        <v>548</v>
      </c>
    </row>
    <row r="29" spans="4:13">
      <c r="I29" s="30" t="s">
        <v>549</v>
      </c>
      <c r="J29" s="30" t="s">
        <v>550</v>
      </c>
    </row>
    <row r="30" spans="4:13">
      <c r="I30" s="30" t="s">
        <v>532</v>
      </c>
      <c r="J30" s="30" t="s">
        <v>551</v>
      </c>
    </row>
    <row r="31" spans="4:13">
      <c r="J31" s="30" t="s">
        <v>552</v>
      </c>
    </row>
    <row r="32" spans="4:13">
      <c r="J32" s="30" t="s">
        <v>553</v>
      </c>
    </row>
    <row r="33" spans="10:10">
      <c r="J33" s="30" t="s">
        <v>554</v>
      </c>
    </row>
    <row r="34" spans="10:10">
      <c r="J34" s="30" t="s">
        <v>555</v>
      </c>
    </row>
    <row r="35" spans="10:10">
      <c r="J35" s="30" t="s">
        <v>556</v>
      </c>
    </row>
    <row r="36" spans="10:10">
      <c r="J36" s="30" t="s">
        <v>556</v>
      </c>
    </row>
    <row r="37" spans="10:10">
      <c r="J37" s="30" t="s">
        <v>557</v>
      </c>
    </row>
    <row r="38" spans="10:10">
      <c r="J38" s="30" t="s">
        <v>558</v>
      </c>
    </row>
    <row r="39" spans="10:10">
      <c r="J39" s="30" t="s">
        <v>559</v>
      </c>
    </row>
    <row r="40" spans="10:10">
      <c r="J40" s="30" t="s">
        <v>560</v>
      </c>
    </row>
    <row r="41" spans="10:10">
      <c r="J41" s="30" t="s">
        <v>561</v>
      </c>
    </row>
    <row r="42" spans="10:10">
      <c r="J42" s="30" t="s">
        <v>562</v>
      </c>
    </row>
    <row r="43" spans="10:10">
      <c r="J43" s="30" t="s">
        <v>563</v>
      </c>
    </row>
    <row r="44" spans="10:10">
      <c r="J44" s="30" t="s">
        <v>564</v>
      </c>
    </row>
    <row r="45" spans="10:10">
      <c r="J45" s="30" t="s">
        <v>565</v>
      </c>
    </row>
    <row r="46" spans="10:10">
      <c r="J46" s="30" t="s">
        <v>566</v>
      </c>
    </row>
    <row r="47" spans="10:10">
      <c r="J47" s="30" t="s">
        <v>567</v>
      </c>
    </row>
    <row r="48" spans="10:10">
      <c r="J48" s="30" t="s">
        <v>568</v>
      </c>
    </row>
    <row r="49" spans="10:10">
      <c r="J49" s="30" t="s">
        <v>569</v>
      </c>
    </row>
    <row r="50" spans="10:10">
      <c r="J50" s="30" t="s">
        <v>570</v>
      </c>
    </row>
    <row r="51" spans="10:10">
      <c r="J51" s="30" t="s">
        <v>571</v>
      </c>
    </row>
    <row r="52" spans="10:10">
      <c r="J52" s="30" t="s">
        <v>572</v>
      </c>
    </row>
    <row r="53" spans="10:10">
      <c r="J53" s="30" t="s">
        <v>573</v>
      </c>
    </row>
    <row r="54" spans="10:10">
      <c r="J54" s="30" t="s">
        <v>574</v>
      </c>
    </row>
    <row r="55" spans="10:10">
      <c r="J55" s="30" t="s">
        <v>575</v>
      </c>
    </row>
    <row r="56" spans="10:10">
      <c r="J56" s="30" t="s">
        <v>576</v>
      </c>
    </row>
    <row r="57" spans="10:10">
      <c r="J57" s="30" t="s">
        <v>577</v>
      </c>
    </row>
    <row r="58" spans="10:10">
      <c r="J58" s="30" t="s">
        <v>578</v>
      </c>
    </row>
    <row r="59" spans="10:10">
      <c r="J59" s="30" t="s">
        <v>579</v>
      </c>
    </row>
    <row r="60" spans="10:10">
      <c r="J60" s="30" t="s">
        <v>580</v>
      </c>
    </row>
    <row r="61" spans="10:10">
      <c r="J61" s="30" t="s">
        <v>581</v>
      </c>
    </row>
    <row r="62" spans="10:10">
      <c r="J62" s="30" t="s">
        <v>582</v>
      </c>
    </row>
    <row r="63" spans="10:10">
      <c r="J63" s="30" t="s">
        <v>583</v>
      </c>
    </row>
    <row r="64" spans="10:10">
      <c r="J64" s="30" t="s">
        <v>584</v>
      </c>
    </row>
    <row r="65" spans="10:10">
      <c r="J65" s="30" t="s">
        <v>585</v>
      </c>
    </row>
    <row r="66" spans="10:10">
      <c r="J66" s="30" t="s">
        <v>586</v>
      </c>
    </row>
    <row r="67" spans="10:10">
      <c r="J67" s="30" t="s">
        <v>587</v>
      </c>
    </row>
    <row r="68" spans="10:10">
      <c r="J68" s="30" t="s">
        <v>588</v>
      </c>
    </row>
    <row r="69" spans="10:10">
      <c r="J69" s="30" t="s">
        <v>589</v>
      </c>
    </row>
    <row r="70" spans="10:10">
      <c r="J70" s="30" t="s">
        <v>590</v>
      </c>
    </row>
    <row r="71" spans="10:10">
      <c r="J71" s="30" t="s">
        <v>591</v>
      </c>
    </row>
    <row r="72" spans="10:10">
      <c r="J72" s="30" t="s">
        <v>592</v>
      </c>
    </row>
    <row r="73" spans="10:10">
      <c r="J73" s="30" t="s">
        <v>593</v>
      </c>
    </row>
    <row r="74" spans="10:10">
      <c r="J74" s="30" t="s">
        <v>594</v>
      </c>
    </row>
    <row r="75" spans="10:10">
      <c r="J75" s="30" t="s">
        <v>595</v>
      </c>
    </row>
    <row r="76" spans="10:10">
      <c r="J76" s="30" t="s">
        <v>3</v>
      </c>
    </row>
    <row r="77" spans="10:10">
      <c r="J77" s="30" t="s">
        <v>596</v>
      </c>
    </row>
    <row r="78" spans="10:10">
      <c r="J78" s="30" t="s">
        <v>597</v>
      </c>
    </row>
    <row r="79" spans="10:10">
      <c r="J79" s="30" t="s">
        <v>598</v>
      </c>
    </row>
    <row r="80" spans="10:10">
      <c r="J80" s="30" t="s">
        <v>599</v>
      </c>
    </row>
    <row r="81" spans="10:10">
      <c r="J81" s="30" t="s">
        <v>600</v>
      </c>
    </row>
    <row r="82" spans="10:10">
      <c r="J82" s="30" t="s">
        <v>601</v>
      </c>
    </row>
    <row r="83" spans="10:10">
      <c r="J83" s="30" t="s">
        <v>602</v>
      </c>
    </row>
    <row r="84" spans="10:10">
      <c r="J84" s="30" t="s">
        <v>603</v>
      </c>
    </row>
    <row r="85" spans="10:10">
      <c r="J85" s="30" t="s">
        <v>604</v>
      </c>
    </row>
    <row r="86" spans="10:10">
      <c r="J86" s="30" t="s">
        <v>605</v>
      </c>
    </row>
    <row r="87" spans="10:10">
      <c r="J87" s="30" t="s">
        <v>606</v>
      </c>
    </row>
    <row r="88" spans="10:10">
      <c r="J88" s="30" t="s">
        <v>607</v>
      </c>
    </row>
    <row r="89" spans="10:10">
      <c r="J89" s="30" t="s">
        <v>608</v>
      </c>
    </row>
    <row r="90" spans="10:10">
      <c r="J90" s="30" t="s">
        <v>609</v>
      </c>
    </row>
    <row r="91" spans="10:10">
      <c r="J91" s="30" t="s">
        <v>610</v>
      </c>
    </row>
    <row r="92" spans="10:10">
      <c r="J92" s="30" t="s">
        <v>611</v>
      </c>
    </row>
    <row r="93" spans="10:10">
      <c r="J93" s="30" t="s">
        <v>612</v>
      </c>
    </row>
    <row r="94" spans="10:10">
      <c r="J94" s="30" t="s">
        <v>613</v>
      </c>
    </row>
    <row r="95" spans="10:10">
      <c r="J95" s="30" t="s">
        <v>614</v>
      </c>
    </row>
    <row r="96" spans="10:10">
      <c r="J96" s="30" t="s">
        <v>615</v>
      </c>
    </row>
    <row r="97" spans="10:10">
      <c r="J97" s="30" t="s">
        <v>616</v>
      </c>
    </row>
    <row r="98" spans="10:10">
      <c r="J98" s="30" t="s">
        <v>617</v>
      </c>
    </row>
    <row r="99" spans="10:10">
      <c r="J99" s="30" t="s">
        <v>618</v>
      </c>
    </row>
    <row r="100" spans="10:10">
      <c r="J100" s="30" t="s">
        <v>619</v>
      </c>
    </row>
    <row r="101" spans="10:10">
      <c r="J101" s="30" t="s">
        <v>620</v>
      </c>
    </row>
    <row r="102" spans="10:10">
      <c r="J102" s="30" t="s">
        <v>621</v>
      </c>
    </row>
    <row r="103" spans="10:10">
      <c r="J103" s="30" t="s">
        <v>622</v>
      </c>
    </row>
    <row r="104" spans="10:10">
      <c r="J104" s="30" t="s">
        <v>623</v>
      </c>
    </row>
    <row r="105" spans="10:10">
      <c r="J105" s="30" t="s">
        <v>624</v>
      </c>
    </row>
    <row r="106" spans="10:10">
      <c r="J106" s="30" t="s">
        <v>625</v>
      </c>
    </row>
    <row r="107" spans="10:10">
      <c r="J107" s="30" t="s">
        <v>626</v>
      </c>
    </row>
    <row r="108" spans="10:10">
      <c r="J108" s="30" t="s">
        <v>627</v>
      </c>
    </row>
    <row r="109" spans="10:10">
      <c r="J109" s="30" t="s">
        <v>628</v>
      </c>
    </row>
    <row r="110" spans="10:10">
      <c r="J110" s="30" t="s">
        <v>629</v>
      </c>
    </row>
    <row r="111" spans="10:10">
      <c r="J111" s="30" t="s">
        <v>630</v>
      </c>
    </row>
    <row r="112" spans="10:10">
      <c r="J112" s="30" t="s">
        <v>631</v>
      </c>
    </row>
    <row r="113" spans="10:10">
      <c r="J113" s="30" t="s">
        <v>632</v>
      </c>
    </row>
    <row r="114" spans="10:10">
      <c r="J114" s="30" t="s">
        <v>633</v>
      </c>
    </row>
    <row r="115" spans="10:10">
      <c r="J115" s="30" t="s">
        <v>634</v>
      </c>
    </row>
    <row r="116" spans="10:10">
      <c r="J116" s="30" t="s">
        <v>635</v>
      </c>
    </row>
    <row r="117" spans="10:10">
      <c r="J117" s="30" t="s">
        <v>636</v>
      </c>
    </row>
    <row r="118" spans="10:10">
      <c r="J118" s="30" t="s">
        <v>637</v>
      </c>
    </row>
    <row r="119" spans="10:10">
      <c r="J119" s="30" t="s">
        <v>638</v>
      </c>
    </row>
    <row r="120" spans="10:10">
      <c r="J120" s="30" t="s">
        <v>639</v>
      </c>
    </row>
    <row r="121" spans="10:10">
      <c r="J121" s="30" t="s">
        <v>640</v>
      </c>
    </row>
    <row r="122" spans="10:10">
      <c r="J122" s="30" t="s">
        <v>641</v>
      </c>
    </row>
    <row r="123" spans="10:10">
      <c r="J123" s="30" t="s">
        <v>642</v>
      </c>
    </row>
    <row r="124" spans="10:10">
      <c r="J124" s="30" t="s">
        <v>643</v>
      </c>
    </row>
    <row r="125" spans="10:10">
      <c r="J125" s="30" t="s">
        <v>644</v>
      </c>
    </row>
    <row r="126" spans="10:10">
      <c r="J126" s="30" t="s">
        <v>645</v>
      </c>
    </row>
    <row r="127" spans="10:10">
      <c r="J127" s="30" t="s">
        <v>646</v>
      </c>
    </row>
    <row r="128" spans="10:10">
      <c r="J128" s="30" t="s">
        <v>647</v>
      </c>
    </row>
    <row r="129" spans="10:10">
      <c r="J129" s="30" t="s">
        <v>648</v>
      </c>
    </row>
    <row r="130" spans="10:10">
      <c r="J130" s="30" t="s">
        <v>649</v>
      </c>
    </row>
    <row r="131" spans="10:10">
      <c r="J131" s="30" t="s">
        <v>650</v>
      </c>
    </row>
    <row r="132" spans="10:10">
      <c r="J132" s="30" t="s">
        <v>651</v>
      </c>
    </row>
    <row r="133" spans="10:10">
      <c r="J133" s="30" t="s">
        <v>652</v>
      </c>
    </row>
    <row r="134" spans="10:10">
      <c r="J134" s="30" t="s">
        <v>653</v>
      </c>
    </row>
    <row r="135" spans="10:10">
      <c r="J135" s="30" t="s">
        <v>654</v>
      </c>
    </row>
    <row r="136" spans="10:10">
      <c r="J136" s="30" t="s">
        <v>655</v>
      </c>
    </row>
    <row r="137" spans="10:10">
      <c r="J137" s="30" t="s">
        <v>656</v>
      </c>
    </row>
    <row r="138" spans="10:10">
      <c r="J138" s="30" t="s">
        <v>657</v>
      </c>
    </row>
    <row r="139" spans="10:10">
      <c r="J139" s="30" t="s">
        <v>658</v>
      </c>
    </row>
    <row r="140" spans="10:10">
      <c r="J140" s="30" t="s">
        <v>659</v>
      </c>
    </row>
    <row r="141" spans="10:10">
      <c r="J141" s="30" t="s">
        <v>660</v>
      </c>
    </row>
    <row r="142" spans="10:10">
      <c r="J142" s="30" t="s">
        <v>661</v>
      </c>
    </row>
    <row r="143" spans="10:10">
      <c r="J143" s="30" t="s">
        <v>662</v>
      </c>
    </row>
    <row r="144" spans="10:10">
      <c r="J144" s="236"/>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5"/>
  <sheetViews>
    <sheetView zoomScaleNormal="100" workbookViewId="0">
      <selection activeCell="N19" sqref="N19"/>
    </sheetView>
  </sheetViews>
  <sheetFormatPr defaultRowHeight="15"/>
  <sheetData>
    <row r="1" spans="1:2">
      <c r="A1" s="51" t="s">
        <v>663</v>
      </c>
      <c r="B1" t="s">
        <v>664</v>
      </c>
    </row>
    <row r="2" spans="1:2">
      <c r="A2" s="51" t="s">
        <v>383</v>
      </c>
      <c r="B2" t="s">
        <v>665</v>
      </c>
    </row>
    <row r="3" spans="1:2">
      <c r="A3" s="51" t="s">
        <v>666</v>
      </c>
      <c r="B3" t="s">
        <v>667</v>
      </c>
    </row>
    <row r="4" spans="1:2">
      <c r="A4" s="51" t="s">
        <v>668</v>
      </c>
      <c r="B4" t="s">
        <v>669</v>
      </c>
    </row>
    <row r="5" spans="1:2">
      <c r="A5" s="51" t="s">
        <v>670</v>
      </c>
      <c r="B5" t="s">
        <v>671</v>
      </c>
    </row>
    <row r="6" spans="1:2">
      <c r="A6" s="51" t="s">
        <v>672</v>
      </c>
      <c r="B6" t="s">
        <v>673</v>
      </c>
    </row>
    <row r="7" spans="1:2">
      <c r="A7" s="51" t="s">
        <v>674</v>
      </c>
      <c r="B7" t="s">
        <v>675</v>
      </c>
    </row>
    <row r="8" spans="1:2">
      <c r="A8" s="51" t="s">
        <v>676</v>
      </c>
      <c r="B8" t="s">
        <v>677</v>
      </c>
    </row>
    <row r="9" spans="1:2">
      <c r="A9" s="51" t="s">
        <v>678</v>
      </c>
      <c r="B9" t="s">
        <v>679</v>
      </c>
    </row>
    <row r="10" spans="1:2">
      <c r="A10" s="51" t="s">
        <v>680</v>
      </c>
      <c r="B10" t="s">
        <v>681</v>
      </c>
    </row>
    <row r="11" spans="1:2">
      <c r="A11" s="51" t="s">
        <v>682</v>
      </c>
      <c r="B11" t="s">
        <v>683</v>
      </c>
    </row>
    <row r="12" spans="1:2">
      <c r="A12" s="51" t="s">
        <v>684</v>
      </c>
      <c r="B12" t="s">
        <v>685</v>
      </c>
    </row>
    <row r="13" spans="1:2">
      <c r="A13" s="51" t="s">
        <v>686</v>
      </c>
      <c r="B13" t="s">
        <v>687</v>
      </c>
    </row>
    <row r="14" spans="1:2">
      <c r="A14" s="51" t="s">
        <v>688</v>
      </c>
      <c r="B14" t="s">
        <v>689</v>
      </c>
    </row>
    <row r="15" spans="1:2">
      <c r="A15" s="51" t="s">
        <v>690</v>
      </c>
      <c r="B15" t="s">
        <v>691</v>
      </c>
    </row>
  </sheetData>
  <phoneticPr fontId="3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G236"/>
  <sheetViews>
    <sheetView showGridLines="0" topLeftCell="A223" zoomScale="70" zoomScaleNormal="70" workbookViewId="0">
      <selection activeCell="D50" sqref="D50"/>
    </sheetView>
  </sheetViews>
  <sheetFormatPr defaultColWidth="11" defaultRowHeight="15"/>
  <cols>
    <col min="1" max="1" width="74.85546875" customWidth="1"/>
    <col min="2" max="2" width="27.140625" customWidth="1"/>
    <col min="3" max="3" width="20" customWidth="1"/>
    <col min="4" max="4" width="22.7109375" customWidth="1"/>
    <col min="5" max="5" width="16.42578125" customWidth="1"/>
    <col min="6" max="6" width="23.85546875" customWidth="1"/>
    <col min="7" max="7" width="12.42578125" customWidth="1"/>
    <col min="8" max="8" width="16.85546875" customWidth="1"/>
    <col min="9" max="9" width="13.5703125" customWidth="1"/>
    <col min="10" max="10" width="14.42578125" customWidth="1"/>
    <col min="11" max="11" width="11.28515625" customWidth="1"/>
    <col min="12" max="12" width="13.42578125" customWidth="1"/>
    <col min="13" max="13" width="11.42578125" customWidth="1"/>
    <col min="14" max="14" width="15.7109375" customWidth="1"/>
    <col min="15" max="15" width="15.5703125" customWidth="1"/>
    <col min="16" max="16" width="16.140625" customWidth="1"/>
    <col min="17" max="17" width="13.7109375" customWidth="1"/>
    <col min="18" max="18" width="14.85546875" customWidth="1"/>
    <col min="19" max="19" width="16" customWidth="1"/>
    <col min="20" max="20" width="11.42578125" hidden="1" customWidth="1"/>
    <col min="21" max="21" width="15.5703125" customWidth="1"/>
    <col min="22" max="22" width="11.42578125" customWidth="1"/>
    <col min="23" max="23" width="2.28515625" customWidth="1"/>
    <col min="24" max="24" width="1.140625" customWidth="1"/>
    <col min="25" max="25" width="3.28515625" customWidth="1"/>
    <col min="26" max="26" width="17" customWidth="1"/>
    <col min="27" max="27" width="15" customWidth="1"/>
    <col min="28" max="28" width="11.42578125" customWidth="1"/>
    <col min="29" max="29" width="13.5703125" customWidth="1"/>
    <col min="30" max="30" width="16.85546875" customWidth="1"/>
    <col min="31" max="31" width="11.42578125" customWidth="1"/>
    <col min="32" max="32" width="2" customWidth="1"/>
    <col min="33" max="33" width="3.28515625" customWidth="1"/>
    <col min="34" max="34" width="2.28515625" customWidth="1"/>
    <col min="35" max="35" width="40.7109375" customWidth="1"/>
    <col min="36" max="36" width="15.42578125" customWidth="1"/>
  </cols>
  <sheetData>
    <row r="1" spans="1:12" ht="29.25" customHeight="1">
      <c r="B1" s="1121"/>
      <c r="C1" s="1121"/>
    </row>
    <row r="2" spans="1:12" ht="15.75" customHeight="1">
      <c r="A2" s="649" t="s">
        <v>1</v>
      </c>
      <c r="B2" s="649"/>
      <c r="C2" s="649"/>
      <c r="D2" s="649"/>
      <c r="E2" s="649"/>
      <c r="F2" s="649"/>
      <c r="G2" s="649"/>
      <c r="H2" s="649"/>
      <c r="I2" s="649"/>
      <c r="J2" s="186"/>
      <c r="K2" s="186"/>
      <c r="L2" s="186"/>
    </row>
    <row r="3" spans="1:12" ht="4.5" customHeight="1"/>
    <row r="4" spans="1:12">
      <c r="A4" s="176" t="s">
        <v>2</v>
      </c>
      <c r="B4" s="647" t="s">
        <v>3</v>
      </c>
      <c r="C4" s="648"/>
      <c r="D4" s="650" t="s">
        <v>4</v>
      </c>
      <c r="E4" s="650"/>
      <c r="F4" s="462" t="s">
        <v>5</v>
      </c>
      <c r="G4" s="463"/>
      <c r="H4" s="463"/>
      <c r="I4" s="464"/>
    </row>
    <row r="5" spans="1:12" ht="3" customHeight="1">
      <c r="A5" s="176"/>
      <c r="D5" s="178"/>
      <c r="E5" s="178"/>
    </row>
    <row r="6" spans="1:12" ht="15" customHeight="1">
      <c r="A6" s="176" t="s">
        <v>6</v>
      </c>
      <c r="B6" s="647" t="s">
        <v>7</v>
      </c>
      <c r="C6" s="648"/>
      <c r="D6" s="650" t="s">
        <v>8</v>
      </c>
      <c r="E6" s="650"/>
      <c r="F6" s="200" t="s">
        <v>9</v>
      </c>
      <c r="G6" s="176" t="s">
        <v>10</v>
      </c>
      <c r="H6" s="651" t="s">
        <v>11</v>
      </c>
      <c r="I6" s="652"/>
      <c r="K6" s="143"/>
    </row>
    <row r="7" spans="1:12" ht="3" customHeight="1">
      <c r="A7" s="176"/>
      <c r="D7" s="178"/>
      <c r="E7" s="178"/>
      <c r="G7" s="176"/>
    </row>
    <row r="8" spans="1:12">
      <c r="A8" s="176" t="s">
        <v>12</v>
      </c>
      <c r="B8" s="647" t="s">
        <v>13</v>
      </c>
      <c r="C8" s="648"/>
      <c r="D8" s="178"/>
      <c r="E8" s="176" t="s">
        <v>14</v>
      </c>
      <c r="F8" s="467"/>
      <c r="G8" s="176" t="s">
        <v>15</v>
      </c>
      <c r="H8" s="647"/>
      <c r="I8" s="648"/>
    </row>
    <row r="9" spans="1:12" ht="3" customHeight="1">
      <c r="A9" s="178"/>
      <c r="D9" s="178"/>
      <c r="E9" s="178"/>
    </row>
    <row r="10" spans="1:12">
      <c r="A10" s="176" t="s">
        <v>16</v>
      </c>
      <c r="B10" s="653">
        <v>44197</v>
      </c>
      <c r="C10" s="654"/>
      <c r="D10" s="655" t="s">
        <v>17</v>
      </c>
      <c r="E10" s="657"/>
      <c r="F10" s="647" t="s">
        <v>18</v>
      </c>
      <c r="G10" s="659"/>
      <c r="H10" s="659"/>
      <c r="I10" s="648"/>
    </row>
    <row r="11" spans="1:12" ht="5.25" customHeight="1"/>
    <row r="12" spans="1:12" ht="15" customHeight="1">
      <c r="A12" s="176" t="s">
        <v>19</v>
      </c>
      <c r="B12" s="658" t="s">
        <v>20</v>
      </c>
      <c r="C12" s="658"/>
      <c r="D12" s="655" t="s">
        <v>21</v>
      </c>
      <c r="E12" s="650"/>
      <c r="F12" s="656" t="s">
        <v>22</v>
      </c>
      <c r="G12" s="656"/>
      <c r="H12" s="656"/>
      <c r="I12" s="656"/>
    </row>
    <row r="13" spans="1:12" ht="5.25" customHeight="1"/>
    <row r="14" spans="1:12" ht="15.75" customHeight="1">
      <c r="A14" s="649" t="s">
        <v>23</v>
      </c>
      <c r="B14" s="649"/>
      <c r="C14" s="649"/>
      <c r="D14" s="649"/>
      <c r="E14" s="649"/>
      <c r="F14" s="649"/>
      <c r="G14" s="649"/>
      <c r="H14" s="649"/>
      <c r="I14" s="649"/>
    </row>
    <row r="15" spans="1:12" ht="3" customHeight="1"/>
    <row r="16" spans="1:12">
      <c r="A16" s="176" t="s">
        <v>24</v>
      </c>
      <c r="B16" s="467" t="s">
        <v>25</v>
      </c>
      <c r="C16" s="176" t="s">
        <v>26</v>
      </c>
      <c r="D16" s="278">
        <v>44197</v>
      </c>
      <c r="E16" s="466" t="s">
        <v>27</v>
      </c>
      <c r="F16" s="278">
        <v>44561</v>
      </c>
      <c r="G16" s="655" t="s">
        <v>28</v>
      </c>
      <c r="H16" s="657"/>
      <c r="I16" s="465">
        <v>44694</v>
      </c>
    </row>
    <row r="17" spans="1:33" ht="3" customHeight="1"/>
    <row r="18" spans="1:33">
      <c r="A18" s="650" t="s">
        <v>29</v>
      </c>
      <c r="B18" s="657"/>
      <c r="C18" s="671" t="s">
        <v>13</v>
      </c>
      <c r="D18" s="671"/>
      <c r="E18" s="671"/>
    </row>
    <row r="19" spans="1:33" ht="3" customHeight="1"/>
    <row r="20" spans="1:33" ht="5.25" customHeight="1"/>
    <row r="21" spans="1:33" ht="15.75" customHeight="1">
      <c r="A21" s="649" t="s">
        <v>30</v>
      </c>
      <c r="B21" s="649"/>
      <c r="C21" s="649"/>
      <c r="D21" s="649"/>
      <c r="E21" s="649"/>
      <c r="F21" s="649"/>
      <c r="G21" s="649"/>
      <c r="H21" s="649"/>
      <c r="I21" s="649"/>
    </row>
    <row r="22" spans="1:33">
      <c r="A22" s="178" t="s">
        <v>31</v>
      </c>
    </row>
    <row r="23" spans="1:33" ht="3" customHeight="1"/>
    <row r="24" spans="1:33" ht="15.75" thickBot="1">
      <c r="A24" s="176" t="s">
        <v>32</v>
      </c>
      <c r="B24" s="232"/>
      <c r="C24" s="650" t="s">
        <v>33</v>
      </c>
      <c r="D24" s="650"/>
      <c r="E24" s="233"/>
      <c r="F24" s="650" t="s">
        <v>34</v>
      </c>
      <c r="G24" s="650"/>
      <c r="H24" s="669"/>
      <c r="I24" s="670"/>
    </row>
    <row r="25" spans="1:33" ht="19.5" thickBot="1">
      <c r="A25" s="61" t="s">
        <v>32</v>
      </c>
      <c r="B25" s="62"/>
      <c r="C25" s="62"/>
      <c r="D25" s="62"/>
      <c r="E25" s="62"/>
      <c r="F25" s="62"/>
      <c r="G25" s="177"/>
      <c r="H25" s="390"/>
      <c r="I25" s="390"/>
      <c r="J25" s="391" t="s">
        <v>35</v>
      </c>
      <c r="K25" s="392"/>
      <c r="L25" s="392"/>
      <c r="M25" s="392"/>
      <c r="N25" s="393"/>
      <c r="AG25" s="29"/>
    </row>
    <row r="26" spans="1:33">
      <c r="A26" s="660" t="s">
        <v>36</v>
      </c>
      <c r="B26" s="1122"/>
      <c r="C26" s="237" t="s">
        <v>37</v>
      </c>
      <c r="D26" s="64"/>
      <c r="E26" s="64"/>
      <c r="F26" s="64"/>
      <c r="G26" s="64"/>
      <c r="H26" s="64"/>
      <c r="I26" s="394"/>
      <c r="J26" s="64"/>
      <c r="K26" s="64"/>
      <c r="L26" s="64"/>
      <c r="M26" s="25"/>
      <c r="N26" s="25"/>
      <c r="AG26" s="29"/>
    </row>
    <row r="27" spans="1:33" ht="18.75">
      <c r="A27" s="63" t="s">
        <v>38</v>
      </c>
      <c r="B27" s="64"/>
      <c r="C27" s="64"/>
      <c r="D27" s="64"/>
      <c r="E27" s="64"/>
      <c r="F27" s="64"/>
      <c r="G27" s="64"/>
      <c r="H27" s="64"/>
      <c r="I27" s="394"/>
      <c r="J27" s="64"/>
      <c r="K27" s="64"/>
      <c r="L27" s="64"/>
      <c r="M27" s="25"/>
      <c r="N27" s="25"/>
      <c r="AG27" s="29"/>
    </row>
    <row r="28" spans="1:33" ht="15.75" thickBot="1"/>
    <row r="29" spans="1:33" ht="15.75" thickBot="1">
      <c r="A29" s="666" t="s">
        <v>39</v>
      </c>
      <c r="B29" s="667"/>
      <c r="C29" s="667"/>
      <c r="D29" s="667"/>
      <c r="E29" s="667"/>
      <c r="F29" s="667"/>
      <c r="G29" s="667"/>
      <c r="H29" s="667"/>
      <c r="I29" s="667"/>
      <c r="J29" s="667"/>
      <c r="K29" s="667"/>
      <c r="L29" s="667"/>
      <c r="M29" s="668"/>
      <c r="O29" s="147"/>
      <c r="P29" s="148"/>
      <c r="Q29" s="149">
        <f>+B33</f>
        <v>10781955</v>
      </c>
    </row>
    <row r="30" spans="1:33">
      <c r="A30" s="65" t="s">
        <v>24</v>
      </c>
      <c r="B30" s="220" t="s">
        <v>25</v>
      </c>
      <c r="C30" s="220" t="s">
        <v>40</v>
      </c>
      <c r="D30" s="220" t="s">
        <v>41</v>
      </c>
      <c r="E30" s="220" t="s">
        <v>42</v>
      </c>
      <c r="F30" s="220" t="s">
        <v>43</v>
      </c>
      <c r="G30" s="220" t="s">
        <v>44</v>
      </c>
      <c r="H30" s="220" t="s">
        <v>45</v>
      </c>
      <c r="I30" s="220" t="s">
        <v>46</v>
      </c>
      <c r="J30" s="220" t="s">
        <v>47</v>
      </c>
      <c r="K30" s="220" t="s">
        <v>48</v>
      </c>
      <c r="L30" s="220" t="s">
        <v>49</v>
      </c>
      <c r="M30" s="221" t="s">
        <v>50</v>
      </c>
      <c r="N30" s="222" t="s">
        <v>51</v>
      </c>
      <c r="O30" s="147"/>
      <c r="P30" s="148"/>
      <c r="Q30" s="149">
        <f>+C33</f>
        <v>0</v>
      </c>
    </row>
    <row r="31" spans="1:33">
      <c r="A31" s="184" t="s">
        <v>52</v>
      </c>
      <c r="B31" s="581">
        <v>10781955</v>
      </c>
      <c r="C31" s="227"/>
      <c r="D31" s="227"/>
      <c r="E31" s="304"/>
      <c r="F31" s="304"/>
      <c r="G31" s="304"/>
      <c r="H31" s="305"/>
      <c r="I31" s="304"/>
      <c r="J31" s="304"/>
      <c r="K31" s="227"/>
      <c r="L31" s="306"/>
      <c r="M31" s="227"/>
      <c r="N31" s="608"/>
      <c r="O31" s="147"/>
      <c r="P31" s="148"/>
      <c r="Q31" s="149">
        <f>+D33</f>
        <v>0</v>
      </c>
    </row>
    <row r="32" spans="1:33">
      <c r="A32" s="65" t="str">
        <f>CONCATENATE("Выплаты ГФ (в ", $C$26,")")</f>
        <v>Выплаты ГФ (в $)</v>
      </c>
      <c r="B32" s="581">
        <v>18761018</v>
      </c>
      <c r="C32" s="228"/>
      <c r="D32" s="228"/>
      <c r="E32" s="228"/>
      <c r="F32" s="228"/>
      <c r="G32" s="228"/>
      <c r="H32" s="293"/>
      <c r="I32" s="227"/>
      <c r="J32" s="227"/>
      <c r="K32" s="227"/>
      <c r="L32" s="227"/>
      <c r="M32" s="227"/>
      <c r="N32" s="609"/>
      <c r="O32" s="147"/>
      <c r="P32" s="148"/>
      <c r="Q32" s="149">
        <f>+E33</f>
        <v>0</v>
      </c>
    </row>
    <row r="33" spans="1:17">
      <c r="A33" s="66" t="s">
        <v>53</v>
      </c>
      <c r="B33" s="229">
        <f>+B31</f>
        <v>10781955</v>
      </c>
      <c r="C33" s="229"/>
      <c r="D33" s="229"/>
      <c r="E33" s="229"/>
      <c r="F33" s="229"/>
      <c r="G33" s="302"/>
      <c r="H33" s="302"/>
      <c r="I33" s="302"/>
      <c r="J33" s="302"/>
      <c r="K33" s="302"/>
      <c r="L33" s="307"/>
      <c r="M33" s="229"/>
      <c r="N33" s="609"/>
      <c r="O33" s="217"/>
      <c r="P33" s="148"/>
      <c r="Q33" s="149">
        <f>+F33</f>
        <v>0</v>
      </c>
    </row>
    <row r="34" spans="1:17" ht="15.75" thickBot="1">
      <c r="A34" s="67" t="s">
        <v>54</v>
      </c>
      <c r="B34" s="230">
        <f>+B32</f>
        <v>18761018</v>
      </c>
      <c r="C34" s="230"/>
      <c r="D34" s="230"/>
      <c r="E34" s="230"/>
      <c r="F34" s="230"/>
      <c r="G34" s="303"/>
      <c r="H34" s="303"/>
      <c r="I34" s="303"/>
      <c r="J34" s="303"/>
      <c r="K34" s="303"/>
      <c r="L34" s="308"/>
      <c r="M34" s="230"/>
      <c r="N34" s="610"/>
      <c r="O34" s="217"/>
      <c r="P34" s="148"/>
      <c r="Q34" s="149">
        <f>+G33</f>
        <v>0</v>
      </c>
    </row>
    <row r="35" spans="1:17">
      <c r="B35" s="209">
        <f>+IF(AND(B30=$B$16,B33&lt;&gt;0),B34/B33,0)</f>
        <v>1.7400386108085222</v>
      </c>
      <c r="C35" s="209">
        <f t="shared" ref="C35:M35" si="0">+IF(AND(C30=$B$16,C33&lt;&gt;0),C34/C33,0)</f>
        <v>0</v>
      </c>
      <c r="D35" s="209">
        <f t="shared" si="0"/>
        <v>0</v>
      </c>
      <c r="E35" s="209">
        <f>+IF(AND(E30=$B$16,E33&lt;&gt;0),E34/E33,0)</f>
        <v>0</v>
      </c>
      <c r="F35" s="209">
        <f t="shared" si="0"/>
        <v>0</v>
      </c>
      <c r="G35" s="209">
        <f t="shared" si="0"/>
        <v>0</v>
      </c>
      <c r="H35" s="209">
        <f t="shared" si="0"/>
        <v>0</v>
      </c>
      <c r="I35" s="209">
        <f t="shared" si="0"/>
        <v>0</v>
      </c>
      <c r="J35" s="209">
        <f t="shared" si="0"/>
        <v>0</v>
      </c>
      <c r="K35" s="209">
        <f t="shared" si="0"/>
        <v>0</v>
      </c>
      <c r="L35" s="209">
        <f t="shared" si="0"/>
        <v>0</v>
      </c>
      <c r="M35" s="209">
        <f t="shared" si="0"/>
        <v>0</v>
      </c>
      <c r="N35" s="143"/>
      <c r="O35" s="150"/>
      <c r="P35" s="148"/>
      <c r="Q35" s="149">
        <f>+H33</f>
        <v>0</v>
      </c>
    </row>
    <row r="36" spans="1:17" ht="18.75">
      <c r="A36" s="63" t="s">
        <v>55</v>
      </c>
      <c r="D36" s="214"/>
      <c r="F36" s="175"/>
      <c r="M36" s="26"/>
      <c r="N36" s="26"/>
    </row>
    <row r="37" spans="1:17" ht="15.75" thickBot="1">
      <c r="M37" s="15"/>
      <c r="N37" s="15"/>
    </row>
    <row r="38" spans="1:17" ht="30" customHeight="1">
      <c r="A38" s="258"/>
      <c r="B38" s="395" t="str">
        <f>CONCATENATE("Общий бюджет (в ",'Ввод данных'!$C$26,")")</f>
        <v>Общий бюджет (в $)</v>
      </c>
      <c r="C38" s="396" t="str">
        <f>CONCATENATE("Общие расходы (в ",'Ввод данных'!$C$26,")")</f>
        <v>Общие расходы (в $)</v>
      </c>
      <c r="D38" s="181"/>
      <c r="E38" s="181" t="s">
        <v>56</v>
      </c>
      <c r="I38" s="27"/>
      <c r="J38" s="27"/>
    </row>
    <row r="39" spans="1:17">
      <c r="A39" s="586" t="s">
        <v>57</v>
      </c>
      <c r="B39" s="589">
        <v>15807.17</v>
      </c>
      <c r="C39" s="590">
        <v>0</v>
      </c>
      <c r="D39" t="s">
        <v>58</v>
      </c>
      <c r="F39" s="219"/>
      <c r="I39" s="28"/>
      <c r="J39" s="28"/>
    </row>
    <row r="40" spans="1:17">
      <c r="A40" s="587" t="s">
        <v>59</v>
      </c>
      <c r="B40" s="591">
        <v>761063.4</v>
      </c>
      <c r="C40" s="592">
        <v>346865</v>
      </c>
      <c r="D40" t="s">
        <v>60</v>
      </c>
      <c r="F40" s="219"/>
      <c r="I40" s="28"/>
      <c r="J40" s="28"/>
    </row>
    <row r="41" spans="1:17">
      <c r="A41" s="587" t="s">
        <v>61</v>
      </c>
      <c r="B41" s="591">
        <v>139709.54999999999</v>
      </c>
      <c r="C41" s="592">
        <v>47791.06</v>
      </c>
      <c r="D41" t="s">
        <v>62</v>
      </c>
      <c r="F41" s="219"/>
      <c r="I41" s="28"/>
      <c r="J41" s="28"/>
    </row>
    <row r="42" spans="1:17" ht="30">
      <c r="A42" s="587" t="s">
        <v>63</v>
      </c>
      <c r="B42" s="591">
        <v>20733.79</v>
      </c>
      <c r="C42" s="592">
        <v>11055.14</v>
      </c>
      <c r="D42" t="s">
        <v>64</v>
      </c>
      <c r="F42" s="219"/>
      <c r="I42" s="28"/>
      <c r="J42" s="28"/>
    </row>
    <row r="43" spans="1:17">
      <c r="A43" s="587" t="s">
        <v>65</v>
      </c>
      <c r="B43" s="591">
        <v>1591507.76</v>
      </c>
      <c r="C43" s="592">
        <v>14879</v>
      </c>
      <c r="D43" t="s">
        <v>66</v>
      </c>
      <c r="F43" s="219"/>
      <c r="I43" s="28"/>
      <c r="J43" s="28"/>
    </row>
    <row r="44" spans="1:17">
      <c r="A44" s="587" t="s">
        <v>67</v>
      </c>
      <c r="B44" s="591">
        <v>348519.53</v>
      </c>
      <c r="C44" s="592">
        <v>17681.227470000002</v>
      </c>
      <c r="D44" t="s">
        <v>68</v>
      </c>
      <c r="F44" s="219"/>
      <c r="I44" s="28"/>
      <c r="J44" s="28"/>
    </row>
    <row r="45" spans="1:17">
      <c r="A45" s="587" t="s">
        <v>69</v>
      </c>
      <c r="B45" s="591">
        <v>374207.03</v>
      </c>
      <c r="C45" s="592">
        <v>215</v>
      </c>
      <c r="D45" t="s">
        <v>70</v>
      </c>
      <c r="F45" s="219"/>
      <c r="I45" s="28"/>
      <c r="J45" s="28"/>
    </row>
    <row r="46" spans="1:17">
      <c r="A46" s="587" t="s">
        <v>71</v>
      </c>
      <c r="B46" s="591">
        <v>7502.14</v>
      </c>
      <c r="C46" s="592">
        <v>0</v>
      </c>
      <c r="D46" t="s">
        <v>72</v>
      </c>
      <c r="F46" s="219"/>
      <c r="I46" s="28"/>
      <c r="J46" s="28"/>
    </row>
    <row r="47" spans="1:17">
      <c r="A47" s="587" t="s">
        <v>73</v>
      </c>
      <c r="B47" s="591">
        <v>408795.49</v>
      </c>
      <c r="C47" s="592">
        <v>315495</v>
      </c>
      <c r="D47" t="s">
        <v>74</v>
      </c>
      <c r="F47" s="219"/>
      <c r="I47" s="28"/>
      <c r="J47" s="28"/>
    </row>
    <row r="48" spans="1:17">
      <c r="A48" s="587" t="s">
        <v>75</v>
      </c>
      <c r="B48" s="591">
        <v>312622.76</v>
      </c>
      <c r="C48" s="592">
        <v>224687</v>
      </c>
      <c r="D48" t="s">
        <v>76</v>
      </c>
      <c r="F48" s="219"/>
      <c r="I48" s="28"/>
      <c r="J48" s="28"/>
    </row>
    <row r="49" spans="1:15" ht="30.75">
      <c r="A49" s="587" t="s">
        <v>77</v>
      </c>
      <c r="B49" s="591">
        <v>339227.82</v>
      </c>
      <c r="C49" s="592">
        <v>106629</v>
      </c>
      <c r="D49" t="s">
        <v>78</v>
      </c>
      <c r="F49" s="219"/>
      <c r="I49" s="28"/>
      <c r="J49" s="28"/>
    </row>
    <row r="50" spans="1:15">
      <c r="A50" s="587" t="s">
        <v>79</v>
      </c>
      <c r="B50" s="591">
        <v>1427120.98</v>
      </c>
      <c r="C50" s="592">
        <v>519918</v>
      </c>
      <c r="D50" t="s">
        <v>80</v>
      </c>
      <c r="F50" s="219"/>
      <c r="I50" s="28"/>
      <c r="J50" s="28"/>
    </row>
    <row r="51" spans="1:15">
      <c r="A51" s="588" t="s">
        <v>81</v>
      </c>
      <c r="B51" s="591">
        <v>976229.21</v>
      </c>
      <c r="C51" s="592">
        <v>758364</v>
      </c>
      <c r="D51" t="s">
        <v>82</v>
      </c>
      <c r="E51" s="219"/>
      <c r="F51" s="219"/>
      <c r="I51" s="28"/>
      <c r="J51" s="28"/>
    </row>
    <row r="52" spans="1:15">
      <c r="A52" s="587" t="s">
        <v>83</v>
      </c>
      <c r="B52" s="591">
        <v>314509.64</v>
      </c>
      <c r="C52" s="592">
        <v>169030</v>
      </c>
      <c r="D52" t="s">
        <v>84</v>
      </c>
      <c r="E52" s="218"/>
      <c r="F52" s="219"/>
      <c r="I52" s="28"/>
      <c r="J52" s="28"/>
    </row>
    <row r="53" spans="1:15">
      <c r="A53" s="587" t="s">
        <v>85</v>
      </c>
      <c r="B53" s="591">
        <v>572610.6</v>
      </c>
      <c r="C53" s="592">
        <v>532630</v>
      </c>
      <c r="D53" t="s">
        <v>86</v>
      </c>
      <c r="E53" s="218"/>
      <c r="F53" s="219"/>
      <c r="I53" s="28"/>
      <c r="J53" s="28"/>
    </row>
    <row r="54" spans="1:15">
      <c r="A54" s="587" t="s">
        <v>87</v>
      </c>
      <c r="B54" s="591">
        <v>221008.27</v>
      </c>
      <c r="C54" s="592">
        <v>146490</v>
      </c>
      <c r="D54" t="s">
        <v>88</v>
      </c>
      <c r="E54" s="218"/>
      <c r="F54" s="219"/>
      <c r="I54" s="28"/>
      <c r="J54" s="28"/>
    </row>
    <row r="55" spans="1:15">
      <c r="A55" s="587" t="s">
        <v>89</v>
      </c>
      <c r="B55" s="591">
        <v>33428.31</v>
      </c>
      <c r="C55" s="592">
        <v>2724</v>
      </c>
      <c r="D55" t="s">
        <v>90</v>
      </c>
      <c r="E55" s="218"/>
      <c r="F55" s="219"/>
      <c r="I55" s="28"/>
      <c r="J55" s="28"/>
    </row>
    <row r="56" spans="1:15">
      <c r="A56" s="587" t="s">
        <v>91</v>
      </c>
      <c r="B56" s="591">
        <v>165311.34</v>
      </c>
      <c r="C56" s="592">
        <v>76045</v>
      </c>
      <c r="D56" t="s">
        <v>92</v>
      </c>
      <c r="E56" s="218"/>
      <c r="F56" s="219"/>
      <c r="I56" s="28"/>
      <c r="J56" s="28"/>
    </row>
    <row r="57" spans="1:15">
      <c r="A57" s="587" t="s">
        <v>93</v>
      </c>
      <c r="B57" s="591">
        <v>158538.04999999999</v>
      </c>
      <c r="C57" s="592">
        <v>100504</v>
      </c>
      <c r="D57" t="s">
        <v>94</v>
      </c>
      <c r="E57" s="218"/>
      <c r="F57" s="219"/>
      <c r="I57" s="28"/>
      <c r="J57" s="28"/>
    </row>
    <row r="58" spans="1:15">
      <c r="A58" s="587" t="s">
        <v>95</v>
      </c>
      <c r="B58" s="591">
        <v>100551.08</v>
      </c>
      <c r="C58" s="592">
        <v>159554</v>
      </c>
      <c r="D58" t="s">
        <v>96</v>
      </c>
      <c r="E58" s="218"/>
      <c r="F58" s="219"/>
      <c r="I58" s="28"/>
      <c r="J58" s="28"/>
    </row>
    <row r="59" spans="1:15">
      <c r="A59" s="587" t="s">
        <v>97</v>
      </c>
      <c r="B59" s="591">
        <v>120606.67</v>
      </c>
      <c r="C59" s="592">
        <v>144608</v>
      </c>
      <c r="D59" t="s">
        <v>98</v>
      </c>
      <c r="E59" s="218"/>
      <c r="F59" s="219"/>
      <c r="I59" s="28"/>
      <c r="J59" s="28"/>
    </row>
    <row r="60" spans="1:15">
      <c r="A60" s="587" t="s">
        <v>99</v>
      </c>
      <c r="B60" s="591">
        <v>131957.82</v>
      </c>
      <c r="C60" s="592">
        <v>22746</v>
      </c>
      <c r="D60" t="s">
        <v>100</v>
      </c>
      <c r="E60" s="218"/>
      <c r="F60" s="219"/>
      <c r="I60" s="28"/>
      <c r="J60" s="28"/>
    </row>
    <row r="61" spans="1:15">
      <c r="A61" s="587" t="s">
        <v>101</v>
      </c>
      <c r="B61" s="591">
        <v>125445.79</v>
      </c>
      <c r="C61" s="592">
        <v>72216</v>
      </c>
      <c r="D61" t="s">
        <v>102</v>
      </c>
      <c r="E61" s="218"/>
      <c r="F61" s="219"/>
      <c r="I61" s="28"/>
      <c r="J61" s="28"/>
    </row>
    <row r="62" spans="1:15">
      <c r="A62" s="587" t="s">
        <v>103</v>
      </c>
      <c r="B62" s="593">
        <v>2114940.92</v>
      </c>
      <c r="C62" s="592">
        <v>1927645.817</v>
      </c>
      <c r="D62" t="s">
        <v>104</v>
      </c>
      <c r="E62" s="218"/>
      <c r="F62" s="219"/>
      <c r="J62" s="28"/>
    </row>
    <row r="63" spans="1:15" ht="15.75" thickBot="1">
      <c r="A63" s="234"/>
      <c r="B63" s="294"/>
      <c r="C63" s="300"/>
      <c r="D63" s="179"/>
      <c r="E63" s="218"/>
      <c r="J63" s="28"/>
    </row>
    <row r="64" spans="1:15" ht="15.75" thickBot="1">
      <c r="A64" s="235" t="s">
        <v>105</v>
      </c>
      <c r="B64" s="348">
        <f>SUM(B39:B63)</f>
        <v>10781955.119999997</v>
      </c>
      <c r="C64" s="459">
        <f>SUM(C39:C63)</f>
        <v>5717772.2444700003</v>
      </c>
      <c r="E64" s="618" t="str">
        <f ca="1">+IF((ROUND(B64,0)=ROUND(OFFSET(A31,0,RIGHT('Ввод данных'!$B$16,LEN('Ввод данных'!$B$16)-1),1,1),0)),"Все правильно: данные верны","Предупреждение: данные не совпадают")</f>
        <v>Все правильно: данные верны</v>
      </c>
      <c r="F64" s="619"/>
      <c r="G64" s="619"/>
      <c r="H64" s="620"/>
      <c r="I64" s="143"/>
      <c r="J64" s="143"/>
      <c r="K64" s="143"/>
      <c r="L64" s="150"/>
      <c r="M64" s="148"/>
      <c r="N64" s="149"/>
      <c r="O64" s="147"/>
    </row>
    <row r="65" spans="1:17">
      <c r="B65" s="143"/>
      <c r="C65" s="143"/>
      <c r="E65" s="143"/>
      <c r="F65" s="143"/>
      <c r="G65" s="143"/>
      <c r="H65" s="143"/>
      <c r="I65" s="143"/>
      <c r="J65" s="143"/>
      <c r="K65" s="143"/>
      <c r="L65" s="143"/>
      <c r="M65" s="143"/>
      <c r="N65" s="143"/>
      <c r="O65" s="150"/>
      <c r="P65" s="148"/>
      <c r="Q65" s="149"/>
    </row>
    <row r="66" spans="1:17" ht="18.75">
      <c r="A66" s="63" t="s">
        <v>106</v>
      </c>
      <c r="C66" s="143"/>
      <c r="D66" s="143"/>
      <c r="O66" s="147"/>
      <c r="P66" s="148"/>
      <c r="Q66" s="149">
        <f>+I33</f>
        <v>0</v>
      </c>
    </row>
    <row r="67" spans="1:17" ht="15.75" thickBot="1">
      <c r="O67" s="147"/>
      <c r="P67" s="148"/>
      <c r="Q67" s="149">
        <f>+J33</f>
        <v>0</v>
      </c>
    </row>
    <row r="68" spans="1:17" ht="51" customHeight="1">
      <c r="A68" s="282"/>
      <c r="B68" s="283" t="s">
        <v>107</v>
      </c>
      <c r="C68" s="283" t="s">
        <v>108</v>
      </c>
      <c r="D68" s="284" t="str">
        <f>CONCATENATE("Всего израсходовано и выплачено (в ",C26,")")</f>
        <v>Всего израсходовано и выплачено (в $)</v>
      </c>
      <c r="F68" s="190"/>
      <c r="G68" s="397"/>
      <c r="H68" s="185"/>
      <c r="I68" s="185"/>
      <c r="J68" s="185"/>
      <c r="K68" s="185"/>
      <c r="L68" s="14"/>
      <c r="M68" s="14"/>
      <c r="N68" s="147"/>
      <c r="O68" s="148"/>
      <c r="P68" s="149">
        <f>+L33</f>
        <v>0</v>
      </c>
      <c r="Q68" s="147"/>
    </row>
    <row r="69" spans="1:17">
      <c r="A69" s="285" t="s">
        <v>109</v>
      </c>
      <c r="B69" s="309">
        <v>0</v>
      </c>
      <c r="C69" s="582">
        <v>18761018</v>
      </c>
      <c r="D69" s="287">
        <f>+C69+B69</f>
        <v>18761018</v>
      </c>
      <c r="F69" s="69"/>
      <c r="G69" s="188"/>
      <c r="H69" s="68"/>
      <c r="I69" s="145"/>
      <c r="J69" s="146"/>
      <c r="K69" s="70"/>
      <c r="L69" s="23"/>
      <c r="M69" s="23"/>
      <c r="N69" s="147"/>
      <c r="O69" s="147"/>
      <c r="P69" s="147"/>
      <c r="Q69" s="147"/>
    </row>
    <row r="70" spans="1:17">
      <c r="A70" s="285" t="s">
        <v>110</v>
      </c>
      <c r="B70" s="309">
        <v>0</v>
      </c>
      <c r="C70" s="583">
        <v>3823162</v>
      </c>
      <c r="D70" s="287">
        <f>+C70+B70</f>
        <v>3823162</v>
      </c>
      <c r="F70" s="170"/>
      <c r="G70" s="188"/>
      <c r="H70" s="68"/>
      <c r="I70" s="145"/>
      <c r="J70" s="145"/>
      <c r="K70" s="70"/>
      <c r="L70" s="24"/>
      <c r="M70" s="24"/>
      <c r="N70" s="147"/>
      <c r="O70" s="147"/>
      <c r="P70" s="147"/>
      <c r="Q70" s="147"/>
    </row>
    <row r="71" spans="1:17">
      <c r="A71" s="285" t="s">
        <v>111</v>
      </c>
      <c r="B71" s="309">
        <v>0</v>
      </c>
      <c r="C71" s="583">
        <v>1971063</v>
      </c>
      <c r="D71" s="287">
        <f>+C71+B71</f>
        <v>1971063</v>
      </c>
      <c r="F71" s="69"/>
      <c r="G71" s="188"/>
      <c r="H71" s="68"/>
      <c r="I71" s="145"/>
      <c r="J71" s="146"/>
      <c r="K71" s="70"/>
      <c r="L71" s="23"/>
      <c r="M71" s="23"/>
    </row>
    <row r="72" spans="1:17">
      <c r="A72" s="286" t="s">
        <v>112</v>
      </c>
      <c r="B72" s="309">
        <v>0</v>
      </c>
      <c r="C72" s="583">
        <v>1894611</v>
      </c>
      <c r="D72" s="288">
        <f>+C72+B72</f>
        <v>1894611</v>
      </c>
      <c r="E72" s="143"/>
      <c r="F72" s="171"/>
      <c r="G72" s="189"/>
      <c r="H72" s="71"/>
      <c r="I72" s="71"/>
      <c r="J72" s="71"/>
      <c r="K72" s="70"/>
      <c r="L72" s="24"/>
      <c r="M72" s="24"/>
    </row>
    <row r="73" spans="1:17" ht="15.75" customHeight="1">
      <c r="C73" s="143"/>
      <c r="E73" s="143"/>
    </row>
    <row r="74" spans="1:17">
      <c r="C74" s="281"/>
    </row>
    <row r="75" spans="1:17" ht="18.75">
      <c r="A75" s="63" t="s">
        <v>113</v>
      </c>
      <c r="C75" s="143"/>
    </row>
    <row r="76" spans="1:17" ht="15.75" thickBot="1"/>
    <row r="77" spans="1:17" ht="15.75" customHeight="1" thickBot="1">
      <c r="A77" s="663" t="s">
        <v>114</v>
      </c>
      <c r="B77" s="664"/>
      <c r="C77" s="665"/>
      <c r="D77" s="299"/>
    </row>
    <row r="78" spans="1:17">
      <c r="A78" s="295"/>
      <c r="B78" s="269"/>
      <c r="C78" s="279" t="s">
        <v>115</v>
      </c>
      <c r="D78" s="296" t="s">
        <v>116</v>
      </c>
    </row>
    <row r="79" spans="1:17">
      <c r="A79" s="191" t="s">
        <v>117</v>
      </c>
      <c r="B79" s="30"/>
      <c r="C79" s="310">
        <v>116</v>
      </c>
      <c r="D79" s="460">
        <v>116</v>
      </c>
    </row>
    <row r="80" spans="1:17">
      <c r="A80" s="191" t="s">
        <v>118</v>
      </c>
      <c r="B80" s="30"/>
      <c r="C80" s="310" t="s">
        <v>119</v>
      </c>
      <c r="D80" s="461" t="s">
        <v>119</v>
      </c>
      <c r="G80" s="188"/>
      <c r="H80" s="188"/>
    </row>
    <row r="81" spans="1:15" ht="15.75" thickBot="1">
      <c r="A81" s="297" t="s">
        <v>120</v>
      </c>
      <c r="B81" s="298"/>
      <c r="C81" s="311" t="s">
        <v>119</v>
      </c>
      <c r="D81" s="461" t="s">
        <v>119</v>
      </c>
      <c r="G81" s="188"/>
      <c r="H81" s="188"/>
    </row>
    <row r="83" spans="1:15" ht="15.75" thickBot="1"/>
    <row r="84" spans="1:15" ht="31.5" customHeight="1" thickBot="1">
      <c r="A84" s="73" t="s">
        <v>121</v>
      </c>
      <c r="B84" s="74"/>
      <c r="C84" s="74"/>
      <c r="D84" s="74"/>
      <c r="E84" s="74"/>
      <c r="F84" s="74"/>
      <c r="G84" s="398" t="s">
        <v>122</v>
      </c>
      <c r="H84" s="399"/>
      <c r="I84" s="400"/>
      <c r="J84" s="400"/>
      <c r="K84" s="401"/>
      <c r="L84" s="75"/>
      <c r="M84" s="59"/>
      <c r="N84" s="59"/>
      <c r="O84" s="59"/>
    </row>
    <row r="85" spans="1:15" ht="18.75">
      <c r="A85" s="76"/>
      <c r="B85" s="75"/>
      <c r="C85" s="75"/>
      <c r="D85" s="75"/>
      <c r="E85" s="75"/>
      <c r="F85" s="75"/>
      <c r="G85" s="75"/>
      <c r="H85" s="75"/>
      <c r="I85" s="75"/>
      <c r="J85" s="77"/>
      <c r="K85" s="77"/>
      <c r="L85" s="75"/>
      <c r="M85" s="59"/>
      <c r="N85" s="59"/>
      <c r="O85" s="59"/>
    </row>
    <row r="86" spans="1:15" ht="18.75">
      <c r="A86" s="76" t="s">
        <v>123</v>
      </c>
      <c r="B86" s="75"/>
      <c r="C86" s="75"/>
      <c r="D86" s="75"/>
      <c r="E86" s="75"/>
      <c r="F86" s="75"/>
      <c r="G86" s="75"/>
      <c r="H86" s="75"/>
      <c r="I86" s="75"/>
      <c r="J86" s="77"/>
      <c r="K86" s="77"/>
      <c r="L86" s="75"/>
      <c r="M86" s="59"/>
      <c r="N86" s="59"/>
      <c r="O86" s="59"/>
    </row>
    <row r="87" spans="1:15" ht="15.75" thickBot="1">
      <c r="B87" s="78"/>
      <c r="C87" s="78"/>
      <c r="D87" s="78"/>
      <c r="E87" s="78"/>
      <c r="F87" s="78"/>
      <c r="H87" s="78"/>
    </row>
    <row r="88" spans="1:15" ht="45">
      <c r="A88" s="661"/>
      <c r="B88" s="662"/>
      <c r="C88" s="79" t="s">
        <v>124</v>
      </c>
      <c r="D88" s="80" t="s">
        <v>125</v>
      </c>
      <c r="E88" s="249" t="s">
        <v>126</v>
      </c>
      <c r="F88" s="250" t="s">
        <v>127</v>
      </c>
      <c r="G88" s="402"/>
      <c r="H88" s="403"/>
    </row>
    <row r="89" spans="1:15">
      <c r="A89" s="621" t="s">
        <v>128</v>
      </c>
      <c r="B89" s="622"/>
      <c r="C89" s="172">
        <v>0</v>
      </c>
      <c r="D89" s="172">
        <v>0</v>
      </c>
      <c r="E89" s="172">
        <v>0</v>
      </c>
      <c r="F89" s="81"/>
      <c r="G89" s="402"/>
      <c r="H89" s="403"/>
    </row>
    <row r="90" spans="1:15" ht="15.75" thickBot="1">
      <c r="A90" s="623" t="s">
        <v>129</v>
      </c>
      <c r="B90" s="624"/>
      <c r="C90" s="172">
        <v>0</v>
      </c>
      <c r="D90" s="172">
        <v>0</v>
      </c>
      <c r="E90" s="172">
        <v>0</v>
      </c>
      <c r="F90" s="172">
        <v>0</v>
      </c>
      <c r="G90" s="402"/>
      <c r="H90" s="403"/>
    </row>
    <row r="91" spans="1:15">
      <c r="A91" s="621" t="s">
        <v>130</v>
      </c>
      <c r="B91" s="622"/>
      <c r="C91" s="172">
        <v>0</v>
      </c>
      <c r="D91" s="172">
        <v>0</v>
      </c>
      <c r="E91" s="172">
        <v>0</v>
      </c>
      <c r="F91" s="81">
        <f>SUM(C91:E91)</f>
        <v>0</v>
      </c>
      <c r="G91" s="187"/>
      <c r="H91" s="198"/>
      <c r="I91" s="198"/>
    </row>
    <row r="92" spans="1:15" ht="15.75" thickBot="1">
      <c r="A92" s="623" t="s">
        <v>131</v>
      </c>
      <c r="B92" s="624"/>
      <c r="C92" s="173">
        <v>0</v>
      </c>
      <c r="D92" s="173">
        <v>0</v>
      </c>
      <c r="E92" s="173">
        <v>0</v>
      </c>
      <c r="F92" s="82">
        <f>SUM(C92:E92)</f>
        <v>0</v>
      </c>
      <c r="G92" s="187"/>
    </row>
    <row r="95" spans="1:15" ht="18.75">
      <c r="A95" s="76" t="s">
        <v>132</v>
      </c>
    </row>
    <row r="96" spans="1:15" ht="15.75" thickBot="1"/>
    <row r="97" spans="1:8">
      <c r="A97" s="342" t="s">
        <v>133</v>
      </c>
      <c r="B97" s="248" t="s">
        <v>134</v>
      </c>
      <c r="C97" s="248" t="s">
        <v>135</v>
      </c>
      <c r="D97" s="83" t="s">
        <v>136</v>
      </c>
      <c r="H97" s="403"/>
    </row>
    <row r="98" spans="1:8" ht="15.75" thickBot="1">
      <c r="A98" s="270" t="s">
        <v>137</v>
      </c>
      <c r="B98" s="172">
        <v>5</v>
      </c>
      <c r="C98" s="172">
        <v>4</v>
      </c>
      <c r="D98" s="172">
        <f>B98-C98</f>
        <v>1</v>
      </c>
      <c r="H98" s="403"/>
    </row>
    <row r="99" spans="1:8" ht="15.75" thickBot="1">
      <c r="A99" s="270" t="s">
        <v>138</v>
      </c>
      <c r="B99" s="442">
        <v>2</v>
      </c>
      <c r="C99" s="172">
        <v>2</v>
      </c>
      <c r="D99" s="172">
        <v>0</v>
      </c>
      <c r="H99" s="403"/>
    </row>
    <row r="100" spans="1:8" ht="15.75" thickBot="1">
      <c r="A100" s="270" t="s">
        <v>139</v>
      </c>
      <c r="B100" s="442">
        <v>17</v>
      </c>
      <c r="C100" s="172">
        <v>17</v>
      </c>
      <c r="D100" s="172">
        <v>0</v>
      </c>
      <c r="E100" s="176"/>
      <c r="F100" s="404"/>
      <c r="H100" s="198"/>
    </row>
    <row r="101" spans="1:8">
      <c r="B101" s="405"/>
      <c r="C101" s="405"/>
      <c r="D101" s="405"/>
    </row>
    <row r="102" spans="1:8" ht="18.75">
      <c r="A102" s="76" t="s">
        <v>140</v>
      </c>
    </row>
    <row r="103" spans="1:8" ht="15.75" thickBot="1"/>
    <row r="104" spans="1:8" ht="30">
      <c r="A104" s="289"/>
      <c r="B104" s="368" t="s">
        <v>141</v>
      </c>
      <c r="C104" s="368" t="s">
        <v>142</v>
      </c>
      <c r="D104" s="368" t="s">
        <v>143</v>
      </c>
      <c r="E104" s="369" t="s">
        <v>144</v>
      </c>
      <c r="F104" s="370" t="s">
        <v>145</v>
      </c>
      <c r="G104" s="180"/>
      <c r="H104" s="403"/>
    </row>
    <row r="105" spans="1:8" ht="15.75" thickBot="1">
      <c r="A105" s="371" t="s">
        <v>146</v>
      </c>
      <c r="B105" s="343">
        <v>21</v>
      </c>
      <c r="C105" s="344">
        <v>21</v>
      </c>
      <c r="D105" s="344">
        <v>21</v>
      </c>
      <c r="E105" s="344">
        <v>21</v>
      </c>
      <c r="F105" s="344">
        <v>21</v>
      </c>
      <c r="G105" s="199"/>
      <c r="H105" s="187"/>
    </row>
    <row r="106" spans="1:8" ht="15.75" thickBot="1">
      <c r="A106" s="372" t="s">
        <v>147</v>
      </c>
      <c r="B106" s="426">
        <v>5</v>
      </c>
      <c r="C106" s="344">
        <v>5</v>
      </c>
      <c r="D106" s="344">
        <v>5</v>
      </c>
      <c r="E106" s="344">
        <v>5</v>
      </c>
      <c r="F106" s="373">
        <v>5</v>
      </c>
      <c r="G106" s="199"/>
      <c r="H106" s="187"/>
    </row>
    <row r="108" spans="1:8" ht="18.75">
      <c r="A108" s="76" t="s">
        <v>148</v>
      </c>
    </row>
    <row r="109" spans="1:8" ht="15.75" thickBot="1"/>
    <row r="110" spans="1:8" ht="27.75" customHeight="1">
      <c r="A110" s="289"/>
      <c r="B110" s="353" t="s">
        <v>149</v>
      </c>
      <c r="C110" s="353" t="s">
        <v>150</v>
      </c>
      <c r="D110" s="354" t="s">
        <v>151</v>
      </c>
    </row>
    <row r="111" spans="1:8" ht="27.75" customHeight="1">
      <c r="A111" s="355" t="s">
        <v>152</v>
      </c>
      <c r="B111" s="172">
        <v>0</v>
      </c>
      <c r="C111" s="174">
        <v>0</v>
      </c>
      <c r="D111" s="356">
        <v>0</v>
      </c>
    </row>
    <row r="112" spans="1:8" ht="27.75" customHeight="1">
      <c r="A112" s="355" t="s">
        <v>153</v>
      </c>
      <c r="B112" s="172">
        <v>32</v>
      </c>
      <c r="C112" s="174">
        <v>32</v>
      </c>
      <c r="D112" s="356">
        <f>B112-C112</f>
        <v>0</v>
      </c>
    </row>
    <row r="113" spans="1:13">
      <c r="A113" s="355" t="s">
        <v>154</v>
      </c>
      <c r="B113" s="172"/>
      <c r="C113" s="174"/>
      <c r="D113" s="356">
        <f t="shared" ref="D113:D114" si="1">B113-C113</f>
        <v>0</v>
      </c>
    </row>
    <row r="114" spans="1:13" ht="15.75" thickBot="1">
      <c r="A114" s="357" t="s">
        <v>155</v>
      </c>
      <c r="B114" s="358">
        <v>5</v>
      </c>
      <c r="C114" s="359">
        <v>5</v>
      </c>
      <c r="D114" s="360">
        <f t="shared" si="1"/>
        <v>0</v>
      </c>
    </row>
    <row r="116" spans="1:13" ht="18.75">
      <c r="A116" s="76" t="s">
        <v>156</v>
      </c>
    </row>
    <row r="117" spans="1:13" ht="15.75" thickBot="1"/>
    <row r="118" spans="1:13">
      <c r="A118" s="289"/>
      <c r="B118" s="223" t="s">
        <v>25</v>
      </c>
      <c r="C118" s="223" t="s">
        <v>40</v>
      </c>
      <c r="D118" s="223" t="s">
        <v>41</v>
      </c>
      <c r="E118" s="223" t="s">
        <v>42</v>
      </c>
      <c r="F118" s="223" t="s">
        <v>43</v>
      </c>
      <c r="G118" s="223" t="s">
        <v>44</v>
      </c>
      <c r="H118" s="223" t="s">
        <v>45</v>
      </c>
      <c r="I118" s="223" t="s">
        <v>46</v>
      </c>
      <c r="J118" s="223" t="s">
        <v>47</v>
      </c>
      <c r="K118" s="223" t="s">
        <v>48</v>
      </c>
      <c r="L118" s="223" t="s">
        <v>49</v>
      </c>
      <c r="M118" s="361" t="s">
        <v>50</v>
      </c>
    </row>
    <row r="119" spans="1:13" ht="15" customHeight="1">
      <c r="A119" s="290" t="s">
        <v>157</v>
      </c>
      <c r="B119" s="584">
        <v>5182783</v>
      </c>
      <c r="C119" s="349"/>
      <c r="D119" s="349"/>
      <c r="E119" s="215"/>
      <c r="F119" s="215"/>
      <c r="G119" s="215"/>
      <c r="H119" s="215"/>
      <c r="I119" s="215"/>
      <c r="J119" s="215"/>
      <c r="K119" s="215"/>
      <c r="L119" s="215"/>
      <c r="M119" s="362"/>
    </row>
    <row r="120" spans="1:13" ht="15" customHeight="1">
      <c r="A120" s="290" t="s">
        <v>158</v>
      </c>
      <c r="B120" s="585">
        <v>2445797</v>
      </c>
      <c r="C120" s="349"/>
      <c r="D120" s="349"/>
      <c r="E120" s="215"/>
      <c r="F120" s="215"/>
      <c r="G120" s="215"/>
      <c r="H120" s="215"/>
      <c r="I120" s="215"/>
      <c r="J120" s="215"/>
      <c r="K120" s="215"/>
      <c r="L120" s="215"/>
      <c r="M120" s="362"/>
    </row>
    <row r="121" spans="1:13" ht="15" customHeight="1">
      <c r="A121" s="290" t="s">
        <v>159</v>
      </c>
      <c r="B121" s="585">
        <v>1718390</v>
      </c>
      <c r="C121" s="349"/>
      <c r="D121" s="349"/>
      <c r="E121" s="215"/>
      <c r="F121" s="215"/>
      <c r="G121" s="215"/>
      <c r="H121" s="215"/>
      <c r="I121" s="215"/>
      <c r="J121" s="215"/>
      <c r="K121" s="215"/>
      <c r="L121" s="215"/>
      <c r="M121" s="362"/>
    </row>
    <row r="122" spans="1:13" ht="15" customHeight="1">
      <c r="A122" s="291" t="s">
        <v>160</v>
      </c>
      <c r="B122" s="350">
        <f>B119</f>
        <v>5182783</v>
      </c>
      <c r="C122" s="350"/>
      <c r="D122" s="350"/>
      <c r="E122" s="350"/>
      <c r="F122" s="350"/>
      <c r="G122" s="216"/>
      <c r="H122" s="216"/>
      <c r="I122" s="216"/>
      <c r="J122" s="216"/>
      <c r="K122" s="216"/>
      <c r="L122" s="216"/>
      <c r="M122" s="363"/>
    </row>
    <row r="123" spans="1:13" ht="15" customHeight="1">
      <c r="A123" s="291" t="s">
        <v>161</v>
      </c>
      <c r="B123" s="350">
        <f>B120</f>
        <v>2445797</v>
      </c>
      <c r="C123" s="350"/>
      <c r="D123" s="350"/>
      <c r="E123" s="350"/>
      <c r="F123" s="216"/>
      <c r="G123" s="216"/>
      <c r="H123" s="216"/>
      <c r="I123" s="216"/>
      <c r="J123" s="216"/>
      <c r="K123" s="216"/>
      <c r="L123" s="216"/>
      <c r="M123" s="363"/>
    </row>
    <row r="124" spans="1:13">
      <c r="A124" s="364" t="s">
        <v>162</v>
      </c>
      <c r="B124" s="365">
        <f>B121</f>
        <v>1718390</v>
      </c>
      <c r="C124" s="365"/>
      <c r="D124" s="365"/>
      <c r="E124" s="365"/>
      <c r="F124" s="216"/>
      <c r="G124" s="366"/>
      <c r="H124" s="366"/>
      <c r="I124" s="366"/>
      <c r="J124" s="366"/>
      <c r="K124" s="366"/>
      <c r="L124" s="366"/>
      <c r="M124" s="367"/>
    </row>
    <row r="125" spans="1:13">
      <c r="I125" s="84"/>
      <c r="J125" s="406"/>
      <c r="L125" s="85"/>
    </row>
    <row r="126" spans="1:13">
      <c r="A126" t="s">
        <v>163</v>
      </c>
      <c r="I126" s="84"/>
      <c r="J126" s="406"/>
      <c r="L126" s="85"/>
    </row>
    <row r="127" spans="1:13">
      <c r="I127" s="84"/>
      <c r="J127" s="85"/>
      <c r="L127" s="85"/>
    </row>
    <row r="129" spans="1:11" ht="18.75">
      <c r="A129" s="76" t="s">
        <v>164</v>
      </c>
    </row>
    <row r="130" spans="1:11" ht="115.5">
      <c r="A130" s="374" t="s">
        <v>165</v>
      </c>
      <c r="B130" s="375" t="s">
        <v>166</v>
      </c>
      <c r="C130" s="376" t="s">
        <v>167</v>
      </c>
      <c r="D130" s="376" t="s">
        <v>168</v>
      </c>
      <c r="E130" s="377" t="s">
        <v>169</v>
      </c>
      <c r="F130" s="375" t="s">
        <v>170</v>
      </c>
      <c r="G130" s="611" t="s">
        <v>171</v>
      </c>
      <c r="H130" s="612"/>
      <c r="I130" s="376" t="s">
        <v>172</v>
      </c>
      <c r="J130" s="529" t="s">
        <v>173</v>
      </c>
      <c r="K130" s="526" t="s">
        <v>174</v>
      </c>
    </row>
    <row r="131" spans="1:11">
      <c r="A131" s="451"/>
      <c r="B131" s="452"/>
      <c r="C131" s="453"/>
      <c r="D131" s="453"/>
      <c r="E131" s="454"/>
      <c r="F131" s="452"/>
      <c r="G131" s="452" t="s">
        <v>13</v>
      </c>
      <c r="H131" s="455" t="s">
        <v>175</v>
      </c>
      <c r="I131" s="453"/>
      <c r="J131" s="530"/>
      <c r="K131" s="526"/>
    </row>
    <row r="132" spans="1:11">
      <c r="A132" s="614" t="s">
        <v>137</v>
      </c>
      <c r="B132" s="384" t="s">
        <v>176</v>
      </c>
      <c r="C132" s="385">
        <v>2</v>
      </c>
      <c r="D132" s="456">
        <f t="shared" ref="D132:D138" si="2">IF(ISBLANK(C132),"",C132*30)</f>
        <v>60</v>
      </c>
      <c r="E132" s="431">
        <v>99</v>
      </c>
      <c r="F132" s="432">
        <f t="shared" ref="F132:F139" si="3">E132*D132</f>
        <v>5940</v>
      </c>
      <c r="G132" s="432">
        <v>34830</v>
      </c>
      <c r="H132" s="432"/>
      <c r="I132" s="387">
        <f>G132/F132</f>
        <v>5.8636363636363633</v>
      </c>
      <c r="J132" s="531">
        <v>3</v>
      </c>
      <c r="K132" s="527">
        <f>IF(AND(I132&gt;0,J132&gt;0),I132-J132,"")</f>
        <v>2.8636363636363633</v>
      </c>
    </row>
    <row r="133" spans="1:11">
      <c r="A133" s="614"/>
      <c r="B133" s="384" t="s">
        <v>177</v>
      </c>
      <c r="C133" s="385">
        <v>3</v>
      </c>
      <c r="D133" s="456">
        <f t="shared" si="2"/>
        <v>90</v>
      </c>
      <c r="E133" s="431">
        <v>37</v>
      </c>
      <c r="F133" s="432">
        <f t="shared" si="3"/>
        <v>3330</v>
      </c>
      <c r="G133" s="432">
        <v>24241</v>
      </c>
      <c r="H133" s="432"/>
      <c r="I133" s="387">
        <f t="shared" ref="I133:I143" si="4">G133/F133</f>
        <v>7.2795795795795799</v>
      </c>
      <c r="J133" s="531">
        <v>3</v>
      </c>
      <c r="K133" s="527">
        <f t="shared" ref="K133:K141" si="5">IF(AND(I133&gt;0,J133&gt;0),I133-J133,"")</f>
        <v>4.2795795795795799</v>
      </c>
    </row>
    <row r="134" spans="1:11">
      <c r="A134" s="614"/>
      <c r="B134" s="384" t="s">
        <v>178</v>
      </c>
      <c r="C134" s="385">
        <v>4</v>
      </c>
      <c r="D134" s="456">
        <f t="shared" si="2"/>
        <v>120</v>
      </c>
      <c r="E134" s="431">
        <v>15</v>
      </c>
      <c r="F134" s="432">
        <f t="shared" si="3"/>
        <v>1800</v>
      </c>
      <c r="G134" s="432">
        <v>12000</v>
      </c>
      <c r="H134" s="432"/>
      <c r="I134" s="387">
        <f t="shared" si="4"/>
        <v>6.666666666666667</v>
      </c>
      <c r="J134" s="531">
        <v>3</v>
      </c>
      <c r="K134" s="527">
        <f t="shared" si="5"/>
        <v>3.666666666666667</v>
      </c>
    </row>
    <row r="135" spans="1:11">
      <c r="A135" s="614"/>
      <c r="B135" s="384" t="s">
        <v>179</v>
      </c>
      <c r="C135" s="385">
        <v>2</v>
      </c>
      <c r="D135" s="456">
        <f t="shared" si="2"/>
        <v>60</v>
      </c>
      <c r="E135" s="431">
        <v>19</v>
      </c>
      <c r="F135" s="432">
        <f t="shared" si="3"/>
        <v>1140</v>
      </c>
      <c r="G135" s="432">
        <v>12802</v>
      </c>
      <c r="H135" s="432"/>
      <c r="I135" s="387">
        <f t="shared" si="4"/>
        <v>11.229824561403509</v>
      </c>
      <c r="J135" s="531">
        <v>3</v>
      </c>
      <c r="K135" s="527">
        <f t="shared" si="5"/>
        <v>8.2298245614035093</v>
      </c>
    </row>
    <row r="136" spans="1:11">
      <c r="A136" s="614"/>
      <c r="B136" s="384" t="s">
        <v>180</v>
      </c>
      <c r="C136" s="430">
        <v>1</v>
      </c>
      <c r="D136" s="456">
        <f t="shared" si="2"/>
        <v>30</v>
      </c>
      <c r="E136" s="431">
        <v>147</v>
      </c>
      <c r="F136" s="481">
        <f t="shared" si="3"/>
        <v>4410</v>
      </c>
      <c r="G136" s="432">
        <v>11520</v>
      </c>
      <c r="H136" s="432">
        <v>51374</v>
      </c>
      <c r="I136" s="387">
        <f>(G136+H136)/F136</f>
        <v>14.261678004535147</v>
      </c>
      <c r="J136" s="532">
        <v>3</v>
      </c>
      <c r="K136" s="528">
        <f t="shared" si="5"/>
        <v>11.261678004535147</v>
      </c>
    </row>
    <row r="137" spans="1:11">
      <c r="A137" s="614"/>
      <c r="B137" s="384" t="s">
        <v>181</v>
      </c>
      <c r="C137" s="430">
        <v>1</v>
      </c>
      <c r="D137" s="456">
        <f t="shared" si="2"/>
        <v>30</v>
      </c>
      <c r="E137" s="431">
        <v>567</v>
      </c>
      <c r="F137" s="481">
        <f t="shared" si="3"/>
        <v>17010</v>
      </c>
      <c r="G137" s="432">
        <v>3660</v>
      </c>
      <c r="H137" s="432">
        <v>116810</v>
      </c>
      <c r="I137" s="387">
        <f>(G137+H137)/F137</f>
        <v>7.0823045267489713</v>
      </c>
      <c r="J137" s="532">
        <v>3</v>
      </c>
      <c r="K137" s="528">
        <f t="shared" si="5"/>
        <v>4.0823045267489713</v>
      </c>
    </row>
    <row r="138" spans="1:11">
      <c r="A138" s="614"/>
      <c r="B138" s="384" t="s">
        <v>182</v>
      </c>
      <c r="C138" s="388">
        <v>1</v>
      </c>
      <c r="D138" s="456">
        <f t="shared" si="2"/>
        <v>30</v>
      </c>
      <c r="E138" s="456">
        <v>126</v>
      </c>
      <c r="F138" s="481">
        <f t="shared" si="3"/>
        <v>3780</v>
      </c>
      <c r="G138" s="432">
        <v>17363</v>
      </c>
      <c r="H138" s="432"/>
      <c r="I138" s="433">
        <f t="shared" si="4"/>
        <v>4.5933862433862434</v>
      </c>
      <c r="J138" s="532">
        <v>3</v>
      </c>
      <c r="K138" s="528">
        <f t="shared" si="5"/>
        <v>1.5933862433862434</v>
      </c>
    </row>
    <row r="139" spans="1:11">
      <c r="A139" s="614"/>
      <c r="B139" s="384" t="s">
        <v>183</v>
      </c>
      <c r="C139" s="388">
        <v>6</v>
      </c>
      <c r="D139" s="456">
        <f>IF(ISBLANK(C139),"",C139*30)</f>
        <v>180</v>
      </c>
      <c r="E139" s="456">
        <v>50</v>
      </c>
      <c r="F139" s="432">
        <f t="shared" si="3"/>
        <v>9000</v>
      </c>
      <c r="G139" s="432">
        <v>22650</v>
      </c>
      <c r="H139" s="432"/>
      <c r="I139" s="387">
        <f t="shared" si="4"/>
        <v>2.5166666666666666</v>
      </c>
      <c r="J139" s="531">
        <v>3</v>
      </c>
      <c r="K139" s="527">
        <f t="shared" si="5"/>
        <v>-0.48333333333333339</v>
      </c>
    </row>
    <row r="140" spans="1:11">
      <c r="A140" s="614"/>
      <c r="B140" s="384" t="s">
        <v>184</v>
      </c>
      <c r="C140" s="386"/>
      <c r="D140" s="456">
        <v>2</v>
      </c>
      <c r="E140" s="456">
        <v>7</v>
      </c>
      <c r="F140" s="432">
        <f>E140*D140</f>
        <v>14</v>
      </c>
      <c r="G140" s="432">
        <v>12</v>
      </c>
      <c r="H140" s="432"/>
      <c r="I140" s="387">
        <f t="shared" si="4"/>
        <v>0.8571428571428571</v>
      </c>
      <c r="J140" s="531">
        <v>3</v>
      </c>
      <c r="K140" s="527">
        <f t="shared" si="5"/>
        <v>-2.1428571428571428</v>
      </c>
    </row>
    <row r="141" spans="1:11">
      <c r="A141" s="614"/>
      <c r="B141" s="384" t="s">
        <v>185</v>
      </c>
      <c r="C141" s="386">
        <v>4</v>
      </c>
      <c r="D141" s="456">
        <f>IF(ISBLANK(C141),"",C141*30)</f>
        <v>120</v>
      </c>
      <c r="E141" s="456">
        <v>4</v>
      </c>
      <c r="F141" s="432">
        <f>E141*D141</f>
        <v>480</v>
      </c>
      <c r="G141" s="432">
        <v>9000</v>
      </c>
      <c r="H141" s="432"/>
      <c r="I141" s="387">
        <f t="shared" si="4"/>
        <v>18.75</v>
      </c>
      <c r="J141" s="531">
        <v>3</v>
      </c>
      <c r="K141" s="527">
        <f t="shared" si="5"/>
        <v>15.75</v>
      </c>
    </row>
    <row r="142" spans="1:11">
      <c r="A142" s="614"/>
      <c r="B142" s="389" t="s">
        <v>186</v>
      </c>
      <c r="C142" s="386">
        <v>6</v>
      </c>
      <c r="D142" s="456">
        <f>IF(ISBLANK(C142),"",C142*30)</f>
        <v>180</v>
      </c>
      <c r="E142" s="456">
        <v>6</v>
      </c>
      <c r="F142" s="432">
        <f>E142*D142</f>
        <v>1080</v>
      </c>
      <c r="G142" s="432">
        <v>14610</v>
      </c>
      <c r="H142" s="432"/>
      <c r="I142" s="387">
        <f t="shared" si="4"/>
        <v>13.527777777777779</v>
      </c>
      <c r="J142" s="531">
        <v>3</v>
      </c>
      <c r="K142" s="527">
        <f>IF(AND(I142&gt;0,J142&gt;0),I142-J142,"")</f>
        <v>10.527777777777779</v>
      </c>
    </row>
    <row r="143" spans="1:11">
      <c r="A143" s="614"/>
      <c r="B143" s="384" t="s">
        <v>187</v>
      </c>
      <c r="C143" s="386">
        <v>1</v>
      </c>
      <c r="D143" s="456">
        <v>30</v>
      </c>
      <c r="E143" s="456">
        <v>300</v>
      </c>
      <c r="F143" s="432">
        <f t="shared" ref="F143:F148" si="6">E143*D143</f>
        <v>9000</v>
      </c>
      <c r="G143" s="432">
        <v>31198</v>
      </c>
      <c r="H143" s="432"/>
      <c r="I143" s="387">
        <f t="shared" si="4"/>
        <v>3.4664444444444444</v>
      </c>
      <c r="J143" s="531">
        <v>3</v>
      </c>
      <c r="K143" s="527">
        <f t="shared" ref="K143:K148" si="7">IF(AND(I143&gt;0,J143&gt;0),I143-J143,"")</f>
        <v>0.46644444444444444</v>
      </c>
    </row>
    <row r="144" spans="1:11">
      <c r="A144" s="614"/>
      <c r="B144" s="384" t="s">
        <v>188</v>
      </c>
      <c r="C144" s="386">
        <v>2</v>
      </c>
      <c r="D144" s="456">
        <f>IF(ISBLANK(C144),"",C144*30)</f>
        <v>60</v>
      </c>
      <c r="E144" s="456">
        <v>12</v>
      </c>
      <c r="F144" s="432">
        <f t="shared" si="6"/>
        <v>720</v>
      </c>
      <c r="G144" s="432"/>
      <c r="H144" s="432">
        <v>7920</v>
      </c>
      <c r="I144" s="387">
        <f>(G144+H144)/F144</f>
        <v>11</v>
      </c>
      <c r="J144" s="531">
        <v>3</v>
      </c>
      <c r="K144" s="527">
        <f t="shared" si="7"/>
        <v>8</v>
      </c>
    </row>
    <row r="145" spans="1:11">
      <c r="A145" s="614"/>
      <c r="B145" s="384" t="s">
        <v>189</v>
      </c>
      <c r="C145" s="386">
        <v>1</v>
      </c>
      <c r="D145" s="456">
        <v>30</v>
      </c>
      <c r="E145" s="456">
        <v>4045</v>
      </c>
      <c r="F145" s="432">
        <f>E145*D145</f>
        <v>121350</v>
      </c>
      <c r="G145" s="432">
        <v>171560</v>
      </c>
      <c r="H145" s="432">
        <v>922128</v>
      </c>
      <c r="I145" s="387">
        <f>(G145+H145)/F145</f>
        <v>9.0126740832303263</v>
      </c>
      <c r="J145" s="531">
        <v>3</v>
      </c>
      <c r="K145" s="527">
        <f t="shared" si="7"/>
        <v>6.0126740832303263</v>
      </c>
    </row>
    <row r="146" spans="1:11">
      <c r="A146" s="614"/>
      <c r="B146" s="389" t="s">
        <v>190</v>
      </c>
      <c r="C146" s="386">
        <v>1</v>
      </c>
      <c r="D146" s="456">
        <v>30</v>
      </c>
      <c r="E146" s="456">
        <v>73</v>
      </c>
      <c r="F146" s="432">
        <f>E146*D146</f>
        <v>2190</v>
      </c>
      <c r="G146" s="432">
        <v>7380</v>
      </c>
      <c r="H146" s="432"/>
      <c r="I146" s="387">
        <f>G146/F146</f>
        <v>3.3698630136986303</v>
      </c>
      <c r="J146" s="531">
        <v>3</v>
      </c>
      <c r="K146" s="527">
        <f>IF(AND(I146&gt;0,J146&gt;0),I146-J146,"")</f>
        <v>0.36986301369863028</v>
      </c>
    </row>
    <row r="147" spans="1:11">
      <c r="A147" s="614"/>
      <c r="B147" s="389" t="s">
        <v>191</v>
      </c>
      <c r="C147" s="386">
        <v>2</v>
      </c>
      <c r="D147" s="456">
        <f>IF(ISBLANK(C147),"",C147*30)</f>
        <v>60</v>
      </c>
      <c r="E147" s="456">
        <v>13</v>
      </c>
      <c r="F147" s="432">
        <f>E147*D147</f>
        <v>780</v>
      </c>
      <c r="G147" s="432">
        <v>10860</v>
      </c>
      <c r="H147" s="432"/>
      <c r="I147" s="387">
        <f>G147/F147</f>
        <v>13.923076923076923</v>
      </c>
      <c r="J147" s="531">
        <v>3</v>
      </c>
      <c r="K147" s="527">
        <f>IF(AND(I147&gt;0,J147&gt;0),I147-J147,"")</f>
        <v>10.923076923076923</v>
      </c>
    </row>
    <row r="148" spans="1:11">
      <c r="A148" s="615"/>
      <c r="B148" s="389" t="s">
        <v>192</v>
      </c>
      <c r="C148" s="386">
        <v>3</v>
      </c>
      <c r="D148" s="456">
        <f>IF(ISBLANK(C148),"",C148*30)</f>
        <v>90</v>
      </c>
      <c r="E148" s="456">
        <v>8</v>
      </c>
      <c r="F148" s="432">
        <f t="shared" si="6"/>
        <v>720</v>
      </c>
      <c r="G148" s="553">
        <v>6000</v>
      </c>
      <c r="H148" s="553"/>
      <c r="I148" s="554">
        <f t="shared" ref="I148:I166" si="8">G148/F148</f>
        <v>8.3333333333333339</v>
      </c>
      <c r="J148" s="531">
        <v>3</v>
      </c>
      <c r="K148" s="527">
        <f t="shared" si="7"/>
        <v>5.3333333333333339</v>
      </c>
    </row>
    <row r="149" spans="1:11">
      <c r="A149" s="616" t="s">
        <v>138</v>
      </c>
      <c r="B149" s="483" t="s">
        <v>193</v>
      </c>
      <c r="C149" s="484">
        <v>1</v>
      </c>
      <c r="D149" s="485">
        <v>26</v>
      </c>
      <c r="E149" s="383">
        <v>0</v>
      </c>
      <c r="F149" s="545">
        <f>C149*D149*E149</f>
        <v>0</v>
      </c>
      <c r="G149" s="539">
        <v>0</v>
      </c>
      <c r="H149" s="540"/>
      <c r="I149" s="541">
        <v>0</v>
      </c>
      <c r="J149" s="549">
        <v>0</v>
      </c>
      <c r="K149" s="533">
        <v>0</v>
      </c>
    </row>
    <row r="150" spans="1:11">
      <c r="A150" s="617"/>
      <c r="B150" s="487" t="s">
        <v>194</v>
      </c>
      <c r="C150" s="488">
        <v>1</v>
      </c>
      <c r="D150" s="489">
        <v>26</v>
      </c>
      <c r="E150" s="383">
        <v>0</v>
      </c>
      <c r="F150" s="545">
        <f t="shared" ref="F150:F164" si="9">C150*D150*E150</f>
        <v>0</v>
      </c>
      <c r="G150" s="539">
        <v>0</v>
      </c>
      <c r="H150" s="540"/>
      <c r="I150" s="541">
        <v>0</v>
      </c>
      <c r="J150" s="549">
        <v>0</v>
      </c>
      <c r="K150" s="486">
        <v>0</v>
      </c>
    </row>
    <row r="151" spans="1:11">
      <c r="A151" s="617"/>
      <c r="B151" s="487" t="s">
        <v>195</v>
      </c>
      <c r="C151" s="490">
        <v>2</v>
      </c>
      <c r="D151" s="491">
        <v>26</v>
      </c>
      <c r="E151" s="492">
        <v>5</v>
      </c>
      <c r="F151" s="546">
        <v>1118</v>
      </c>
      <c r="G151" s="542">
        <v>1118</v>
      </c>
      <c r="H151" s="540"/>
      <c r="I151" s="543">
        <f t="shared" si="8"/>
        <v>1</v>
      </c>
      <c r="J151" s="550">
        <v>3</v>
      </c>
      <c r="K151" s="493">
        <f t="shared" ref="K151:K166" si="10">I151-J151</f>
        <v>-2</v>
      </c>
    </row>
    <row r="152" spans="1:11">
      <c r="A152" s="617"/>
      <c r="B152" s="487" t="s">
        <v>196</v>
      </c>
      <c r="C152" s="490">
        <v>2</v>
      </c>
      <c r="D152" s="491">
        <v>30</v>
      </c>
      <c r="E152" s="492">
        <v>26</v>
      </c>
      <c r="F152" s="546">
        <f t="shared" si="9"/>
        <v>1560</v>
      </c>
      <c r="G152" s="542">
        <v>22510</v>
      </c>
      <c r="H152" s="540"/>
      <c r="I152" s="543">
        <f t="shared" si="8"/>
        <v>14.429487179487179</v>
      </c>
      <c r="J152" s="550">
        <v>3</v>
      </c>
      <c r="K152" s="493">
        <f t="shared" si="10"/>
        <v>11.429487179487179</v>
      </c>
    </row>
    <row r="153" spans="1:11">
      <c r="A153" s="617"/>
      <c r="B153" s="487" t="s">
        <v>197</v>
      </c>
      <c r="C153" s="490">
        <v>3</v>
      </c>
      <c r="D153" s="491">
        <v>30</v>
      </c>
      <c r="E153" s="492">
        <v>781</v>
      </c>
      <c r="F153" s="546">
        <f t="shared" si="9"/>
        <v>70290</v>
      </c>
      <c r="G153" s="542">
        <v>1748259</v>
      </c>
      <c r="H153" s="540"/>
      <c r="I153" s="543">
        <f t="shared" si="8"/>
        <v>24.872087067861717</v>
      </c>
      <c r="J153" s="550">
        <v>3</v>
      </c>
      <c r="K153" s="493">
        <f t="shared" si="10"/>
        <v>21.872087067861717</v>
      </c>
    </row>
    <row r="154" spans="1:11">
      <c r="A154" s="617"/>
      <c r="B154" s="487" t="s">
        <v>198</v>
      </c>
      <c r="C154" s="490">
        <v>4</v>
      </c>
      <c r="D154" s="491">
        <v>30</v>
      </c>
      <c r="E154" s="492">
        <v>130</v>
      </c>
      <c r="F154" s="546">
        <f t="shared" si="9"/>
        <v>15600</v>
      </c>
      <c r="G154" s="542">
        <v>151695</v>
      </c>
      <c r="H154" s="540"/>
      <c r="I154" s="543">
        <f t="shared" si="8"/>
        <v>9.724038461538461</v>
      </c>
      <c r="J154" s="550">
        <v>3</v>
      </c>
      <c r="K154" s="493">
        <f t="shared" si="10"/>
        <v>6.724038461538461</v>
      </c>
    </row>
    <row r="155" spans="1:11">
      <c r="A155" s="617"/>
      <c r="B155" s="487" t="s">
        <v>199</v>
      </c>
      <c r="C155" s="490">
        <v>2</v>
      </c>
      <c r="D155" s="491">
        <v>30</v>
      </c>
      <c r="E155" s="492">
        <v>33</v>
      </c>
      <c r="F155" s="546">
        <f t="shared" si="9"/>
        <v>1980</v>
      </c>
      <c r="G155" s="542">
        <v>17357</v>
      </c>
      <c r="H155" s="540"/>
      <c r="I155" s="543">
        <f t="shared" si="8"/>
        <v>8.7661616161616163</v>
      </c>
      <c r="J155" s="550">
        <v>3</v>
      </c>
      <c r="K155" s="493">
        <f t="shared" si="10"/>
        <v>5.7661616161616163</v>
      </c>
    </row>
    <row r="156" spans="1:11">
      <c r="A156" s="617"/>
      <c r="B156" s="487" t="s">
        <v>200</v>
      </c>
      <c r="C156" s="490">
        <v>4</v>
      </c>
      <c r="D156" s="491">
        <v>30</v>
      </c>
      <c r="E156" s="492">
        <v>589</v>
      </c>
      <c r="F156" s="546">
        <f t="shared" si="9"/>
        <v>70680</v>
      </c>
      <c r="G156" s="542">
        <v>1765143</v>
      </c>
      <c r="H156" s="540"/>
      <c r="I156" s="543">
        <f t="shared" si="8"/>
        <v>24.973726655348049</v>
      </c>
      <c r="J156" s="550">
        <v>3</v>
      </c>
      <c r="K156" s="493">
        <f t="shared" si="10"/>
        <v>21.973726655348049</v>
      </c>
    </row>
    <row r="157" spans="1:11">
      <c r="A157" s="617"/>
      <c r="B157" s="487" t="s">
        <v>201</v>
      </c>
      <c r="C157" s="490">
        <v>1</v>
      </c>
      <c r="D157" s="491">
        <v>30</v>
      </c>
      <c r="E157" s="492">
        <v>300</v>
      </c>
      <c r="F157" s="546">
        <f t="shared" si="9"/>
        <v>9000</v>
      </c>
      <c r="G157" s="542">
        <v>188750</v>
      </c>
      <c r="H157" s="540"/>
      <c r="I157" s="543">
        <f t="shared" si="8"/>
        <v>20.972222222222221</v>
      </c>
      <c r="J157" s="550">
        <v>3</v>
      </c>
      <c r="K157" s="493">
        <f t="shared" si="10"/>
        <v>17.972222222222221</v>
      </c>
    </row>
    <row r="158" spans="1:11">
      <c r="A158" s="617"/>
      <c r="B158" s="494" t="s">
        <v>202</v>
      </c>
      <c r="C158" s="490">
        <v>2</v>
      </c>
      <c r="D158" s="491">
        <v>30</v>
      </c>
      <c r="E158" s="492">
        <v>168</v>
      </c>
      <c r="F158" s="546">
        <f t="shared" si="9"/>
        <v>10080</v>
      </c>
      <c r="G158" s="542">
        <v>6006</v>
      </c>
      <c r="H158" s="540"/>
      <c r="I158" s="543">
        <f t="shared" si="8"/>
        <v>0.59583333333333333</v>
      </c>
      <c r="J158" s="550">
        <v>3</v>
      </c>
      <c r="K158" s="493">
        <f t="shared" si="10"/>
        <v>-2.4041666666666668</v>
      </c>
    </row>
    <row r="159" spans="1:11">
      <c r="A159" s="617"/>
      <c r="B159" s="494" t="s">
        <v>203</v>
      </c>
      <c r="C159" s="490">
        <v>3</v>
      </c>
      <c r="D159" s="491">
        <v>30</v>
      </c>
      <c r="E159" s="492">
        <v>259</v>
      </c>
      <c r="F159" s="546">
        <f t="shared" si="9"/>
        <v>23310</v>
      </c>
      <c r="G159" s="542">
        <v>345218</v>
      </c>
      <c r="H159" s="540"/>
      <c r="I159" s="543">
        <f t="shared" si="8"/>
        <v>14.809867009867009</v>
      </c>
      <c r="J159" s="550">
        <v>3</v>
      </c>
      <c r="K159" s="493">
        <f t="shared" si="10"/>
        <v>11.809867009867009</v>
      </c>
    </row>
    <row r="160" spans="1:11">
      <c r="A160" s="617"/>
      <c r="B160" s="495" t="s">
        <v>204</v>
      </c>
      <c r="C160" s="490">
        <v>1</v>
      </c>
      <c r="D160" s="491">
        <v>30</v>
      </c>
      <c r="E160" s="492">
        <v>23</v>
      </c>
      <c r="F160" s="546">
        <f t="shared" si="9"/>
        <v>690</v>
      </c>
      <c r="G160" s="542">
        <v>18200</v>
      </c>
      <c r="H160" s="540"/>
      <c r="I160" s="543">
        <f t="shared" si="8"/>
        <v>26.376811594202898</v>
      </c>
      <c r="J160" s="550">
        <v>3</v>
      </c>
      <c r="K160" s="493">
        <f t="shared" si="10"/>
        <v>23.376811594202898</v>
      </c>
    </row>
    <row r="161" spans="1:16">
      <c r="A161" s="617"/>
      <c r="B161" s="496" t="s">
        <v>205</v>
      </c>
      <c r="C161" s="497">
        <v>5</v>
      </c>
      <c r="D161" s="491">
        <v>30</v>
      </c>
      <c r="E161" s="492">
        <v>144</v>
      </c>
      <c r="F161" s="546">
        <f t="shared" si="9"/>
        <v>21600</v>
      </c>
      <c r="G161" s="542">
        <v>1040918</v>
      </c>
      <c r="H161" s="540"/>
      <c r="I161" s="543">
        <f t="shared" si="8"/>
        <v>48.190648148148149</v>
      </c>
      <c r="J161" s="550">
        <v>3</v>
      </c>
      <c r="K161" s="493">
        <f t="shared" si="10"/>
        <v>45.190648148148149</v>
      </c>
    </row>
    <row r="162" spans="1:16">
      <c r="A162" s="617"/>
      <c r="B162" s="496" t="s">
        <v>206</v>
      </c>
      <c r="C162" s="497">
        <v>1</v>
      </c>
      <c r="D162" s="491">
        <v>30</v>
      </c>
      <c r="E162" s="492">
        <v>963</v>
      </c>
      <c r="F162" s="546">
        <f t="shared" si="9"/>
        <v>28890</v>
      </c>
      <c r="G162" s="542">
        <v>522442</v>
      </c>
      <c r="H162" s="540"/>
      <c r="I162" s="543">
        <f t="shared" si="8"/>
        <v>18.083835237106264</v>
      </c>
      <c r="J162" s="550">
        <v>3</v>
      </c>
      <c r="K162" s="493">
        <f t="shared" si="10"/>
        <v>15.083835237106264</v>
      </c>
    </row>
    <row r="163" spans="1:16">
      <c r="A163" s="617"/>
      <c r="B163" s="496" t="s">
        <v>207</v>
      </c>
      <c r="C163" s="497">
        <v>4</v>
      </c>
      <c r="D163" s="491">
        <v>30</v>
      </c>
      <c r="E163" s="498">
        <v>26</v>
      </c>
      <c r="F163" s="546">
        <f t="shared" si="9"/>
        <v>3120</v>
      </c>
      <c r="G163" s="544">
        <v>28838</v>
      </c>
      <c r="H163" s="540"/>
      <c r="I163" s="543">
        <f t="shared" si="8"/>
        <v>9.2429487179487175</v>
      </c>
      <c r="J163" s="550">
        <v>3</v>
      </c>
      <c r="K163" s="493">
        <f t="shared" si="10"/>
        <v>6.2429487179487175</v>
      </c>
    </row>
    <row r="164" spans="1:16">
      <c r="A164" s="617"/>
      <c r="B164" s="496" t="s">
        <v>208</v>
      </c>
      <c r="C164" s="497">
        <v>1</v>
      </c>
      <c r="D164" s="491">
        <v>30</v>
      </c>
      <c r="E164" s="498">
        <v>760</v>
      </c>
      <c r="F164" s="546">
        <f t="shared" si="9"/>
        <v>22800</v>
      </c>
      <c r="G164" s="544">
        <v>538187</v>
      </c>
      <c r="H164" s="540"/>
      <c r="I164" s="543">
        <f t="shared" si="8"/>
        <v>23.60469298245614</v>
      </c>
      <c r="J164" s="550">
        <v>3</v>
      </c>
      <c r="K164" s="493">
        <f t="shared" si="10"/>
        <v>20.60469298245614</v>
      </c>
    </row>
    <row r="165" spans="1:16">
      <c r="A165" s="617"/>
      <c r="B165" s="496" t="s">
        <v>209</v>
      </c>
      <c r="C165" s="497">
        <v>1</v>
      </c>
      <c r="D165" s="499">
        <v>26</v>
      </c>
      <c r="E165" s="500">
        <v>742</v>
      </c>
      <c r="F165" s="547">
        <f>C165*D165*E165</f>
        <v>19292</v>
      </c>
      <c r="G165" s="544">
        <v>470727</v>
      </c>
      <c r="H165" s="540"/>
      <c r="I165" s="543">
        <f t="shared" si="8"/>
        <v>24.400114036906491</v>
      </c>
      <c r="J165" s="551">
        <v>3</v>
      </c>
      <c r="K165" s="501">
        <f t="shared" si="10"/>
        <v>21.400114036906491</v>
      </c>
    </row>
    <row r="166" spans="1:16">
      <c r="A166" s="617"/>
      <c r="B166" s="502" t="s">
        <v>210</v>
      </c>
      <c r="C166" s="503">
        <v>4</v>
      </c>
      <c r="D166" s="504">
        <v>26</v>
      </c>
      <c r="E166" s="505">
        <v>166</v>
      </c>
      <c r="F166" s="548">
        <f>C166*D166*E166</f>
        <v>17264</v>
      </c>
      <c r="G166" s="544">
        <v>229258</v>
      </c>
      <c r="H166" s="540"/>
      <c r="I166" s="543">
        <f t="shared" si="8"/>
        <v>13.279541241890639</v>
      </c>
      <c r="J166" s="552">
        <v>3</v>
      </c>
      <c r="K166" s="506">
        <f t="shared" si="10"/>
        <v>10.279541241890639</v>
      </c>
    </row>
    <row r="170" spans="1:16" ht="15.75" thickBot="1">
      <c r="H170" t="str">
        <f>IF(AND(F170&gt;0,G170&gt;0),G170/F170,"")</f>
        <v/>
      </c>
    </row>
    <row r="171" spans="1:16" ht="19.5" thickBot="1">
      <c r="A171" s="165" t="s">
        <v>211</v>
      </c>
      <c r="B171" s="86"/>
      <c r="C171" s="86"/>
      <c r="D171" s="87"/>
      <c r="E171" s="87"/>
      <c r="F171" s="87"/>
      <c r="G171" s="168"/>
      <c r="H171" s="166"/>
      <c r="I171" s="208"/>
      <c r="J171" s="312" t="s">
        <v>212</v>
      </c>
      <c r="K171" s="313"/>
      <c r="L171" s="314"/>
      <c r="M171" s="314"/>
      <c r="N171" s="314"/>
      <c r="O171" s="315"/>
    </row>
    <row r="172" spans="1:16" ht="15.75" thickBot="1"/>
    <row r="173" spans="1:16" ht="25.5">
      <c r="A173" s="443" t="s">
        <v>213</v>
      </c>
      <c r="B173" s="202" t="s">
        <v>214</v>
      </c>
      <c r="C173" s="251" t="s">
        <v>215</v>
      </c>
      <c r="D173" s="167"/>
      <c r="E173" s="231" t="s">
        <v>25</v>
      </c>
      <c r="F173" s="231" t="s">
        <v>40</v>
      </c>
      <c r="G173" s="231" t="s">
        <v>41</v>
      </c>
      <c r="H173" s="231" t="s">
        <v>42</v>
      </c>
      <c r="I173" s="231" t="s">
        <v>43</v>
      </c>
      <c r="J173" s="231" t="s">
        <v>44</v>
      </c>
      <c r="K173" s="231" t="s">
        <v>45</v>
      </c>
      <c r="L173" s="231" t="s">
        <v>46</v>
      </c>
      <c r="M173" s="231" t="s">
        <v>47</v>
      </c>
      <c r="N173" s="231" t="s">
        <v>48</v>
      </c>
      <c r="O173" s="231" t="s">
        <v>49</v>
      </c>
      <c r="P173" s="3"/>
    </row>
    <row r="174" spans="1:16" ht="39.75" customHeight="1">
      <c r="A174" s="606" t="s">
        <v>216</v>
      </c>
      <c r="B174" s="602" t="s">
        <v>217</v>
      </c>
      <c r="C174" s="613" t="s">
        <v>218</v>
      </c>
      <c r="D174" s="316" t="s">
        <v>219</v>
      </c>
      <c r="E174" s="519">
        <v>0.7</v>
      </c>
      <c r="F174" s="319"/>
      <c r="G174" s="319"/>
      <c r="H174" s="317"/>
      <c r="I174" s="317"/>
      <c r="J174" s="317"/>
      <c r="K174" s="317"/>
      <c r="L174" s="318"/>
      <c r="M174" s="319"/>
      <c r="N174" s="319"/>
      <c r="O174" s="320"/>
      <c r="P174" s="3"/>
    </row>
    <row r="175" spans="1:16" ht="33" customHeight="1">
      <c r="A175" s="607"/>
      <c r="B175" s="602"/>
      <c r="C175" s="613"/>
      <c r="D175" s="316" t="s">
        <v>220</v>
      </c>
      <c r="E175" s="519">
        <v>0.68</v>
      </c>
      <c r="F175" s="319"/>
      <c r="G175" s="319"/>
      <c r="H175" s="317"/>
      <c r="I175" s="317"/>
      <c r="J175" s="317"/>
      <c r="K175" s="317"/>
      <c r="L175" s="318"/>
      <c r="M175" s="319"/>
      <c r="N175" s="319"/>
      <c r="O175" s="320"/>
      <c r="P175" s="3"/>
    </row>
    <row r="176" spans="1:16" ht="48" customHeight="1">
      <c r="A176" s="606" t="s">
        <v>221</v>
      </c>
      <c r="B176" s="604" t="s">
        <v>217</v>
      </c>
      <c r="C176" s="605" t="s">
        <v>218</v>
      </c>
      <c r="D176" s="321" t="s">
        <v>219</v>
      </c>
      <c r="E176" s="519">
        <v>0.9</v>
      </c>
      <c r="F176" s="326"/>
      <c r="G176" s="326"/>
      <c r="H176" s="482"/>
      <c r="I176" s="482"/>
      <c r="J176" s="323"/>
      <c r="K176" s="323"/>
      <c r="L176" s="324"/>
      <c r="M176" s="325"/>
      <c r="N176" s="325"/>
      <c r="O176" s="326"/>
      <c r="P176" s="3"/>
    </row>
    <row r="177" spans="1:16" ht="34.5" customHeight="1">
      <c r="A177" s="607"/>
      <c r="B177" s="604"/>
      <c r="C177" s="605"/>
      <c r="D177" s="321" t="s">
        <v>220</v>
      </c>
      <c r="E177" s="519">
        <v>0.88</v>
      </c>
      <c r="F177" s="317"/>
      <c r="G177" s="326"/>
      <c r="H177" s="482"/>
      <c r="I177" s="482"/>
      <c r="J177" s="324"/>
      <c r="K177" s="324"/>
      <c r="L177" s="324"/>
      <c r="M177" s="325"/>
      <c r="N177" s="325"/>
      <c r="O177" s="326"/>
      <c r="P177" s="3"/>
    </row>
    <row r="178" spans="1:16" ht="42" customHeight="1">
      <c r="A178" s="606" t="s">
        <v>222</v>
      </c>
      <c r="B178" s="602" t="s">
        <v>217</v>
      </c>
      <c r="C178" s="613" t="s">
        <v>218</v>
      </c>
      <c r="D178" s="316" t="s">
        <v>219</v>
      </c>
      <c r="E178" s="519">
        <v>0.72</v>
      </c>
      <c r="F178" s="333"/>
      <c r="G178" s="424"/>
      <c r="H178" s="318"/>
      <c r="I178" s="516"/>
      <c r="J178" s="317"/>
      <c r="K178" s="317"/>
      <c r="L178" s="318"/>
      <c r="M178" s="319"/>
      <c r="N178" s="319"/>
      <c r="O178" s="320"/>
      <c r="P178" s="3"/>
    </row>
    <row r="179" spans="1:16" ht="38.25" customHeight="1">
      <c r="A179" s="607"/>
      <c r="B179" s="602"/>
      <c r="C179" s="613"/>
      <c r="D179" s="316" t="s">
        <v>220</v>
      </c>
      <c r="E179" s="519">
        <v>0.54</v>
      </c>
      <c r="F179" s="319"/>
      <c r="G179" s="424"/>
      <c r="H179" s="318"/>
      <c r="I179" s="516"/>
      <c r="J179" s="317"/>
      <c r="K179" s="317"/>
      <c r="L179" s="318"/>
      <c r="M179" s="319"/>
      <c r="N179" s="319"/>
      <c r="O179" s="320"/>
      <c r="P179" s="3"/>
    </row>
    <row r="180" spans="1:16" ht="39.75" customHeight="1">
      <c r="A180" s="606" t="s">
        <v>223</v>
      </c>
      <c r="B180" s="604" t="s">
        <v>217</v>
      </c>
      <c r="C180" s="605" t="s">
        <v>218</v>
      </c>
      <c r="D180" s="321" t="s">
        <v>219</v>
      </c>
      <c r="E180" s="519">
        <v>0.75</v>
      </c>
      <c r="F180" s="319"/>
      <c r="G180" s="329"/>
      <c r="H180" s="329"/>
      <c r="I180" s="329"/>
      <c r="J180" s="327"/>
      <c r="K180" s="328"/>
      <c r="L180" s="328"/>
      <c r="M180" s="328"/>
      <c r="N180" s="329"/>
      <c r="O180" s="330"/>
      <c r="P180" s="3"/>
    </row>
    <row r="181" spans="1:16" ht="39.75" customHeight="1">
      <c r="A181" s="607"/>
      <c r="B181" s="604"/>
      <c r="C181" s="605"/>
      <c r="D181" s="321" t="s">
        <v>220</v>
      </c>
      <c r="E181" s="519">
        <v>0.53</v>
      </c>
      <c r="F181" s="329"/>
      <c r="G181" s="329"/>
      <c r="H181" s="329"/>
      <c r="I181" s="329"/>
      <c r="J181" s="327"/>
      <c r="K181" s="327"/>
      <c r="L181" s="328"/>
      <c r="M181" s="328"/>
      <c r="N181" s="329"/>
      <c r="O181" s="330"/>
      <c r="P181" s="3"/>
    </row>
    <row r="182" spans="1:16" ht="39.75" customHeight="1">
      <c r="A182" s="606" t="s">
        <v>224</v>
      </c>
      <c r="B182" s="602" t="s">
        <v>217</v>
      </c>
      <c r="C182" s="613" t="s">
        <v>218</v>
      </c>
      <c r="D182" s="316" t="s">
        <v>219</v>
      </c>
      <c r="E182" s="519">
        <v>0.71</v>
      </c>
      <c r="F182" s="333"/>
      <c r="G182" s="333"/>
      <c r="H182" s="333"/>
      <c r="I182" s="333"/>
      <c r="J182" s="331"/>
      <c r="K182" s="331"/>
      <c r="L182" s="332"/>
      <c r="M182" s="333"/>
      <c r="N182" s="333"/>
      <c r="O182" s="334"/>
      <c r="P182" s="3"/>
    </row>
    <row r="183" spans="1:16" ht="45" customHeight="1">
      <c r="A183" s="607"/>
      <c r="B183" s="602"/>
      <c r="C183" s="613"/>
      <c r="D183" s="316" t="s">
        <v>220</v>
      </c>
      <c r="E183" s="519">
        <v>0.7</v>
      </c>
      <c r="F183" s="333"/>
      <c r="G183" s="333"/>
      <c r="H183" s="333"/>
      <c r="I183" s="333"/>
      <c r="J183" s="331"/>
      <c r="K183" s="331"/>
      <c r="L183" s="332"/>
      <c r="M183" s="333"/>
      <c r="N183" s="333"/>
      <c r="O183" s="334"/>
      <c r="P183" s="3"/>
    </row>
    <row r="184" spans="1:16" ht="39" customHeight="1">
      <c r="A184" s="606" t="s">
        <v>225</v>
      </c>
      <c r="B184" s="604" t="s">
        <v>217</v>
      </c>
      <c r="C184" s="605" t="s">
        <v>218</v>
      </c>
      <c r="D184" s="321" t="s">
        <v>219</v>
      </c>
      <c r="E184" s="519">
        <v>0.7</v>
      </c>
      <c r="F184" s="518"/>
      <c r="G184" s="329"/>
      <c r="H184" s="329"/>
      <c r="I184" s="329"/>
      <c r="J184" s="327"/>
      <c r="K184" s="327"/>
      <c r="L184" s="327"/>
      <c r="M184" s="329"/>
      <c r="N184" s="329"/>
      <c r="O184" s="335"/>
      <c r="P184" s="3"/>
    </row>
    <row r="185" spans="1:16" ht="43.5" customHeight="1">
      <c r="A185" s="607"/>
      <c r="B185" s="604"/>
      <c r="C185" s="605"/>
      <c r="D185" s="321" t="s">
        <v>220</v>
      </c>
      <c r="E185" s="519">
        <v>0.63</v>
      </c>
      <c r="F185" s="329"/>
      <c r="G185" s="329"/>
      <c r="H185" s="329"/>
      <c r="I185" s="329"/>
      <c r="J185" s="322"/>
      <c r="K185" s="322"/>
      <c r="L185" s="327"/>
      <c r="M185" s="329"/>
      <c r="N185" s="329"/>
      <c r="O185" s="335"/>
      <c r="P185" s="3"/>
    </row>
    <row r="186" spans="1:16" ht="40.5" customHeight="1">
      <c r="A186" s="606" t="s">
        <v>226</v>
      </c>
      <c r="B186" s="602" t="s">
        <v>227</v>
      </c>
      <c r="C186" s="613" t="s">
        <v>218</v>
      </c>
      <c r="D186" s="316" t="s">
        <v>219</v>
      </c>
      <c r="E186" s="519">
        <v>0.74</v>
      </c>
      <c r="F186" s="333"/>
      <c r="G186" s="333"/>
      <c r="H186" s="333"/>
      <c r="I186" s="333"/>
      <c r="J186" s="331"/>
      <c r="K186" s="331"/>
      <c r="L186" s="332"/>
      <c r="M186" s="333"/>
      <c r="N186" s="333"/>
      <c r="O186" s="334"/>
      <c r="P186" s="3"/>
    </row>
    <row r="187" spans="1:16" ht="51" customHeight="1">
      <c r="A187" s="607"/>
      <c r="B187" s="602"/>
      <c r="C187" s="613"/>
      <c r="D187" s="316" t="s">
        <v>220</v>
      </c>
      <c r="E187" s="519" t="s">
        <v>228</v>
      </c>
      <c r="F187" s="333"/>
      <c r="G187" s="333"/>
      <c r="H187" s="333"/>
      <c r="I187" s="333"/>
      <c r="J187" s="331"/>
      <c r="K187" s="331"/>
      <c r="L187" s="332"/>
      <c r="M187" s="333"/>
      <c r="N187" s="333"/>
      <c r="O187" s="331"/>
      <c r="P187" s="3"/>
    </row>
    <row r="188" spans="1:16" ht="41.25" customHeight="1">
      <c r="A188" s="606" t="s">
        <v>229</v>
      </c>
      <c r="B188" s="604" t="s">
        <v>227</v>
      </c>
      <c r="C188" s="605" t="s">
        <v>218</v>
      </c>
      <c r="D188" s="321" t="s">
        <v>219</v>
      </c>
      <c r="E188" s="519" t="s">
        <v>230</v>
      </c>
      <c r="F188" s="333"/>
      <c r="G188" s="329"/>
      <c r="H188" s="329"/>
      <c r="I188" s="329"/>
      <c r="J188" s="327"/>
      <c r="K188" s="322"/>
      <c r="L188" s="327"/>
      <c r="M188" s="329"/>
      <c r="N188" s="329"/>
      <c r="O188" s="322"/>
      <c r="P188" s="3"/>
    </row>
    <row r="189" spans="1:16" ht="46.5" customHeight="1">
      <c r="A189" s="607"/>
      <c r="B189" s="604"/>
      <c r="C189" s="605"/>
      <c r="D189" s="321" t="s">
        <v>220</v>
      </c>
      <c r="E189" s="519" t="s">
        <v>231</v>
      </c>
      <c r="F189" s="333"/>
      <c r="G189" s="329"/>
      <c r="H189" s="329"/>
      <c r="I189" s="329"/>
      <c r="J189" s="327"/>
      <c r="K189" s="327"/>
      <c r="L189" s="327"/>
      <c r="M189" s="329"/>
      <c r="N189" s="329"/>
      <c r="O189" s="327"/>
      <c r="P189" s="3"/>
    </row>
    <row r="190" spans="1:16" ht="36.75" customHeight="1">
      <c r="A190" s="606" t="s">
        <v>232</v>
      </c>
      <c r="B190" s="602" t="s">
        <v>227</v>
      </c>
      <c r="C190" s="603" t="s">
        <v>218</v>
      </c>
      <c r="D190" s="316" t="s">
        <v>219</v>
      </c>
      <c r="E190" s="519" t="s">
        <v>233</v>
      </c>
      <c r="F190" s="333"/>
      <c r="G190" s="333"/>
      <c r="H190" s="333"/>
      <c r="I190" s="333"/>
      <c r="J190" s="331"/>
      <c r="K190" s="331"/>
      <c r="L190" s="332"/>
      <c r="M190" s="333"/>
      <c r="N190" s="333"/>
      <c r="O190" s="331"/>
      <c r="P190" s="3"/>
    </row>
    <row r="191" spans="1:16" ht="38.25" customHeight="1">
      <c r="A191" s="607"/>
      <c r="B191" s="602"/>
      <c r="C191" s="603"/>
      <c r="D191" s="316" t="s">
        <v>220</v>
      </c>
      <c r="E191" s="519" t="s">
        <v>234</v>
      </c>
      <c r="F191" s="333"/>
      <c r="G191" s="333"/>
      <c r="H191" s="333"/>
      <c r="I191" s="333"/>
      <c r="J191" s="331"/>
      <c r="K191" s="331"/>
      <c r="L191" s="332"/>
      <c r="M191" s="333"/>
      <c r="N191" s="333"/>
      <c r="O191" s="331"/>
      <c r="P191" s="3"/>
    </row>
    <row r="192" spans="1:16" ht="42.75" customHeight="1">
      <c r="A192" s="606" t="s">
        <v>235</v>
      </c>
      <c r="B192" s="604" t="s">
        <v>227</v>
      </c>
      <c r="C192" s="605" t="s">
        <v>218</v>
      </c>
      <c r="D192" s="321" t="s">
        <v>219</v>
      </c>
      <c r="E192" s="519" t="s">
        <v>233</v>
      </c>
      <c r="F192" s="333"/>
      <c r="G192" s="329"/>
      <c r="H192" s="329"/>
      <c r="I192" s="329"/>
      <c r="J192" s="327"/>
      <c r="K192" s="327"/>
      <c r="L192" s="327"/>
      <c r="M192" s="329"/>
      <c r="N192" s="329"/>
      <c r="O192" s="327"/>
      <c r="P192" s="3"/>
    </row>
    <row r="193" spans="1:16" ht="39.75" customHeight="1">
      <c r="A193" s="607"/>
      <c r="B193" s="604"/>
      <c r="C193" s="605"/>
      <c r="D193" s="321" t="s">
        <v>220</v>
      </c>
      <c r="E193" s="519" t="s">
        <v>236</v>
      </c>
      <c r="F193" s="333"/>
      <c r="G193" s="329"/>
      <c r="H193" s="329"/>
      <c r="I193" s="329"/>
      <c r="J193" s="327"/>
      <c r="K193" s="327"/>
      <c r="L193" s="327"/>
      <c r="M193" s="329"/>
      <c r="N193" s="329"/>
      <c r="O193" s="327"/>
      <c r="P193" s="3"/>
    </row>
    <row r="194" spans="1:16" ht="41.25" customHeight="1">
      <c r="A194" s="606" t="s">
        <v>237</v>
      </c>
      <c r="B194" s="602" t="s">
        <v>217</v>
      </c>
      <c r="C194" s="603" t="s">
        <v>238</v>
      </c>
      <c r="D194" s="316" t="s">
        <v>219</v>
      </c>
      <c r="E194" s="519">
        <v>1</v>
      </c>
      <c r="F194" s="333"/>
      <c r="G194" s="328"/>
      <c r="H194" s="328"/>
      <c r="I194" s="328"/>
      <c r="J194" s="331"/>
      <c r="K194" s="331"/>
      <c r="L194" s="332"/>
      <c r="M194" s="336"/>
      <c r="N194" s="336"/>
      <c r="O194" s="331"/>
      <c r="P194" s="3"/>
    </row>
    <row r="195" spans="1:16" ht="21" customHeight="1">
      <c r="A195" s="607"/>
      <c r="B195" s="602"/>
      <c r="C195" s="603"/>
      <c r="D195" s="316" t="s">
        <v>220</v>
      </c>
      <c r="E195" s="519" t="s">
        <v>239</v>
      </c>
      <c r="F195" s="333"/>
      <c r="G195" s="328"/>
      <c r="H195" s="328"/>
      <c r="I195" s="328"/>
      <c r="J195" s="331"/>
      <c r="K195" s="331"/>
      <c r="L195" s="332"/>
      <c r="M195" s="336"/>
      <c r="N195" s="332"/>
      <c r="O195" s="331"/>
      <c r="P195" s="3"/>
    </row>
    <row r="196" spans="1:16" ht="19.5" customHeight="1">
      <c r="A196" s="600" t="s">
        <v>240</v>
      </c>
      <c r="B196" s="604" t="s">
        <v>227</v>
      </c>
      <c r="C196" s="605" t="s">
        <v>218</v>
      </c>
      <c r="D196" s="321" t="s">
        <v>219</v>
      </c>
      <c r="E196" s="519" t="s">
        <v>241</v>
      </c>
      <c r="F196" s="333"/>
      <c r="G196" s="328"/>
      <c r="H196" s="328"/>
      <c r="I196" s="328"/>
      <c r="J196" s="327"/>
      <c r="K196" s="327"/>
      <c r="L196" s="327"/>
      <c r="M196" s="328"/>
      <c r="N196" s="328"/>
      <c r="O196" s="327"/>
      <c r="P196" s="3"/>
    </row>
    <row r="197" spans="1:16" ht="33.75" customHeight="1">
      <c r="A197" s="601"/>
      <c r="B197" s="604"/>
      <c r="C197" s="605"/>
      <c r="D197" s="321" t="s">
        <v>220</v>
      </c>
      <c r="E197" s="519" t="s">
        <v>242</v>
      </c>
      <c r="F197" s="328"/>
      <c r="G197" s="328"/>
      <c r="H197" s="328"/>
      <c r="I197" s="328"/>
      <c r="J197" s="327"/>
      <c r="K197" s="327"/>
      <c r="L197" s="327"/>
      <c r="M197" s="327"/>
      <c r="N197" s="327"/>
      <c r="O197" s="327"/>
      <c r="P197" s="3"/>
    </row>
    <row r="198" spans="1:16">
      <c r="E198" s="577"/>
    </row>
    <row r="199" spans="1:16" ht="16.5" thickBot="1">
      <c r="A199" s="203"/>
      <c r="E199" s="577"/>
    </row>
    <row r="200" spans="1:16" ht="25.5">
      <c r="A200" t="s">
        <v>243</v>
      </c>
      <c r="B200" s="202" t="s">
        <v>214</v>
      </c>
      <c r="C200" s="251" t="s">
        <v>215</v>
      </c>
      <c r="D200" s="167"/>
      <c r="E200" s="578" t="s">
        <v>25</v>
      </c>
      <c r="F200" s="231" t="s">
        <v>40</v>
      </c>
      <c r="G200" s="231" t="s">
        <v>41</v>
      </c>
      <c r="H200" s="231" t="s">
        <v>42</v>
      </c>
      <c r="I200" s="231" t="s">
        <v>43</v>
      </c>
      <c r="J200" s="231" t="s">
        <v>44</v>
      </c>
      <c r="K200" s="231" t="s">
        <v>45</v>
      </c>
      <c r="L200" s="231" t="s">
        <v>46</v>
      </c>
      <c r="M200" s="231" t="s">
        <v>47</v>
      </c>
      <c r="N200" s="231" t="s">
        <v>48</v>
      </c>
      <c r="O200" s="231" t="s">
        <v>49</v>
      </c>
    </row>
    <row r="201" spans="1:16" ht="30" customHeight="1">
      <c r="A201" s="678" t="str">
        <f>IF(ISBLANK(A174),"",(A174))</f>
        <v>KP-1d⁽ᴹ⁾ Процент ЛУИН, охваченных программами по профилактике ВИЧ - минимальный пакет услуг</v>
      </c>
      <c r="B201" s="627" t="str">
        <f>IF(ISBLANK(B174),"",(B174))</f>
        <v>Топ 10</v>
      </c>
      <c r="C201" s="631" t="str">
        <f>IF(ISBLANK(C174),"",(C174))</f>
        <v>с текущим грантом</v>
      </c>
      <c r="D201" s="316" t="s">
        <v>219</v>
      </c>
      <c r="E201" s="579">
        <f>E174</f>
        <v>0.7</v>
      </c>
      <c r="F201" s="337"/>
      <c r="G201" s="337"/>
      <c r="H201" s="520"/>
      <c r="I201" s="520"/>
      <c r="J201" s="337"/>
      <c r="K201" s="337"/>
      <c r="L201" s="338"/>
      <c r="M201" s="338"/>
      <c r="N201" s="338"/>
      <c r="O201" s="338"/>
    </row>
    <row r="202" spans="1:16">
      <c r="A202" s="679"/>
      <c r="B202" s="627"/>
      <c r="C202" s="631"/>
      <c r="D202" s="316" t="s">
        <v>220</v>
      </c>
      <c r="E202" s="579">
        <f>E175</f>
        <v>0.68</v>
      </c>
      <c r="F202" s="337"/>
      <c r="G202" s="337"/>
      <c r="H202" s="520"/>
      <c r="I202" s="520"/>
      <c r="J202" s="337"/>
      <c r="K202" s="337"/>
      <c r="L202" s="338"/>
      <c r="M202" s="338"/>
      <c r="N202" s="338"/>
      <c r="O202" s="338"/>
    </row>
    <row r="203" spans="1:16">
      <c r="A203" s="680" t="str">
        <f>IF(ISBLANK(A176),"",(A176))</f>
        <v>HTS-5 Процент людей с впервые выявленным ВИЧ, начавших АРТ</v>
      </c>
      <c r="B203" s="628" t="str">
        <f>IF(ISBLANK(B176),"",(B176))</f>
        <v>Топ 10</v>
      </c>
      <c r="C203" s="629" t="str">
        <f>IF(ISBLANK(C176),"",(C176))</f>
        <v>с текущим грантом</v>
      </c>
      <c r="D203" s="321" t="s">
        <v>219</v>
      </c>
      <c r="E203" s="580">
        <f>E176</f>
        <v>0.9</v>
      </c>
      <c r="F203" s="339"/>
      <c r="G203" s="339"/>
      <c r="H203" s="520"/>
      <c r="I203" s="521"/>
      <c r="J203" s="339"/>
      <c r="K203" s="339"/>
      <c r="L203" s="340"/>
      <c r="M203" s="340"/>
      <c r="N203" s="340"/>
      <c r="O203" s="340"/>
    </row>
    <row r="204" spans="1:16">
      <c r="A204" s="681"/>
      <c r="B204" s="628"/>
      <c r="C204" s="629"/>
      <c r="D204" s="321" t="s">
        <v>220</v>
      </c>
      <c r="E204" s="580">
        <f>E177</f>
        <v>0.88</v>
      </c>
      <c r="F204" s="339"/>
      <c r="G204" s="339"/>
      <c r="H204" s="522"/>
      <c r="I204" s="521"/>
      <c r="J204" s="339"/>
      <c r="K204" s="339"/>
      <c r="L204" s="340"/>
      <c r="M204" s="340"/>
      <c r="N204" s="340"/>
      <c r="O204" s="340"/>
    </row>
    <row r="205" spans="1:16" ht="25.5" customHeight="1">
      <c r="A205" s="682" t="str">
        <f>IF(ISBLANK(A178),"",(A178))</f>
        <v>TCS-1.1⁽ᴹ⁾ Процент людей, получающих АРТ, среди всех людей, живущих с ВИЧ, на конец отчетного периода</v>
      </c>
      <c r="B205" s="627" t="str">
        <f>IF(ISBLANK(B178),"",(B178))</f>
        <v>Топ 10</v>
      </c>
      <c r="C205" s="631" t="str">
        <f>IF(ISBLANK(C178),"",(C178))</f>
        <v>с текущим грантом</v>
      </c>
      <c r="D205" s="341" t="s">
        <v>219</v>
      </c>
      <c r="E205" s="579">
        <f t="shared" ref="E205:E206" si="11">E178</f>
        <v>0.72</v>
      </c>
      <c r="F205" s="425"/>
      <c r="G205" s="425"/>
      <c r="H205" s="337"/>
      <c r="I205" s="523"/>
      <c r="J205" s="337"/>
      <c r="K205" s="337"/>
      <c r="L205" s="338"/>
      <c r="M205" s="338"/>
      <c r="N205" s="338"/>
      <c r="O205" s="338"/>
    </row>
    <row r="206" spans="1:16">
      <c r="A206" s="679"/>
      <c r="B206" s="630"/>
      <c r="C206" s="632"/>
      <c r="D206" s="316" t="s">
        <v>220</v>
      </c>
      <c r="E206" s="566">
        <f t="shared" si="11"/>
        <v>0.54</v>
      </c>
      <c r="F206" s="425"/>
      <c r="G206" s="425"/>
      <c r="H206" s="337"/>
      <c r="I206" s="523"/>
      <c r="J206" s="337"/>
      <c r="K206" s="337"/>
      <c r="L206" s="338"/>
      <c r="M206" s="338"/>
      <c r="N206" s="338"/>
      <c r="O206" s="338"/>
    </row>
    <row r="207" spans="1:16">
      <c r="F207" t="str">
        <f>IF(AND(D207&gt;0,E207&gt;0),E207/D207,"")</f>
        <v/>
      </c>
      <c r="G207" s="75"/>
      <c r="H207" s="75"/>
    </row>
    <row r="208" spans="1:16" ht="19.5" thickBot="1">
      <c r="A208" s="352" t="s">
        <v>244</v>
      </c>
      <c r="B208" s="87"/>
      <c r="C208" s="87"/>
      <c r="D208" s="87"/>
      <c r="E208" s="168"/>
      <c r="F208" s="166"/>
      <c r="G208" s="208"/>
      <c r="H208" s="407" t="s">
        <v>212</v>
      </c>
      <c r="I208" s="408"/>
      <c r="J208" s="409"/>
      <c r="K208" s="409"/>
      <c r="L208" s="409"/>
      <c r="M208" s="410"/>
    </row>
    <row r="209" spans="1:16" ht="15.75" thickBot="1"/>
    <row r="210" spans="1:16" ht="39.75" customHeight="1">
      <c r="A210" s="443" t="s">
        <v>213</v>
      </c>
      <c r="B210" s="202" t="s">
        <v>214</v>
      </c>
      <c r="C210" s="251" t="s">
        <v>215</v>
      </c>
      <c r="D210" s="167"/>
      <c r="E210" s="231" t="s">
        <v>245</v>
      </c>
      <c r="F210" s="231" t="s">
        <v>246</v>
      </c>
      <c r="G210" s="231" t="s">
        <v>41</v>
      </c>
      <c r="H210" s="231" t="s">
        <v>42</v>
      </c>
      <c r="I210" s="517" t="s">
        <v>43</v>
      </c>
      <c r="J210" s="231" t="s">
        <v>44</v>
      </c>
      <c r="K210" s="231" t="s">
        <v>45</v>
      </c>
      <c r="L210" s="231" t="s">
        <v>46</v>
      </c>
      <c r="M210" s="231" t="s">
        <v>47</v>
      </c>
      <c r="N210" s="231" t="s">
        <v>48</v>
      </c>
      <c r="O210" s="231" t="s">
        <v>49</v>
      </c>
      <c r="P210" s="3"/>
    </row>
    <row r="211" spans="1:16" ht="40.5" customHeight="1">
      <c r="A211" s="445" t="s">
        <v>247</v>
      </c>
      <c r="B211" s="602" t="s">
        <v>227</v>
      </c>
      <c r="C211" s="625" t="s">
        <v>248</v>
      </c>
      <c r="D211" s="411" t="s">
        <v>219</v>
      </c>
      <c r="E211" s="567">
        <v>0.97</v>
      </c>
      <c r="F211" s="351"/>
      <c r="G211" s="351"/>
      <c r="H211" s="351"/>
      <c r="I211" s="351"/>
      <c r="J211" s="182"/>
      <c r="K211" s="182"/>
      <c r="L211" s="182"/>
      <c r="M211" s="182"/>
      <c r="N211" s="182"/>
      <c r="O211" s="182"/>
      <c r="P211" s="3"/>
    </row>
    <row r="212" spans="1:16" ht="23.25" customHeight="1">
      <c r="A212" s="446"/>
      <c r="B212" s="602"/>
      <c r="C212" s="626"/>
      <c r="D212" s="411" t="s">
        <v>249</v>
      </c>
      <c r="E212" s="567">
        <v>0.94</v>
      </c>
      <c r="F212" s="182"/>
      <c r="G212" s="182"/>
      <c r="H212" s="182"/>
      <c r="I212" s="182"/>
      <c r="J212" s="182"/>
      <c r="K212" s="182"/>
      <c r="L212" s="182"/>
      <c r="M212" s="182"/>
      <c r="N212" s="182"/>
      <c r="O212" s="182"/>
      <c r="P212" s="3"/>
    </row>
    <row r="213" spans="1:16" ht="48" customHeight="1">
      <c r="A213" s="683" t="s">
        <v>250</v>
      </c>
      <c r="B213" s="604" t="s">
        <v>217</v>
      </c>
      <c r="C213" s="641" t="s">
        <v>248</v>
      </c>
      <c r="D213" s="411" t="s">
        <v>219</v>
      </c>
      <c r="E213" s="568">
        <v>1697</v>
      </c>
      <c r="F213" s="271"/>
      <c r="G213" s="183"/>
      <c r="H213" s="183"/>
      <c r="I213" s="292"/>
      <c r="J213" s="183"/>
      <c r="K213" s="183"/>
      <c r="L213" s="183"/>
      <c r="M213" s="183"/>
      <c r="N213" s="183"/>
      <c r="O213" s="183"/>
      <c r="P213" s="3"/>
    </row>
    <row r="214" spans="1:16" ht="15.75" customHeight="1">
      <c r="A214" s="684"/>
      <c r="B214" s="604"/>
      <c r="C214" s="642"/>
      <c r="D214" s="412" t="s">
        <v>249</v>
      </c>
      <c r="E214" s="568">
        <v>914</v>
      </c>
      <c r="F214" s="271"/>
      <c r="G214" s="201"/>
      <c r="H214" s="201"/>
      <c r="I214" s="201"/>
      <c r="J214" s="201"/>
      <c r="K214" s="201"/>
      <c r="L214" s="201"/>
      <c r="M214" s="183"/>
      <c r="N214" s="183"/>
      <c r="O214" s="183"/>
      <c r="P214" s="3"/>
    </row>
    <row r="215" spans="1:16" ht="38.25" customHeight="1">
      <c r="A215" s="445" t="s">
        <v>251</v>
      </c>
      <c r="B215" s="602" t="s">
        <v>227</v>
      </c>
      <c r="C215" s="625" t="s">
        <v>248</v>
      </c>
      <c r="D215" s="411" t="s">
        <v>219</v>
      </c>
      <c r="E215" s="568">
        <v>1612</v>
      </c>
      <c r="F215" s="271"/>
      <c r="G215" s="183"/>
      <c r="H215" s="183"/>
      <c r="I215" s="292"/>
      <c r="J215" s="182"/>
      <c r="K215" s="182"/>
      <c r="L215" s="182"/>
      <c r="M215" s="182"/>
      <c r="N215" s="182"/>
      <c r="O215" s="182"/>
      <c r="P215" s="3"/>
    </row>
    <row r="216" spans="1:16" ht="39.75" customHeight="1">
      <c r="A216" s="444"/>
      <c r="B216" s="602"/>
      <c r="C216" s="626"/>
      <c r="D216" s="411" t="s">
        <v>249</v>
      </c>
      <c r="E216" s="568">
        <v>934</v>
      </c>
      <c r="F216" s="271"/>
      <c r="G216" s="271"/>
      <c r="H216" s="271"/>
      <c r="I216" s="271"/>
      <c r="J216" s="182"/>
      <c r="K216" s="182"/>
      <c r="L216" s="182"/>
      <c r="M216" s="182"/>
      <c r="N216" s="182"/>
      <c r="O216" s="182"/>
      <c r="P216" s="3"/>
    </row>
    <row r="217" spans="1:16" ht="39.75" customHeight="1">
      <c r="A217" s="683" t="s">
        <v>252</v>
      </c>
      <c r="B217" s="604" t="s">
        <v>217</v>
      </c>
      <c r="C217" s="641" t="s">
        <v>248</v>
      </c>
      <c r="D217" s="411" t="s">
        <v>219</v>
      </c>
      <c r="E217" s="567">
        <v>0.72</v>
      </c>
      <c r="F217" s="351"/>
      <c r="G217" s="351"/>
      <c r="H217" s="351"/>
      <c r="I217" s="351"/>
      <c r="J217" s="271"/>
      <c r="K217" s="271"/>
      <c r="L217" s="271"/>
      <c r="M217" s="271"/>
      <c r="N217" s="271"/>
      <c r="O217" s="271"/>
      <c r="P217" s="3"/>
    </row>
    <row r="218" spans="1:16" ht="39.75" customHeight="1">
      <c r="A218" s="684"/>
      <c r="B218" s="604"/>
      <c r="C218" s="642"/>
      <c r="D218" s="411" t="s">
        <v>249</v>
      </c>
      <c r="E218" s="567">
        <v>0.79</v>
      </c>
      <c r="F218" s="351"/>
      <c r="G218" s="351"/>
      <c r="H218" s="351"/>
      <c r="I218" s="351"/>
      <c r="J218" s="271"/>
      <c r="K218" s="271"/>
      <c r="L218" s="271"/>
      <c r="M218" s="271"/>
      <c r="N218" s="271"/>
      <c r="O218" s="271"/>
      <c r="P218" s="3"/>
    </row>
    <row r="219" spans="1:16" ht="35.25" customHeight="1">
      <c r="A219" s="672" t="s">
        <v>253</v>
      </c>
      <c r="B219" s="602" t="s">
        <v>254</v>
      </c>
      <c r="C219" s="625"/>
      <c r="D219" s="411" t="s">
        <v>219</v>
      </c>
      <c r="E219" s="569">
        <v>0.23</v>
      </c>
      <c r="F219" s="272"/>
      <c r="G219" s="272"/>
      <c r="H219" s="272"/>
      <c r="I219" s="272"/>
      <c r="J219" s="272"/>
      <c r="K219" s="272"/>
      <c r="L219" s="272"/>
      <c r="M219" s="272"/>
      <c r="N219" s="272"/>
      <c r="O219" s="272"/>
      <c r="P219" s="3"/>
    </row>
    <row r="220" spans="1:16" ht="39" customHeight="1">
      <c r="A220" s="673"/>
      <c r="B220" s="602"/>
      <c r="C220" s="626"/>
      <c r="D220" s="412" t="s">
        <v>249</v>
      </c>
      <c r="E220" s="594">
        <v>0.18</v>
      </c>
      <c r="F220" s="272"/>
      <c r="G220" s="272"/>
      <c r="H220" s="272"/>
      <c r="I220" s="272"/>
      <c r="J220" s="272"/>
      <c r="K220" s="272"/>
      <c r="L220" s="272"/>
      <c r="M220" s="272"/>
      <c r="N220" s="272"/>
      <c r="O220" s="272"/>
      <c r="P220" s="3"/>
    </row>
    <row r="221" spans="1:16" ht="43.5" customHeight="1">
      <c r="A221" s="672" t="s">
        <v>255</v>
      </c>
      <c r="B221" s="643" t="s">
        <v>254</v>
      </c>
      <c r="C221" s="641"/>
      <c r="D221" s="411" t="s">
        <v>219</v>
      </c>
      <c r="E221" s="567" t="s">
        <v>256</v>
      </c>
      <c r="F221" s="351"/>
      <c r="G221" s="351"/>
      <c r="H221" s="351"/>
      <c r="I221" s="351"/>
      <c r="J221" s="273"/>
      <c r="K221" s="273"/>
      <c r="L221" s="273"/>
      <c r="M221" s="273"/>
      <c r="N221" s="273"/>
      <c r="O221" s="301"/>
      <c r="P221" s="3"/>
    </row>
    <row r="222" spans="1:16" ht="40.5" customHeight="1">
      <c r="A222" s="673"/>
      <c r="B222" s="644"/>
      <c r="C222" s="642"/>
      <c r="D222" s="411" t="s">
        <v>257</v>
      </c>
      <c r="E222" s="567" t="s">
        <v>258</v>
      </c>
      <c r="F222" s="351"/>
      <c r="G222" s="351"/>
      <c r="H222" s="351"/>
      <c r="I222" s="351"/>
      <c r="J222" s="271"/>
      <c r="K222" s="271"/>
      <c r="L222" s="271"/>
      <c r="M222" s="273"/>
      <c r="N222" s="273"/>
      <c r="O222" s="273"/>
      <c r="P222" s="3"/>
    </row>
    <row r="223" spans="1:16" ht="20.25" customHeight="1"/>
    <row r="224" spans="1:16">
      <c r="A224" t="s">
        <v>243</v>
      </c>
    </row>
    <row r="225" spans="1:15" ht="4.5" customHeight="1" thickBot="1"/>
    <row r="226" spans="1:15" ht="16.5" hidden="1" thickBot="1">
      <c r="A226" s="203"/>
    </row>
    <row r="227" spans="1:15" ht="72" customHeight="1">
      <c r="A227" s="30"/>
      <c r="B227" s="515" t="s">
        <v>214</v>
      </c>
      <c r="C227" s="251" t="s">
        <v>215</v>
      </c>
      <c r="D227" s="167"/>
      <c r="E227" s="231" t="str">
        <f t="shared" ref="E227:O227" si="12">B30</f>
        <v>P1</v>
      </c>
      <c r="F227" s="231" t="str">
        <f t="shared" si="12"/>
        <v>P2</v>
      </c>
      <c r="G227" s="231" t="str">
        <f t="shared" si="12"/>
        <v>P3</v>
      </c>
      <c r="H227" s="231" t="str">
        <f t="shared" si="12"/>
        <v>P4</v>
      </c>
      <c r="I227" s="231" t="str">
        <f t="shared" si="12"/>
        <v>P5</v>
      </c>
      <c r="J227" s="231" t="str">
        <f t="shared" si="12"/>
        <v>P6</v>
      </c>
      <c r="K227" s="231" t="str">
        <f t="shared" si="12"/>
        <v>P7</v>
      </c>
      <c r="L227" s="231" t="str">
        <f t="shared" si="12"/>
        <v>P8</v>
      </c>
      <c r="M227" s="231" t="str">
        <f t="shared" si="12"/>
        <v>P9</v>
      </c>
      <c r="N227" s="231" t="str">
        <f t="shared" si="12"/>
        <v>P10</v>
      </c>
      <c r="O227" s="231" t="str">
        <f t="shared" si="12"/>
        <v>P11</v>
      </c>
    </row>
    <row r="228" spans="1:15" ht="47.25" customHeight="1">
      <c r="A228" s="674" t="str">
        <f>A211</f>
        <v>MDR TB-6: Процент ТБ пациентов с результатом ТЛЧ как минимум к рифампицину среди общего количества зарегистрированных (новых и ранее леченных) случаев том же году.</v>
      </c>
      <c r="B228" s="633" t="str">
        <f>IF(ISBLANK(B211),"",(B211))</f>
        <v xml:space="preserve"> Топ 10</v>
      </c>
      <c r="C228" s="635" t="str">
        <f>IF(ISBLANK(C211),"",(C211))</f>
        <v>да</v>
      </c>
      <c r="D228" s="411" t="s">
        <v>219</v>
      </c>
      <c r="E228" s="570">
        <f t="shared" ref="E228:O228" si="13">E211</f>
        <v>0.97</v>
      </c>
      <c r="F228" s="413">
        <f t="shared" si="13"/>
        <v>0</v>
      </c>
      <c r="G228" s="413">
        <f t="shared" si="13"/>
        <v>0</v>
      </c>
      <c r="H228" s="413">
        <f t="shared" si="13"/>
        <v>0</v>
      </c>
      <c r="I228" s="413">
        <f t="shared" si="13"/>
        <v>0</v>
      </c>
      <c r="J228" s="413">
        <f t="shared" si="13"/>
        <v>0</v>
      </c>
      <c r="K228" s="413">
        <f t="shared" si="13"/>
        <v>0</v>
      </c>
      <c r="L228" s="413">
        <f t="shared" si="13"/>
        <v>0</v>
      </c>
      <c r="M228" s="413">
        <f t="shared" si="13"/>
        <v>0</v>
      </c>
      <c r="N228" s="413">
        <f t="shared" si="13"/>
        <v>0</v>
      </c>
      <c r="O228" s="413">
        <f t="shared" si="13"/>
        <v>0</v>
      </c>
    </row>
    <row r="229" spans="1:15">
      <c r="A229" s="675"/>
      <c r="B229" s="639"/>
      <c r="C229" s="640"/>
      <c r="D229" s="414" t="s">
        <v>249</v>
      </c>
      <c r="E229" s="570">
        <f t="shared" ref="E229:H233" si="14">E212</f>
        <v>0.94</v>
      </c>
      <c r="F229" s="413">
        <f t="shared" si="14"/>
        <v>0</v>
      </c>
      <c r="G229" s="413">
        <f t="shared" si="14"/>
        <v>0</v>
      </c>
      <c r="H229" s="413">
        <f t="shared" si="14"/>
        <v>0</v>
      </c>
      <c r="I229" s="413">
        <f t="shared" ref="I229:O233" si="15">I212</f>
        <v>0</v>
      </c>
      <c r="J229" s="413">
        <f t="shared" si="15"/>
        <v>0</v>
      </c>
      <c r="K229" s="413">
        <f t="shared" si="15"/>
        <v>0</v>
      </c>
      <c r="L229" s="413">
        <f t="shared" si="15"/>
        <v>0</v>
      </c>
      <c r="M229" s="413">
        <f t="shared" si="15"/>
        <v>0</v>
      </c>
      <c r="N229" s="413">
        <f t="shared" si="15"/>
        <v>0</v>
      </c>
      <c r="O229" s="413">
        <f t="shared" si="15"/>
        <v>0</v>
      </c>
    </row>
    <row r="230" spans="1:15" ht="25.5" customHeight="1">
      <c r="A230" s="676" t="str">
        <f>A213</f>
        <v xml:space="preserve">MDR TB-2: Количество бактериологически подтвержденных зарегистрированных ЛУ-ТБ случаев (РУ-ТБ и/или МЛУ-ТБ)		</v>
      </c>
      <c r="B230" s="645" t="str">
        <f>IF(ISBLANK(B213),"",(B213))</f>
        <v>Топ 10</v>
      </c>
      <c r="C230" s="637" t="str">
        <f>IF(ISBLANK(C213),"",(C213))</f>
        <v>да</v>
      </c>
      <c r="D230" s="412" t="s">
        <v>219</v>
      </c>
      <c r="E230" s="571">
        <f t="shared" si="14"/>
        <v>1697</v>
      </c>
      <c r="F230" s="415">
        <f>F213</f>
        <v>0</v>
      </c>
      <c r="G230" s="415">
        <f t="shared" si="14"/>
        <v>0</v>
      </c>
      <c r="H230" s="415">
        <f>H213</f>
        <v>0</v>
      </c>
      <c r="I230" s="415">
        <f t="shared" si="15"/>
        <v>0</v>
      </c>
      <c r="J230" s="415">
        <f t="shared" si="15"/>
        <v>0</v>
      </c>
      <c r="K230" s="415">
        <f t="shared" si="15"/>
        <v>0</v>
      </c>
      <c r="L230" s="415">
        <f t="shared" si="15"/>
        <v>0</v>
      </c>
      <c r="M230" s="415">
        <f t="shared" si="15"/>
        <v>0</v>
      </c>
      <c r="N230" s="415">
        <f t="shared" si="15"/>
        <v>0</v>
      </c>
      <c r="O230" s="415">
        <f t="shared" si="15"/>
        <v>0</v>
      </c>
    </row>
    <row r="231" spans="1:15">
      <c r="A231" s="677"/>
      <c r="B231" s="646"/>
      <c r="C231" s="638"/>
      <c r="D231" s="412" t="s">
        <v>249</v>
      </c>
      <c r="E231" s="571">
        <f t="shared" si="14"/>
        <v>914</v>
      </c>
      <c r="F231" s="415">
        <f t="shared" si="14"/>
        <v>0</v>
      </c>
      <c r="G231" s="415">
        <f t="shared" si="14"/>
        <v>0</v>
      </c>
      <c r="H231" s="415">
        <f t="shared" si="14"/>
        <v>0</v>
      </c>
      <c r="I231" s="415">
        <f t="shared" si="15"/>
        <v>0</v>
      </c>
      <c r="J231" s="415">
        <f t="shared" si="15"/>
        <v>0</v>
      </c>
      <c r="K231" s="415">
        <f t="shared" si="15"/>
        <v>0</v>
      </c>
      <c r="L231" s="415">
        <f t="shared" si="15"/>
        <v>0</v>
      </c>
      <c r="M231" s="415">
        <f t="shared" si="15"/>
        <v>0</v>
      </c>
      <c r="N231" s="415">
        <f t="shared" si="15"/>
        <v>0</v>
      </c>
      <c r="O231" s="415">
        <f t="shared" si="15"/>
        <v>0</v>
      </c>
    </row>
    <row r="232" spans="1:15" ht="58.5" customHeight="1">
      <c r="A232" s="674" t="str">
        <f>A215</f>
        <v>MDR TB-3: Количество случаев с РУ/МЛУ ТБ, начавших лечение препаратами второго ряда</v>
      </c>
      <c r="B232" s="633" t="str">
        <f>IF(ISBLANK(B215),"",(B215))</f>
        <v xml:space="preserve"> Топ 10</v>
      </c>
      <c r="C232" s="635" t="str">
        <f>IF(ISBLANK(C215),"",(C215))</f>
        <v>да</v>
      </c>
      <c r="D232" s="416" t="s">
        <v>219</v>
      </c>
      <c r="E232" s="572">
        <f t="shared" si="14"/>
        <v>1612</v>
      </c>
      <c r="F232" s="413">
        <f t="shared" si="14"/>
        <v>0</v>
      </c>
      <c r="G232" s="413">
        <f t="shared" si="14"/>
        <v>0</v>
      </c>
      <c r="H232" s="417">
        <f t="shared" si="14"/>
        <v>0</v>
      </c>
      <c r="I232" s="413">
        <f t="shared" si="15"/>
        <v>0</v>
      </c>
      <c r="J232" s="413">
        <f t="shared" si="15"/>
        <v>0</v>
      </c>
      <c r="K232" s="413">
        <f t="shared" si="15"/>
        <v>0</v>
      </c>
      <c r="L232" s="413">
        <f t="shared" si="15"/>
        <v>0</v>
      </c>
      <c r="M232" s="413">
        <f t="shared" si="15"/>
        <v>0</v>
      </c>
      <c r="N232" s="413">
        <f t="shared" si="15"/>
        <v>0</v>
      </c>
      <c r="O232" s="413">
        <f t="shared" si="15"/>
        <v>0</v>
      </c>
    </row>
    <row r="233" spans="1:15">
      <c r="A233" s="675"/>
      <c r="B233" s="634"/>
      <c r="C233" s="636"/>
      <c r="D233" s="418" t="s">
        <v>249</v>
      </c>
      <c r="E233" s="573">
        <f t="shared" si="14"/>
        <v>934</v>
      </c>
      <c r="F233" s="419">
        <f t="shared" si="14"/>
        <v>0</v>
      </c>
      <c r="G233" s="419">
        <f t="shared" si="14"/>
        <v>0</v>
      </c>
      <c r="H233" s="420">
        <f t="shared" si="14"/>
        <v>0</v>
      </c>
      <c r="I233" s="413">
        <f t="shared" si="15"/>
        <v>0</v>
      </c>
      <c r="J233" s="413">
        <f t="shared" si="15"/>
        <v>0</v>
      </c>
      <c r="K233" s="413">
        <f t="shared" si="15"/>
        <v>0</v>
      </c>
      <c r="L233" s="413">
        <f t="shared" si="15"/>
        <v>0</v>
      </c>
      <c r="M233" s="413">
        <f t="shared" si="15"/>
        <v>0</v>
      </c>
      <c r="N233" s="413">
        <f t="shared" si="15"/>
        <v>0</v>
      </c>
      <c r="O233" s="413">
        <f t="shared" si="15"/>
        <v>0</v>
      </c>
    </row>
    <row r="236" spans="1:15" ht="14.25" customHeight="1"/>
  </sheetData>
  <mergeCells count="106">
    <mergeCell ref="A221:A222"/>
    <mergeCell ref="A219:A220"/>
    <mergeCell ref="A228:A229"/>
    <mergeCell ref="A230:A231"/>
    <mergeCell ref="A232:A233"/>
    <mergeCell ref="A201:A202"/>
    <mergeCell ref="A203:A204"/>
    <mergeCell ref="A205:A206"/>
    <mergeCell ref="A213:A214"/>
    <mergeCell ref="A217:A218"/>
    <mergeCell ref="A178:A179"/>
    <mergeCell ref="A180:A181"/>
    <mergeCell ref="A182:A183"/>
    <mergeCell ref="A184:A185"/>
    <mergeCell ref="A186:A187"/>
    <mergeCell ref="F10:I10"/>
    <mergeCell ref="B215:B216"/>
    <mergeCell ref="C215:C216"/>
    <mergeCell ref="B217:B218"/>
    <mergeCell ref="A18:B18"/>
    <mergeCell ref="C217:C218"/>
    <mergeCell ref="A26:B26"/>
    <mergeCell ref="A88:B88"/>
    <mergeCell ref="A77:C77"/>
    <mergeCell ref="A91:B91"/>
    <mergeCell ref="A29:M29"/>
    <mergeCell ref="A92:B92"/>
    <mergeCell ref="G16:H16"/>
    <mergeCell ref="C24:D24"/>
    <mergeCell ref="F24:G24"/>
    <mergeCell ref="H24:I24"/>
    <mergeCell ref="C18:E18"/>
    <mergeCell ref="A21:I21"/>
    <mergeCell ref="C213:C214"/>
    <mergeCell ref="B1:C1"/>
    <mergeCell ref="B8:C8"/>
    <mergeCell ref="A14:I14"/>
    <mergeCell ref="B6:C6"/>
    <mergeCell ref="D6:E6"/>
    <mergeCell ref="H6:I6"/>
    <mergeCell ref="H8:I8"/>
    <mergeCell ref="B10:C10"/>
    <mergeCell ref="D12:E12"/>
    <mergeCell ref="F12:I12"/>
    <mergeCell ref="A2:I2"/>
    <mergeCell ref="B4:C4"/>
    <mergeCell ref="D4:E4"/>
    <mergeCell ref="D10:E10"/>
    <mergeCell ref="B12:C12"/>
    <mergeCell ref="B232:B233"/>
    <mergeCell ref="C232:C233"/>
    <mergeCell ref="C230:C231"/>
    <mergeCell ref="B228:B229"/>
    <mergeCell ref="C228:C229"/>
    <mergeCell ref="C219:C220"/>
    <mergeCell ref="C221:C222"/>
    <mergeCell ref="B221:B222"/>
    <mergeCell ref="B219:B220"/>
    <mergeCell ref="B230:B231"/>
    <mergeCell ref="B213:B214"/>
    <mergeCell ref="E64:H64"/>
    <mergeCell ref="C182:C183"/>
    <mergeCell ref="B184:B185"/>
    <mergeCell ref="C178:C179"/>
    <mergeCell ref="B180:B181"/>
    <mergeCell ref="C180:C181"/>
    <mergeCell ref="C184:C185"/>
    <mergeCell ref="B186:B187"/>
    <mergeCell ref="C186:C187"/>
    <mergeCell ref="B178:B179"/>
    <mergeCell ref="B182:B183"/>
    <mergeCell ref="A89:B89"/>
    <mergeCell ref="A90:B90"/>
    <mergeCell ref="B211:B212"/>
    <mergeCell ref="C211:C212"/>
    <mergeCell ref="C196:C197"/>
    <mergeCell ref="B201:B202"/>
    <mergeCell ref="B203:B204"/>
    <mergeCell ref="C203:C204"/>
    <mergeCell ref="B205:B206"/>
    <mergeCell ref="C205:C206"/>
    <mergeCell ref="C201:C202"/>
    <mergeCell ref="B196:B197"/>
    <mergeCell ref="N31:N34"/>
    <mergeCell ref="B176:B177"/>
    <mergeCell ref="C176:C177"/>
    <mergeCell ref="G130:H130"/>
    <mergeCell ref="B174:B175"/>
    <mergeCell ref="C174:C175"/>
    <mergeCell ref="A132:A148"/>
    <mergeCell ref="A149:A166"/>
    <mergeCell ref="A174:A175"/>
    <mergeCell ref="A176:A177"/>
    <mergeCell ref="A196:A197"/>
    <mergeCell ref="B194:B195"/>
    <mergeCell ref="C194:C195"/>
    <mergeCell ref="B188:B189"/>
    <mergeCell ref="C188:C189"/>
    <mergeCell ref="B190:B191"/>
    <mergeCell ref="C190:C191"/>
    <mergeCell ref="B192:B193"/>
    <mergeCell ref="C192:C193"/>
    <mergeCell ref="A188:A189"/>
    <mergeCell ref="A190:A191"/>
    <mergeCell ref="A192:A193"/>
    <mergeCell ref="A194:A195"/>
  </mergeCells>
  <phoneticPr fontId="30" type="noConversion"/>
  <conditionalFormatting sqref="A34 E32:G32 A32 L33:M33">
    <cfRule type="expression" dxfId="76" priority="28" stopIfTrue="1">
      <formula>+AND(A31&gt;=#REF!,A31&lt;=#REF!)</formula>
    </cfRule>
  </conditionalFormatting>
  <conditionalFormatting sqref="L34:M34">
    <cfRule type="expression" dxfId="75" priority="29" stopIfTrue="1">
      <formula>+AND(L32&gt;=#REF!,L32&lt;=#REF!)</formula>
    </cfRule>
  </conditionalFormatting>
  <conditionalFormatting sqref="B118:M118 B30:M30">
    <cfRule type="cellIs" dxfId="74" priority="32" stopIfTrue="1" operator="equal">
      <formula>$B$16</formula>
    </cfRule>
  </conditionalFormatting>
  <conditionalFormatting sqref="B12:C12">
    <cfRule type="cellIs" dxfId="73" priority="34" stopIfTrue="1" operator="equal">
      <formula>"C"</formula>
    </cfRule>
    <cfRule type="cellIs" dxfId="72" priority="35" stopIfTrue="1" operator="equal">
      <formula>"B2"</formula>
    </cfRule>
    <cfRule type="cellIs" dxfId="71" priority="36" stopIfTrue="1" operator="equal">
      <formula>"B1"</formula>
    </cfRule>
  </conditionalFormatting>
  <conditionalFormatting sqref="E227:O227 E173:O173 G200:O200 E210:O210">
    <cfRule type="cellIs" dxfId="70" priority="43" stopIfTrue="1" operator="equal">
      <formula>$B$16</formula>
    </cfRule>
  </conditionalFormatting>
  <conditionalFormatting sqref="G33:K33">
    <cfRule type="expression" dxfId="69" priority="21" stopIfTrue="1">
      <formula>+AND(G32&gt;=#REF!,G32&lt;=#REF!)</formula>
    </cfRule>
  </conditionalFormatting>
  <conditionalFormatting sqref="G34:K34">
    <cfRule type="expression" dxfId="68" priority="20" stopIfTrue="1">
      <formula>+AND(G32&gt;=#REF!,G32&lt;=#REF!)</formula>
    </cfRule>
  </conditionalFormatting>
  <conditionalFormatting sqref="E64:H64">
    <cfRule type="expression" dxfId="67" priority="17" stopIfTrue="1">
      <formula>LEFT($E$64,3)="Все"</formula>
    </cfRule>
  </conditionalFormatting>
  <conditionalFormatting sqref="B33:C33">
    <cfRule type="expression" dxfId="66" priority="12" stopIfTrue="1">
      <formula>+AND(B32&gt;=#REF!,B32&lt;=#REF!)</formula>
    </cfRule>
  </conditionalFormatting>
  <conditionalFormatting sqref="B34:F34">
    <cfRule type="expression" dxfId="65" priority="13" stopIfTrue="1">
      <formula>+AND(B32&gt;=#REF!,B32&lt;=#REF!)</formula>
    </cfRule>
  </conditionalFormatting>
  <conditionalFormatting sqref="F200">
    <cfRule type="cellIs" dxfId="64" priority="6" stopIfTrue="1" operator="equal">
      <formula>$B$16</formula>
    </cfRule>
  </conditionalFormatting>
  <conditionalFormatting sqref="E200">
    <cfRule type="cellIs" dxfId="63" priority="9" stopIfTrue="1" operator="equal">
      <formula>$B$16</formula>
    </cfRule>
  </conditionalFormatting>
  <conditionalFormatting sqref="D32:D33 E33:F33">
    <cfRule type="expression" dxfId="62" priority="3" stopIfTrue="1">
      <formula>+AND(D31&gt;=#REF!,D31&lt;=#REF!)</formula>
    </cfRule>
  </conditionalFormatting>
  <dataValidations disablePrompts="1" count="9">
    <dataValidation type="list" allowBlank="1" showInputMessage="1" showErrorMessage="1" sqref="F6 IW165 SS165 ACO165 AMK165 AWG165 BGC165 BPY165 BZU165 CJQ165 CTM165 DDI165 DNE165 DXA165 EGW165 EQS165 FAO165 FKK165 FUG165 GEC165 GNY165 GXU165 HHQ165 HRM165 IBI165 ILE165 IVA165 JEW165 JOS165 JYO165 KIK165 KSG165 LCC165 LLY165 LVU165 MFQ165 MPM165 MZI165 NJE165 NTA165 OCW165 OMS165 OWO165 PGK165 PQG165 QAC165 QJY165 QTU165 RDQ165 RNM165 RXI165 SHE165 SRA165 TAW165 TKS165 TUO165 UEK165 UOG165 UYC165 VHY165 VRU165 WBQ165 WLM165 WVI165" xr:uid="{00000000-0002-0000-0200-000000000000}">
      <formula1>Component</formula1>
    </dataValidation>
    <dataValidation type="list" allowBlank="1" showInputMessage="1" showErrorMessage="1" sqref="B16" xr:uid="{00000000-0002-0000-0200-000001000000}">
      <formula1>PERIOD</formula1>
    </dataValidation>
    <dataValidation type="list" allowBlank="1" showInputMessage="1" showErrorMessage="1" sqref="F10:I10" xr:uid="{00000000-0002-0000-0200-000002000000}">
      <formula1>LFA</formula1>
    </dataValidation>
    <dataValidation type="list" allowBlank="1" showInputMessage="1" showErrorMessage="1" sqref="B12:C12" xr:uid="{00000000-0002-0000-0200-000003000000}">
      <formula1>Rating</formula1>
    </dataValidation>
    <dataValidation type="list" allowBlank="1" showInputMessage="1" showErrorMessage="1" sqref="H8:I8" xr:uid="{00000000-0002-0000-0200-000004000000}">
      <formula1>Phase</formula1>
    </dataValidation>
    <dataValidation type="list" allowBlank="1" showInputMessage="1" showErrorMessage="1" sqref="F8" xr:uid="{00000000-0002-0000-0200-000005000000}">
      <formula1>Round</formula1>
    </dataValidation>
    <dataValidation type="list" allowBlank="1" showInputMessage="1" showErrorMessage="1" sqref="C26" xr:uid="{00000000-0002-0000-0200-000006000000}">
      <formula1>Currency</formula1>
    </dataValidation>
    <dataValidation type="list" allowBlank="1" showInputMessage="1" showErrorMessage="1" sqref="B149:B166 ST145:ST164 ACP145:ACP164 AML145:AML164 AWH145:AWH164 BGD145:BGD164 BPZ145:BPZ164 BZV145:BZV164 CJR145:CJR164 CTN145:CTN164 DDJ145:DDJ164 DNF145:DNF164 DXB145:DXB164 EGX145:EGX164 EQT145:EQT164 FAP145:FAP164 FKL145:FKL164 FUH145:FUH164 GED145:GED164 GNZ145:GNZ164 GXV145:GXV164 HHR145:HHR164 HRN145:HRN164 IBJ145:IBJ164 ILF145:ILF164 IVB145:IVB164 JEX145:JEX164 JOT145:JOT164 JYP145:JYP164 KIL145:KIL164 KSH145:KSH164 LCD145:LCD164 LLZ145:LLZ164 LVV145:LVV164 MFR145:MFR164 MPN145:MPN164 MZJ145:MZJ164 NJF145:NJF164 NTB145:NTB164 OCX145:OCX164 OMT145:OMT164 OWP145:OWP164 PGL145:PGL164 PQH145:PQH164 QAD145:QAD164 QJZ145:QJZ164 QTV145:QTV164 RDR145:RDR164 RNN145:RNN164 RXJ145:RXJ164 SHF145:SHF164 SRB145:SRB164 TAX145:TAX164 TKT145:TKT164 TUP145:TUP164 UEL145:UEL164 UOH145:UOH164 UYD145:UYD164 VHZ145:VHZ164 VRV145:VRV164 WBR145:WBR164 WLN145:WLN164 WVJ145:WVJ164 IX145:IX164 WVK139:WVK144 IY139:IY144 SU139:SU144 ACQ139:ACQ144 AMM139:AMM144 AWI139:AWI144 BGE139:BGE144 BQA139:BQA144 BZW139:BZW144 CJS139:CJS144 CTO139:CTO144 DDK139:DDK144 DNG139:DNG144 DXC139:DXC144 EGY139:EGY144 EQU139:EQU144 FAQ139:FAQ144 FKM139:FKM144 FUI139:FUI144 GEE139:GEE144 GOA139:GOA144 GXW139:GXW144 HHS139:HHS144 HRO139:HRO144 IBK139:IBK144 ILG139:ILG144 IVC139:IVC144 JEY139:JEY144 JOU139:JOU144 JYQ139:JYQ144 KIM139:KIM144 KSI139:KSI144 LCE139:LCE144 LMA139:LMA144 LVW139:LVW144 MFS139:MFS144 MPO139:MPO144 MZK139:MZK144 NJG139:NJG144 NTC139:NTC144 OCY139:OCY144 OMU139:OMU144 OWQ139:OWQ144 PGM139:PGM144 PQI139:PQI144 QAE139:QAE144 QKA139:QKA144 QTW139:QTW144 RDS139:RDS144 RNO139:RNO144 RXK139:RXK144 SHG139:SHG144 SRC139:SRC144 TAY139:TAY144 TKU139:TKU144 TUQ139:TUQ144 UEM139:UEM144 UOI139:UOI144 UYE139:UYE144 VIA139:VIA144 VRW139:VRW144 WBS139:WBS144 WLO139:WLO144" xr:uid="{00000000-0002-0000-0200-000007000000}">
      <formula1>мва</formula1>
    </dataValidation>
    <dataValidation type="list" allowBlank="1" showInputMessage="1" showErrorMessage="1" sqref="WVJ165:WVJ168 IX165:IX168 ST165:ST168 ACP165:ACP168 AML165:AML168 AWH165:AWH168 BGD165:BGD168 BPZ165:BPZ168 BZV165:BZV168 CJR165:CJR168 CTN165:CTN168 DDJ165:DDJ168 DNF165:DNF168 DXB165:DXB168 EGX165:EGX168 EQT165:EQT168 FAP165:FAP168 FKL165:FKL168 FUH165:FUH168 GED165:GED168 GNZ165:GNZ168 GXV165:GXV168 HHR165:HHR168 HRN165:HRN168 IBJ165:IBJ168 ILF165:ILF168 IVB165:IVB168 JEX165:JEX168 JOT165:JOT168 JYP165:JYP168 KIL165:KIL168 KSH165:KSH168 LCD165:LCD168 LLZ165:LLZ168 LVV165:LVV168 MFR165:MFR168 MPN165:MPN168 MZJ165:MZJ168 NJF165:NJF168 NTB165:NTB168 OCX165:OCX168 OMT165:OMT168 OWP165:OWP168 PGL165:PGL168 PQH165:PQH168 QAD165:QAD168 QJZ165:QJZ168 QTV165:QTV168 RDR165:RDR168 RNN165:RNN168 RXJ165:RXJ168 SHF165:SHF168 SRB165:SRB168 TAX165:TAX168 TKT165:TKT168 TUP165:TUP168 UEL165:UEL168 UOH165:UOH168 UYD165:UYD168 VHZ165:VHZ168 VRV165:VRV168 WBR165:WBR168 WLN165:WLN168 B138:B148" xr:uid="{00000000-0002-0000-0200-000008000000}">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65" max="16383" man="1"/>
  </rowBreaks>
  <ignoredErrors>
    <ignoredError sqref="B228 E227:I227 J227:O227"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76"/>
  <sheetViews>
    <sheetView showGridLines="0" zoomScale="75" zoomScaleNormal="100" workbookViewId="0">
      <pane ySplit="2" topLeftCell="D48" activePane="bottomLeft" state="frozen"/>
      <selection pane="bottomLeft" activeCell="E50" sqref="E50:I50"/>
      <selection activeCell="E22" sqref="E22"/>
    </sheetView>
  </sheetViews>
  <sheetFormatPr defaultColWidth="11" defaultRowHeight="15"/>
  <cols>
    <col min="1" max="1" width="2.7109375" customWidth="1"/>
    <col min="2" max="2" width="21.42578125" customWidth="1"/>
    <col min="3" max="3" width="11.42578125" customWidth="1"/>
    <col min="4" max="4" width="4.5703125" customWidth="1"/>
    <col min="5" max="5" width="16.42578125" customWidth="1"/>
    <col min="6" max="6" width="15.7109375" customWidth="1"/>
    <col min="7" max="7" width="37.28515625" customWidth="1"/>
    <col min="8" max="8" width="17.28515625" customWidth="1"/>
    <col min="9" max="9" width="44.140625" customWidth="1"/>
    <col min="10" max="10" width="14.140625" customWidth="1"/>
    <col min="11" max="11" width="16" customWidth="1"/>
    <col min="12" max="12" width="20.42578125" customWidth="1"/>
    <col min="13" max="13" width="49.42578125" customWidth="1"/>
    <col min="14" max="14" width="2.5703125" customWidth="1"/>
    <col min="15" max="15" width="3" customWidth="1"/>
    <col min="16" max="16" width="2.5703125" customWidth="1"/>
    <col min="17" max="17" width="16.140625" customWidth="1"/>
    <col min="18" max="18" width="28" customWidth="1"/>
    <col min="19" max="19" width="26.710937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2:15" ht="34.5" customHeight="1"/>
    <row r="2" spans="2:15" ht="36" customHeight="1">
      <c r="B2" s="754" t="str">
        <f>+"Панель показателей: "&amp;" "&amp;+IF('Ввод данных'!B4="Выберите","",'Ввод данных'!B4&amp;" - ")&amp;+IF('Ввод данных'!F6="Выберите","",'Ввод данных'!F6)</f>
        <v>Панель показателей:  Кыргызстан - ВИЧ/СПИД/ТБ</v>
      </c>
      <c r="C2" s="754"/>
      <c r="D2" s="754"/>
      <c r="E2" s="754"/>
      <c r="F2" s="754"/>
      <c r="G2" s="754"/>
      <c r="H2" s="754"/>
      <c r="I2" s="754"/>
      <c r="J2" s="754"/>
      <c r="K2" s="754"/>
      <c r="L2" s="754"/>
      <c r="M2" s="754"/>
    </row>
    <row r="3" spans="2:15" ht="15.75" customHeight="1">
      <c r="B3" s="152"/>
      <c r="C3" s="152"/>
      <c r="D3" s="152"/>
      <c r="E3" s="152"/>
      <c r="F3" s="152"/>
      <c r="G3" s="152"/>
      <c r="H3" s="152"/>
      <c r="I3" s="152"/>
      <c r="J3" s="152"/>
      <c r="K3" s="153"/>
      <c r="L3" s="153"/>
    </row>
    <row r="5" spans="2:15" ht="23.25">
      <c r="B5" s="755" t="s">
        <v>259</v>
      </c>
      <c r="C5" s="755"/>
      <c r="D5" s="755"/>
      <c r="E5" s="755"/>
      <c r="F5" s="755"/>
      <c r="G5" s="755"/>
      <c r="H5" s="755"/>
      <c r="I5" s="755"/>
      <c r="J5" s="755"/>
      <c r="K5" s="755"/>
      <c r="L5" s="755"/>
      <c r="M5" s="755"/>
      <c r="N5" s="755"/>
      <c r="O5" s="755"/>
    </row>
    <row r="7" spans="2:15" s="31" customFormat="1" ht="21">
      <c r="B7" s="756" t="s">
        <v>260</v>
      </c>
      <c r="C7" s="757"/>
      <c r="D7" s="758"/>
      <c r="E7" s="756" t="s">
        <v>261</v>
      </c>
      <c r="F7" s="757"/>
      <c r="G7" s="757"/>
      <c r="H7" s="757"/>
      <c r="I7" s="758"/>
      <c r="J7" s="756" t="s">
        <v>262</v>
      </c>
      <c r="K7" s="757"/>
      <c r="L7" s="758"/>
      <c r="M7" s="756" t="s">
        <v>263</v>
      </c>
      <c r="N7" s="757"/>
      <c r="O7" s="758"/>
    </row>
    <row r="8" spans="2:15" ht="68.25" customHeight="1">
      <c r="B8" s="734" t="str">
        <f>+'Ввод данных'!A27</f>
        <v>F1: Бюджет и выплаты Глобальным фондом</v>
      </c>
      <c r="C8" s="762"/>
      <c r="D8" s="763"/>
      <c r="E8" s="759" t="s">
        <v>264</v>
      </c>
      <c r="F8" s="760"/>
      <c r="G8" s="760"/>
      <c r="H8" s="760"/>
      <c r="I8" s="761"/>
      <c r="J8" s="724" t="s">
        <v>265</v>
      </c>
      <c r="K8" s="725"/>
      <c r="L8" s="726"/>
      <c r="M8" s="724" t="s">
        <v>266</v>
      </c>
      <c r="N8" s="725"/>
      <c r="O8" s="726"/>
    </row>
    <row r="9" spans="2:15" ht="66.75" customHeight="1">
      <c r="B9" s="764" t="str">
        <f>+'Ввод данных'!A36</f>
        <v>F2: Бюджет и фактические расходы согласно задачам гранта</v>
      </c>
      <c r="C9" s="765"/>
      <c r="D9" s="766"/>
      <c r="E9" s="751" t="s">
        <v>267</v>
      </c>
      <c r="F9" s="740"/>
      <c r="G9" s="740"/>
      <c r="H9" s="740"/>
      <c r="I9" s="741"/>
      <c r="J9" s="724" t="s">
        <v>268</v>
      </c>
      <c r="K9" s="725"/>
      <c r="L9" s="726"/>
      <c r="M9" s="724" t="s">
        <v>266</v>
      </c>
      <c r="N9" s="725"/>
      <c r="O9" s="726"/>
    </row>
    <row r="10" spans="2:15" ht="207" customHeight="1">
      <c r="B10" s="764" t="str">
        <f>+'Ввод данных'!A66</f>
        <v>F3: Выплаты и расходы</v>
      </c>
      <c r="C10" s="765"/>
      <c r="D10" s="766"/>
      <c r="E10" s="751" t="s">
        <v>269</v>
      </c>
      <c r="F10" s="740"/>
      <c r="G10" s="740"/>
      <c r="H10" s="740"/>
      <c r="I10" s="741"/>
      <c r="J10" s="724" t="s">
        <v>270</v>
      </c>
      <c r="K10" s="725"/>
      <c r="L10" s="726"/>
      <c r="M10" s="724" t="s">
        <v>271</v>
      </c>
      <c r="N10" s="725"/>
      <c r="O10" s="726"/>
    </row>
    <row r="11" spans="2:15" ht="252.75" customHeight="1">
      <c r="B11" s="764" t="str">
        <f>+'Ввод данных'!A75</f>
        <v>F4: Последний отчетный и платежный цикл ОР</v>
      </c>
      <c r="C11" s="767"/>
      <c r="D11" s="768"/>
      <c r="E11" s="751" t="s">
        <v>272</v>
      </c>
      <c r="F11" s="740"/>
      <c r="G11" s="740"/>
      <c r="H11" s="740"/>
      <c r="I11" s="741"/>
      <c r="J11" s="724" t="s">
        <v>273</v>
      </c>
      <c r="K11" s="725"/>
      <c r="L11" s="726"/>
      <c r="M11" s="724" t="s">
        <v>274</v>
      </c>
      <c r="N11" s="725"/>
      <c r="O11" s="726"/>
    </row>
    <row r="12" spans="2:15">
      <c r="B12" s="723"/>
      <c r="C12" s="723"/>
      <c r="D12" s="723"/>
      <c r="E12" s="779"/>
      <c r="F12" s="779"/>
      <c r="G12" s="779"/>
      <c r="H12" s="779"/>
      <c r="I12" s="779"/>
      <c r="J12" s="779"/>
      <c r="K12" s="779"/>
      <c r="L12" s="779"/>
      <c r="M12" s="779"/>
      <c r="N12" s="779"/>
      <c r="O12" s="779"/>
    </row>
    <row r="13" spans="2:15">
      <c r="B13" s="722"/>
      <c r="C13" s="722"/>
      <c r="D13" s="722"/>
      <c r="E13" s="727"/>
      <c r="F13" s="727"/>
      <c r="G13" s="727"/>
      <c r="H13" s="727"/>
      <c r="I13" s="727"/>
      <c r="J13" s="727"/>
      <c r="K13" s="727"/>
      <c r="L13" s="727"/>
      <c r="M13" s="727"/>
      <c r="N13" s="727"/>
      <c r="O13" s="727"/>
    </row>
    <row r="14" spans="2:15">
      <c r="B14" s="722"/>
      <c r="C14" s="722"/>
      <c r="D14" s="722"/>
      <c r="E14" s="727"/>
      <c r="F14" s="727"/>
      <c r="G14" s="727"/>
      <c r="H14" s="727"/>
      <c r="I14" s="727"/>
      <c r="J14" s="727"/>
      <c r="K14" s="727"/>
      <c r="L14" s="727"/>
      <c r="M14" s="727"/>
      <c r="N14" s="727"/>
      <c r="O14" s="727"/>
    </row>
    <row r="15" spans="2:15">
      <c r="B15" s="722"/>
      <c r="C15" s="722"/>
      <c r="D15" s="722"/>
      <c r="E15" s="727"/>
      <c r="F15" s="727"/>
      <c r="G15" s="727"/>
      <c r="H15" s="727"/>
      <c r="I15" s="727"/>
      <c r="J15" s="727"/>
      <c r="K15" s="727"/>
      <c r="L15" s="727"/>
      <c r="M15" s="727"/>
      <c r="N15" s="727"/>
      <c r="O15" s="727"/>
    </row>
    <row r="16" spans="2:15" ht="23.25">
      <c r="B16" s="778" t="s">
        <v>275</v>
      </c>
      <c r="C16" s="778"/>
      <c r="D16" s="778"/>
      <c r="E16" s="778"/>
      <c r="F16" s="778"/>
      <c r="G16" s="778"/>
      <c r="H16" s="778"/>
      <c r="I16" s="778"/>
      <c r="J16" s="778"/>
      <c r="K16" s="778"/>
      <c r="L16" s="778"/>
      <c r="M16" s="778"/>
      <c r="N16" s="778"/>
      <c r="O16" s="778"/>
    </row>
    <row r="17" spans="1:15">
      <c r="B17" s="557"/>
      <c r="C17" s="557"/>
      <c r="D17" s="557"/>
      <c r="E17" s="557"/>
      <c r="F17" s="557"/>
      <c r="G17" s="557"/>
      <c r="H17" s="557"/>
      <c r="I17" s="557"/>
      <c r="J17" s="557"/>
      <c r="K17" s="557"/>
      <c r="L17" s="557"/>
      <c r="M17" s="557"/>
      <c r="N17" s="557"/>
      <c r="O17" s="557"/>
    </row>
    <row r="18" spans="1:15" ht="21">
      <c r="B18" s="748" t="s">
        <v>260</v>
      </c>
      <c r="C18" s="749"/>
      <c r="D18" s="750"/>
      <c r="E18" s="748" t="s">
        <v>261</v>
      </c>
      <c r="F18" s="749"/>
      <c r="G18" s="749"/>
      <c r="H18" s="749"/>
      <c r="I18" s="750"/>
      <c r="J18" s="748" t="s">
        <v>262</v>
      </c>
      <c r="K18" s="749"/>
      <c r="L18" s="750"/>
      <c r="M18" s="748" t="s">
        <v>276</v>
      </c>
      <c r="N18" s="749"/>
      <c r="O18" s="750"/>
    </row>
    <row r="19" spans="1:15" ht="62.25" customHeight="1">
      <c r="B19" s="734" t="str">
        <f>+'Ввод данных'!A86</f>
        <v>M1: Статус Предварительных условий (ПУ) и Действий с установленным сроком исполнения (ДУС)</v>
      </c>
      <c r="C19" s="735"/>
      <c r="D19" s="736"/>
      <c r="E19" s="751" t="s">
        <v>277</v>
      </c>
      <c r="F19" s="752"/>
      <c r="G19" s="752"/>
      <c r="H19" s="752"/>
      <c r="I19" s="753"/>
      <c r="J19" s="737" t="s">
        <v>278</v>
      </c>
      <c r="K19" s="738"/>
      <c r="L19" s="739"/>
      <c r="M19" s="737" t="s">
        <v>279</v>
      </c>
      <c r="N19" s="738"/>
      <c r="O19" s="739"/>
    </row>
    <row r="20" spans="1:15" ht="66.75" customHeight="1">
      <c r="B20" s="764" t="str">
        <f>+'Ввод данных'!A95</f>
        <v>M2: Статус ключевых руководящих должностей в структуре ОР</v>
      </c>
      <c r="C20" s="767"/>
      <c r="D20" s="768"/>
      <c r="E20" s="751" t="s">
        <v>280</v>
      </c>
      <c r="F20" s="740"/>
      <c r="G20" s="740"/>
      <c r="H20" s="740"/>
      <c r="I20" s="741"/>
      <c r="J20" s="737" t="s">
        <v>281</v>
      </c>
      <c r="K20" s="738"/>
      <c r="L20" s="739"/>
      <c r="M20" s="737" t="s">
        <v>282</v>
      </c>
      <c r="N20" s="738"/>
      <c r="O20" s="739"/>
    </row>
    <row r="21" spans="1:15" ht="127.5" customHeight="1">
      <c r="B21" s="734" t="str">
        <f>+'Ввод данных'!A102</f>
        <v xml:space="preserve">M3: Контрактные соглашения (СР) </v>
      </c>
      <c r="C21" s="735"/>
      <c r="D21" s="736"/>
      <c r="E21" s="737" t="s">
        <v>283</v>
      </c>
      <c r="F21" s="740"/>
      <c r="G21" s="740"/>
      <c r="H21" s="740"/>
      <c r="I21" s="741"/>
      <c r="J21" s="737" t="s">
        <v>284</v>
      </c>
      <c r="K21" s="738"/>
      <c r="L21" s="739"/>
      <c r="M21" s="737" t="s">
        <v>285</v>
      </c>
      <c r="N21" s="738"/>
      <c r="O21" s="739"/>
    </row>
    <row r="22" spans="1:15" ht="57.75" customHeight="1">
      <c r="B22" s="734" t="str">
        <f>+'Ввод данных'!A108</f>
        <v>M4: Количество полных отчетов, полученных к установленному сроку</v>
      </c>
      <c r="C22" s="735"/>
      <c r="D22" s="736"/>
      <c r="E22" s="737" t="s">
        <v>286</v>
      </c>
      <c r="F22" s="738"/>
      <c r="G22" s="738"/>
      <c r="H22" s="738"/>
      <c r="I22" s="739"/>
      <c r="J22" s="737" t="s">
        <v>287</v>
      </c>
      <c r="K22" s="738"/>
      <c r="L22" s="739"/>
      <c r="M22" s="737" t="s">
        <v>288</v>
      </c>
      <c r="N22" s="738"/>
      <c r="O22" s="739"/>
    </row>
    <row r="23" spans="1:15" ht="157.5" customHeight="1">
      <c r="B23" s="785" t="str">
        <f>'Ввод данных'!A116</f>
        <v>M5: Бюджет и закупки товаров медицинского назначения, медицинского оборудования,  лекарственных средств и фармацевтических препаратов</v>
      </c>
      <c r="C23" s="786"/>
      <c r="D23" s="787"/>
      <c r="E23" s="769" t="s">
        <v>289</v>
      </c>
      <c r="F23" s="770"/>
      <c r="G23" s="770"/>
      <c r="H23" s="770"/>
      <c r="I23" s="771"/>
      <c r="J23" s="728" t="s">
        <v>290</v>
      </c>
      <c r="K23" s="729"/>
      <c r="L23" s="730"/>
      <c r="M23" s="728" t="s">
        <v>291</v>
      </c>
      <c r="N23" s="729"/>
      <c r="O23" s="730"/>
    </row>
    <row r="24" spans="1:15" ht="72.75" customHeight="1">
      <c r="B24" s="788"/>
      <c r="C24" s="789"/>
      <c r="D24" s="790"/>
      <c r="E24" s="782" t="s">
        <v>292</v>
      </c>
      <c r="F24" s="783"/>
      <c r="G24" s="783"/>
      <c r="H24" s="783"/>
      <c r="I24" s="784"/>
      <c r="J24" s="731"/>
      <c r="K24" s="732"/>
      <c r="L24" s="733"/>
      <c r="M24" s="731"/>
      <c r="N24" s="732"/>
      <c r="O24" s="733"/>
    </row>
    <row r="25" spans="1:15" ht="173.25" customHeight="1">
      <c r="B25" s="734" t="str">
        <f>+'Ввод данных'!A129</f>
        <v>M6: Разница между текущим и резервным запасами</v>
      </c>
      <c r="C25" s="735"/>
      <c r="D25" s="736"/>
      <c r="E25" s="745" t="s">
        <v>293</v>
      </c>
      <c r="F25" s="780"/>
      <c r="G25" s="780"/>
      <c r="H25" s="780"/>
      <c r="I25" s="781"/>
      <c r="J25" s="745" t="s">
        <v>294</v>
      </c>
      <c r="K25" s="746"/>
      <c r="L25" s="747"/>
      <c r="M25" s="742" t="s">
        <v>295</v>
      </c>
      <c r="N25" s="743"/>
      <c r="O25" s="744"/>
    </row>
    <row r="27" spans="1:15" hidden="1"/>
    <row r="29" spans="1:15" ht="18.75" hidden="1">
      <c r="B29" s="169"/>
    </row>
    <row r="30" spans="1:15" ht="23.25">
      <c r="B30" s="755" t="s">
        <v>213</v>
      </c>
      <c r="C30" s="755"/>
      <c r="D30" s="755"/>
      <c r="E30" s="755"/>
      <c r="F30" s="755"/>
      <c r="G30" s="755"/>
      <c r="H30" s="755"/>
      <c r="I30" s="755"/>
      <c r="J30" s="755"/>
      <c r="K30" s="755"/>
      <c r="L30" s="755"/>
      <c r="M30" s="755"/>
      <c r="N30" s="755"/>
      <c r="O30" s="755"/>
    </row>
    <row r="32" spans="1:15" ht="28.5" customHeight="1">
      <c r="A32" s="19"/>
      <c r="B32" s="772" t="s">
        <v>296</v>
      </c>
      <c r="C32" s="773"/>
      <c r="D32" s="774"/>
      <c r="E32" s="775" t="s">
        <v>297</v>
      </c>
      <c r="F32" s="776"/>
      <c r="G32" s="776"/>
      <c r="H32" s="776"/>
      <c r="I32" s="777"/>
      <c r="J32" s="775" t="s">
        <v>262</v>
      </c>
      <c r="K32" s="776"/>
      <c r="L32" s="777"/>
      <c r="M32" s="775" t="s">
        <v>263</v>
      </c>
      <c r="N32" s="776"/>
      <c r="O32" s="777"/>
    </row>
    <row r="33" spans="1:19" ht="101.25" customHeight="1">
      <c r="A33" s="19"/>
      <c r="B33" s="691" t="s">
        <v>216</v>
      </c>
      <c r="C33" s="692"/>
      <c r="D33" s="693"/>
      <c r="E33" s="700" t="s">
        <v>298</v>
      </c>
      <c r="F33" s="705"/>
      <c r="G33" s="705"/>
      <c r="H33" s="705"/>
      <c r="I33" s="706"/>
      <c r="J33" s="688" t="s">
        <v>299</v>
      </c>
      <c r="K33" s="689"/>
      <c r="L33" s="690"/>
      <c r="M33" s="688" t="s">
        <v>300</v>
      </c>
      <c r="N33" s="689"/>
      <c r="O33" s="690"/>
    </row>
    <row r="34" spans="1:19" ht="61.5" customHeight="1">
      <c r="A34" s="19"/>
      <c r="B34" s="807" t="s">
        <v>221</v>
      </c>
      <c r="C34" s="807"/>
      <c r="D34" s="807"/>
      <c r="E34" s="808" t="s">
        <v>301</v>
      </c>
      <c r="F34" s="809"/>
      <c r="G34" s="809"/>
      <c r="H34" s="809"/>
      <c r="I34" s="810"/>
      <c r="J34" s="688" t="s">
        <v>302</v>
      </c>
      <c r="K34" s="689"/>
      <c r="L34" s="690"/>
      <c r="M34" s="688" t="s">
        <v>303</v>
      </c>
      <c r="N34" s="689"/>
      <c r="O34" s="690"/>
    </row>
    <row r="35" spans="1:19" ht="90" customHeight="1">
      <c r="A35" s="19"/>
      <c r="B35" s="697" t="s">
        <v>222</v>
      </c>
      <c r="C35" s="703"/>
      <c r="D35" s="704"/>
      <c r="E35" s="700" t="s">
        <v>304</v>
      </c>
      <c r="F35" s="705"/>
      <c r="G35" s="705"/>
      <c r="H35" s="705"/>
      <c r="I35" s="706"/>
      <c r="J35" s="688" t="s">
        <v>305</v>
      </c>
      <c r="K35" s="689"/>
      <c r="L35" s="690"/>
      <c r="M35" s="688" t="s">
        <v>303</v>
      </c>
      <c r="N35" s="689"/>
      <c r="O35" s="690"/>
    </row>
    <row r="36" spans="1:19" ht="157.5" customHeight="1">
      <c r="A36" s="19"/>
      <c r="B36" s="794" t="s">
        <v>223</v>
      </c>
      <c r="C36" s="795"/>
      <c r="D36" s="796"/>
      <c r="E36" s="688" t="s">
        <v>306</v>
      </c>
      <c r="F36" s="689"/>
      <c r="G36" s="689"/>
      <c r="H36" s="689"/>
      <c r="I36" s="690"/>
      <c r="J36" s="688" t="s">
        <v>307</v>
      </c>
      <c r="K36" s="689"/>
      <c r="L36" s="690"/>
      <c r="M36" s="688" t="s">
        <v>308</v>
      </c>
      <c r="N36" s="689"/>
      <c r="O36" s="690"/>
      <c r="Q36" s="685"/>
      <c r="R36" s="686"/>
      <c r="S36" s="687"/>
    </row>
    <row r="37" spans="1:19" ht="108.75" customHeight="1">
      <c r="A37" s="19"/>
      <c r="B37" s="691" t="s">
        <v>224</v>
      </c>
      <c r="C37" s="692"/>
      <c r="D37" s="693"/>
      <c r="E37" s="700" t="s">
        <v>309</v>
      </c>
      <c r="F37" s="701"/>
      <c r="G37" s="701"/>
      <c r="H37" s="701"/>
      <c r="I37" s="702"/>
      <c r="J37" s="688" t="s">
        <v>310</v>
      </c>
      <c r="K37" s="689"/>
      <c r="L37" s="690"/>
      <c r="M37" s="688" t="s">
        <v>300</v>
      </c>
      <c r="N37" s="689"/>
      <c r="O37" s="690"/>
    </row>
    <row r="38" spans="1:19" ht="90" customHeight="1">
      <c r="A38" s="19"/>
      <c r="B38" s="691" t="s">
        <v>225</v>
      </c>
      <c r="C38" s="692"/>
      <c r="D38" s="693"/>
      <c r="E38" s="797" t="s">
        <v>311</v>
      </c>
      <c r="F38" s="798"/>
      <c r="G38" s="798"/>
      <c r="H38" s="798"/>
      <c r="I38" s="799"/>
      <c r="J38" s="688" t="s">
        <v>312</v>
      </c>
      <c r="K38" s="689"/>
      <c r="L38" s="690"/>
      <c r="M38" s="688" t="s">
        <v>300</v>
      </c>
      <c r="N38" s="689"/>
      <c r="O38" s="690"/>
    </row>
    <row r="39" spans="1:19" ht="87" customHeight="1">
      <c r="A39" s="19"/>
      <c r="B39" s="691" t="s">
        <v>226</v>
      </c>
      <c r="C39" s="692"/>
      <c r="D39" s="693"/>
      <c r="E39" s="694" t="s">
        <v>313</v>
      </c>
      <c r="F39" s="695"/>
      <c r="G39" s="695"/>
      <c r="H39" s="695"/>
      <c r="I39" s="696"/>
      <c r="J39" s="688" t="s">
        <v>314</v>
      </c>
      <c r="K39" s="689"/>
      <c r="L39" s="690"/>
      <c r="M39" s="688" t="s">
        <v>315</v>
      </c>
      <c r="N39" s="689"/>
      <c r="O39" s="690"/>
    </row>
    <row r="40" spans="1:19" ht="90" customHeight="1">
      <c r="A40" s="19"/>
      <c r="B40" s="697" t="s">
        <v>229</v>
      </c>
      <c r="C40" s="698"/>
      <c r="D40" s="699"/>
      <c r="E40" s="700" t="s">
        <v>316</v>
      </c>
      <c r="F40" s="701"/>
      <c r="G40" s="701"/>
      <c r="H40" s="701"/>
      <c r="I40" s="702"/>
      <c r="J40" s="688" t="s">
        <v>317</v>
      </c>
      <c r="K40" s="689"/>
      <c r="L40" s="690"/>
      <c r="M40" s="688" t="s">
        <v>300</v>
      </c>
      <c r="N40" s="689"/>
      <c r="O40" s="690"/>
    </row>
    <row r="41" spans="1:19" ht="94.5" customHeight="1">
      <c r="A41" s="19"/>
      <c r="B41" s="697" t="s">
        <v>232</v>
      </c>
      <c r="C41" s="698"/>
      <c r="D41" s="699"/>
      <c r="E41" s="700" t="s">
        <v>318</v>
      </c>
      <c r="F41" s="701"/>
      <c r="G41" s="701"/>
      <c r="H41" s="701"/>
      <c r="I41" s="702"/>
      <c r="J41" s="688" t="s">
        <v>319</v>
      </c>
      <c r="K41" s="689"/>
      <c r="L41" s="690"/>
      <c r="M41" s="688" t="s">
        <v>300</v>
      </c>
      <c r="N41" s="689"/>
      <c r="O41" s="690"/>
    </row>
    <row r="42" spans="1:19" ht="94.5" customHeight="1">
      <c r="A42" s="19"/>
      <c r="B42" s="697" t="s">
        <v>235</v>
      </c>
      <c r="C42" s="703"/>
      <c r="D42" s="704"/>
      <c r="E42" s="700" t="s">
        <v>320</v>
      </c>
      <c r="F42" s="701"/>
      <c r="G42" s="701"/>
      <c r="H42" s="701"/>
      <c r="I42" s="702"/>
      <c r="J42" s="688" t="s">
        <v>321</v>
      </c>
      <c r="K42" s="689"/>
      <c r="L42" s="690"/>
      <c r="M42" s="688" t="s">
        <v>300</v>
      </c>
      <c r="N42" s="689"/>
      <c r="O42" s="690"/>
    </row>
    <row r="43" spans="1:19" ht="203.25" customHeight="1">
      <c r="A43" s="19"/>
      <c r="B43" s="697" t="s">
        <v>237</v>
      </c>
      <c r="C43" s="703"/>
      <c r="D43" s="704"/>
      <c r="E43" s="700" t="s">
        <v>322</v>
      </c>
      <c r="F43" s="701"/>
      <c r="G43" s="701"/>
      <c r="H43" s="701"/>
      <c r="I43" s="702"/>
      <c r="J43" s="688" t="s">
        <v>323</v>
      </c>
      <c r="K43" s="689"/>
      <c r="L43" s="690"/>
      <c r="M43" s="688" t="s">
        <v>303</v>
      </c>
      <c r="N43" s="689"/>
      <c r="O43" s="690"/>
    </row>
    <row r="44" spans="1:19" ht="84.75" customHeight="1">
      <c r="A44" s="19"/>
      <c r="B44" s="697" t="s">
        <v>324</v>
      </c>
      <c r="C44" s="703"/>
      <c r="D44" s="704"/>
      <c r="E44" s="700" t="s">
        <v>325</v>
      </c>
      <c r="F44" s="705"/>
      <c r="G44" s="705"/>
      <c r="H44" s="705"/>
      <c r="I44" s="706"/>
      <c r="J44" s="688" t="s">
        <v>326</v>
      </c>
      <c r="K44" s="689"/>
      <c r="L44" s="690"/>
      <c r="M44" s="688" t="s">
        <v>327</v>
      </c>
      <c r="N44" s="689"/>
      <c r="O44" s="690"/>
    </row>
    <row r="45" spans="1:19" ht="27" customHeight="1">
      <c r="A45" s="19"/>
      <c r="B45" s="707" t="s">
        <v>328</v>
      </c>
      <c r="C45" s="708"/>
      <c r="D45" s="709"/>
      <c r="E45" s="710" t="s">
        <v>297</v>
      </c>
      <c r="F45" s="711"/>
      <c r="G45" s="711"/>
      <c r="H45" s="711"/>
      <c r="I45" s="712"/>
      <c r="J45" s="710" t="s">
        <v>329</v>
      </c>
      <c r="K45" s="711"/>
      <c r="L45" s="712"/>
      <c r="M45" s="710" t="s">
        <v>263</v>
      </c>
      <c r="N45" s="711"/>
      <c r="O45" s="712"/>
    </row>
    <row r="46" spans="1:19" ht="81" customHeight="1">
      <c r="A46" s="19"/>
      <c r="B46" s="713" t="s">
        <v>247</v>
      </c>
      <c r="C46" s="714"/>
      <c r="D46" s="715"/>
      <c r="E46" s="688" t="s">
        <v>330</v>
      </c>
      <c r="F46" s="717"/>
      <c r="G46" s="717"/>
      <c r="H46" s="717"/>
      <c r="I46" s="718"/>
      <c r="J46" s="688" t="s">
        <v>331</v>
      </c>
      <c r="K46" s="689"/>
      <c r="L46" s="690"/>
      <c r="M46" s="688" t="s">
        <v>332</v>
      </c>
      <c r="N46" s="689"/>
      <c r="O46" s="690"/>
    </row>
    <row r="47" spans="1:19" ht="54.75" customHeight="1">
      <c r="A47" s="19"/>
      <c r="B47" s="713" t="s">
        <v>333</v>
      </c>
      <c r="C47" s="714"/>
      <c r="D47" s="715"/>
      <c r="E47" s="688" t="s">
        <v>334</v>
      </c>
      <c r="F47" s="717"/>
      <c r="G47" s="717"/>
      <c r="H47" s="717"/>
      <c r="I47" s="718"/>
      <c r="J47" s="688" t="s">
        <v>335</v>
      </c>
      <c r="K47" s="689"/>
      <c r="L47" s="690"/>
      <c r="M47" s="688" t="s">
        <v>336</v>
      </c>
      <c r="N47" s="689"/>
      <c r="O47" s="690"/>
    </row>
    <row r="48" spans="1:19" ht="69" customHeight="1">
      <c r="A48" s="19"/>
      <c r="B48" s="716" t="s">
        <v>337</v>
      </c>
      <c r="C48" s="717"/>
      <c r="D48" s="718"/>
      <c r="E48" s="688" t="s">
        <v>338</v>
      </c>
      <c r="F48" s="689"/>
      <c r="G48" s="689"/>
      <c r="H48" s="689"/>
      <c r="I48" s="690"/>
      <c r="J48" s="688" t="s">
        <v>335</v>
      </c>
      <c r="K48" s="689"/>
      <c r="L48" s="690"/>
      <c r="M48" s="688" t="s">
        <v>339</v>
      </c>
      <c r="N48" s="689"/>
      <c r="O48" s="690"/>
    </row>
    <row r="49" spans="1:15" ht="78" customHeight="1">
      <c r="A49" s="19"/>
      <c r="B49" s="716" t="s">
        <v>252</v>
      </c>
      <c r="C49" s="717"/>
      <c r="D49" s="718"/>
      <c r="E49" s="688" t="s">
        <v>340</v>
      </c>
      <c r="F49" s="689"/>
      <c r="G49" s="689"/>
      <c r="H49" s="689"/>
      <c r="I49" s="690"/>
      <c r="J49" s="688" t="s">
        <v>341</v>
      </c>
      <c r="K49" s="689"/>
      <c r="L49" s="690"/>
      <c r="M49" s="688" t="s">
        <v>342</v>
      </c>
      <c r="N49" s="689"/>
      <c r="O49" s="690"/>
    </row>
    <row r="50" spans="1:15" ht="142.5" customHeight="1">
      <c r="A50" s="19"/>
      <c r="B50" s="716" t="s">
        <v>343</v>
      </c>
      <c r="C50" s="717"/>
      <c r="D50" s="718"/>
      <c r="E50" s="719" t="s">
        <v>344</v>
      </c>
      <c r="F50" s="720"/>
      <c r="G50" s="720"/>
      <c r="H50" s="720"/>
      <c r="I50" s="721"/>
      <c r="J50" s="800" t="s">
        <v>345</v>
      </c>
      <c r="K50" s="801"/>
      <c r="L50" s="802"/>
      <c r="M50" s="688" t="s">
        <v>346</v>
      </c>
      <c r="N50" s="689"/>
      <c r="O50" s="690"/>
    </row>
    <row r="51" spans="1:15" ht="152.25" customHeight="1">
      <c r="A51" s="19"/>
      <c r="B51" s="716" t="s">
        <v>255</v>
      </c>
      <c r="C51" s="717"/>
      <c r="D51" s="718"/>
      <c r="E51" s="688" t="s">
        <v>347</v>
      </c>
      <c r="F51" s="689"/>
      <c r="G51" s="689"/>
      <c r="H51" s="689"/>
      <c r="I51" s="690"/>
      <c r="J51" s="688"/>
      <c r="K51" s="689"/>
      <c r="L51" s="690"/>
      <c r="M51" s="688" t="s">
        <v>348</v>
      </c>
      <c r="N51" s="689"/>
      <c r="O51" s="690"/>
    </row>
    <row r="52" spans="1:15" ht="2.25" hidden="1" customHeight="1">
      <c r="A52" s="19"/>
      <c r="B52" s="791"/>
      <c r="C52" s="792"/>
      <c r="D52" s="793"/>
      <c r="E52" s="688"/>
      <c r="F52" s="689"/>
      <c r="G52" s="689"/>
      <c r="H52" s="689"/>
      <c r="I52" s="690"/>
      <c r="J52" s="688"/>
      <c r="K52" s="689"/>
      <c r="L52" s="690"/>
      <c r="M52" s="688"/>
      <c r="N52" s="689"/>
      <c r="O52" s="690"/>
    </row>
    <row r="53" spans="1:15" ht="27" customHeight="1">
      <c r="A53" s="19"/>
      <c r="B53" s="791"/>
      <c r="C53" s="792"/>
      <c r="D53" s="793"/>
      <c r="E53" s="700"/>
      <c r="F53" s="705"/>
      <c r="G53" s="705"/>
      <c r="H53" s="705"/>
      <c r="I53" s="706"/>
      <c r="J53" s="688"/>
      <c r="K53" s="689"/>
      <c r="L53" s="690"/>
      <c r="M53" s="688"/>
      <c r="N53" s="689"/>
      <c r="O53" s="690"/>
    </row>
    <row r="54" spans="1:15" ht="14.25" customHeight="1">
      <c r="A54" s="19"/>
      <c r="B54" s="791"/>
      <c r="C54" s="817"/>
      <c r="D54" s="818"/>
      <c r="E54" s="700"/>
      <c r="F54" s="803"/>
      <c r="G54" s="803"/>
      <c r="H54" s="803"/>
      <c r="I54" s="804"/>
      <c r="J54" s="688"/>
      <c r="K54" s="805"/>
      <c r="L54" s="806"/>
      <c r="M54" s="558"/>
      <c r="N54" s="559"/>
      <c r="O54" s="560"/>
    </row>
    <row r="55" spans="1:15" ht="119.25" hidden="1" customHeight="1">
      <c r="A55" s="19"/>
      <c r="B55" s="791"/>
      <c r="C55" s="817"/>
      <c r="D55" s="818"/>
      <c r="E55" s="700"/>
      <c r="F55" s="803"/>
      <c r="G55" s="803"/>
      <c r="H55" s="803"/>
      <c r="I55" s="804"/>
      <c r="J55" s="688"/>
      <c r="K55" s="805"/>
      <c r="L55" s="806"/>
      <c r="M55" s="688"/>
      <c r="N55" s="805"/>
      <c r="O55" s="806"/>
    </row>
    <row r="56" spans="1:15" ht="88.5" hidden="1" customHeight="1">
      <c r="A56" s="19"/>
      <c r="B56" s="791"/>
      <c r="C56" s="817"/>
      <c r="D56" s="818"/>
      <c r="E56" s="700"/>
      <c r="F56" s="803"/>
      <c r="G56" s="803"/>
      <c r="H56" s="803"/>
      <c r="I56" s="804"/>
      <c r="J56" s="688"/>
      <c r="K56" s="805"/>
      <c r="L56" s="806"/>
      <c r="M56" s="558"/>
      <c r="N56" s="559"/>
      <c r="O56" s="560"/>
    </row>
    <row r="57" spans="1:15" ht="30" customHeight="1">
      <c r="B57" s="814" t="s">
        <v>349</v>
      </c>
      <c r="C57" s="815"/>
      <c r="D57" s="816"/>
      <c r="E57" s="710" t="s">
        <v>261</v>
      </c>
      <c r="F57" s="711"/>
      <c r="G57" s="711"/>
      <c r="H57" s="711"/>
      <c r="I57" s="712"/>
      <c r="J57" s="710" t="s">
        <v>262</v>
      </c>
      <c r="K57" s="711"/>
      <c r="L57" s="712"/>
      <c r="M57" s="710" t="s">
        <v>263</v>
      </c>
      <c r="N57" s="711"/>
      <c r="O57" s="712"/>
    </row>
    <row r="58" spans="1:15" ht="33.75" customHeight="1">
      <c r="B58" s="561"/>
      <c r="C58" s="556"/>
      <c r="D58" s="556"/>
      <c r="E58" s="562"/>
      <c r="F58" s="563"/>
      <c r="G58" s="563"/>
      <c r="H58" s="563"/>
      <c r="I58" s="563"/>
      <c r="J58" s="562"/>
      <c r="K58" s="562"/>
      <c r="L58" s="564"/>
      <c r="M58" s="565"/>
      <c r="N58" s="562"/>
      <c r="O58" s="564"/>
    </row>
    <row r="59" spans="1:15" ht="15.75" customHeight="1">
      <c r="B59" s="819" t="s">
        <v>350</v>
      </c>
      <c r="C59" s="820"/>
      <c r="D59" s="820"/>
      <c r="E59" s="820"/>
      <c r="F59" s="820"/>
      <c r="G59" s="820"/>
      <c r="H59" s="820"/>
      <c r="I59" s="820"/>
      <c r="J59" s="820"/>
      <c r="K59" s="820"/>
      <c r="L59" s="821"/>
      <c r="M59" s="811" t="s">
        <v>351</v>
      </c>
      <c r="N59" s="812"/>
      <c r="O59" s="813"/>
    </row>
    <row r="60" spans="1:15">
      <c r="D60" s="154"/>
    </row>
    <row r="62" spans="1:15">
      <c r="D62" s="154"/>
    </row>
    <row r="63" spans="1:15">
      <c r="D63" s="154"/>
    </row>
    <row r="76" spans="1:1">
      <c r="A76" s="156"/>
    </row>
  </sheetData>
  <mergeCells count="174">
    <mergeCell ref="E56:I56"/>
    <mergeCell ref="M55:O55"/>
    <mergeCell ref="E55:I55"/>
    <mergeCell ref="B34:D34"/>
    <mergeCell ref="E34:I34"/>
    <mergeCell ref="J34:L34"/>
    <mergeCell ref="M59:O59"/>
    <mergeCell ref="M57:O57"/>
    <mergeCell ref="J53:L53"/>
    <mergeCell ref="M52:O52"/>
    <mergeCell ref="J52:L52"/>
    <mergeCell ref="B57:D57"/>
    <mergeCell ref="M53:O53"/>
    <mergeCell ref="E57:I57"/>
    <mergeCell ref="J57:L57"/>
    <mergeCell ref="B54:D54"/>
    <mergeCell ref="B55:D55"/>
    <mergeCell ref="B56:D56"/>
    <mergeCell ref="J56:L56"/>
    <mergeCell ref="E54:I54"/>
    <mergeCell ref="J54:L54"/>
    <mergeCell ref="J55:L55"/>
    <mergeCell ref="B59:L59"/>
    <mergeCell ref="B53:D53"/>
    <mergeCell ref="B52:D52"/>
    <mergeCell ref="E52:I52"/>
    <mergeCell ref="E53:I53"/>
    <mergeCell ref="B43:D43"/>
    <mergeCell ref="E43:I43"/>
    <mergeCell ref="J43:L43"/>
    <mergeCell ref="B36:D36"/>
    <mergeCell ref="E36:I36"/>
    <mergeCell ref="J36:L36"/>
    <mergeCell ref="B38:D38"/>
    <mergeCell ref="E38:I38"/>
    <mergeCell ref="J38:L38"/>
    <mergeCell ref="B42:D42"/>
    <mergeCell ref="E42:I42"/>
    <mergeCell ref="J42:L42"/>
    <mergeCell ref="J51:L51"/>
    <mergeCell ref="B49:D49"/>
    <mergeCell ref="E49:I49"/>
    <mergeCell ref="J49:L49"/>
    <mergeCell ref="J44:L44"/>
    <mergeCell ref="J50:L50"/>
    <mergeCell ref="J22:L22"/>
    <mergeCell ref="B20:D20"/>
    <mergeCell ref="E20:I20"/>
    <mergeCell ref="E25:I25"/>
    <mergeCell ref="E24:I24"/>
    <mergeCell ref="B22:D22"/>
    <mergeCell ref="B23:D24"/>
    <mergeCell ref="B33:D33"/>
    <mergeCell ref="M36:O36"/>
    <mergeCell ref="E35:I35"/>
    <mergeCell ref="J35:L35"/>
    <mergeCell ref="M35:O35"/>
    <mergeCell ref="B11:D11"/>
    <mergeCell ref="E11:I11"/>
    <mergeCell ref="B46:D46"/>
    <mergeCell ref="E23:I23"/>
    <mergeCell ref="E22:I22"/>
    <mergeCell ref="M33:O33"/>
    <mergeCell ref="B30:O30"/>
    <mergeCell ref="B32:D32"/>
    <mergeCell ref="E32:I32"/>
    <mergeCell ref="J32:L32"/>
    <mergeCell ref="M32:O32"/>
    <mergeCell ref="E33:I33"/>
    <mergeCell ref="M18:O18"/>
    <mergeCell ref="J18:L18"/>
    <mergeCell ref="B16:O16"/>
    <mergeCell ref="J33:L33"/>
    <mergeCell ref="B35:D35"/>
    <mergeCell ref="J19:L19"/>
    <mergeCell ref="M11:O11"/>
    <mergeCell ref="J12:L12"/>
    <mergeCell ref="M12:O12"/>
    <mergeCell ref="E12:I12"/>
    <mergeCell ref="M15:O15"/>
    <mergeCell ref="M13:O13"/>
    <mergeCell ref="J14:L14"/>
    <mergeCell ref="M14:O14"/>
    <mergeCell ref="J13:L13"/>
    <mergeCell ref="E13:I13"/>
    <mergeCell ref="M34:O34"/>
    <mergeCell ref="B2:M2"/>
    <mergeCell ref="B5:O5"/>
    <mergeCell ref="M8:O8"/>
    <mergeCell ref="J8:L8"/>
    <mergeCell ref="E7:I7"/>
    <mergeCell ref="B7:D7"/>
    <mergeCell ref="E8:I8"/>
    <mergeCell ref="J7:L7"/>
    <mergeCell ref="M7:O7"/>
    <mergeCell ref="B8:D8"/>
    <mergeCell ref="M9:O9"/>
    <mergeCell ref="B9:D9"/>
    <mergeCell ref="E9:I9"/>
    <mergeCell ref="J9:L9"/>
    <mergeCell ref="J10:L10"/>
    <mergeCell ref="E10:I10"/>
    <mergeCell ref="M10:O10"/>
    <mergeCell ref="B10:D10"/>
    <mergeCell ref="E15:I15"/>
    <mergeCell ref="B15:D15"/>
    <mergeCell ref="B13:D13"/>
    <mergeCell ref="B12:D12"/>
    <mergeCell ref="J11:L11"/>
    <mergeCell ref="E14:I14"/>
    <mergeCell ref="M23:O24"/>
    <mergeCell ref="B25:D25"/>
    <mergeCell ref="M21:O21"/>
    <mergeCell ref="M22:O22"/>
    <mergeCell ref="B21:D21"/>
    <mergeCell ref="E21:I21"/>
    <mergeCell ref="M19:O19"/>
    <mergeCell ref="J23:L24"/>
    <mergeCell ref="J20:L20"/>
    <mergeCell ref="M20:O20"/>
    <mergeCell ref="M25:O25"/>
    <mergeCell ref="J25:L25"/>
    <mergeCell ref="J21:L21"/>
    <mergeCell ref="E18:I18"/>
    <mergeCell ref="J15:L15"/>
    <mergeCell ref="E19:I19"/>
    <mergeCell ref="B18:D18"/>
    <mergeCell ref="B19:D19"/>
    <mergeCell ref="B14:D14"/>
    <mergeCell ref="M51:O51"/>
    <mergeCell ref="B45:D45"/>
    <mergeCell ref="E45:I45"/>
    <mergeCell ref="J45:L45"/>
    <mergeCell ref="M45:O45"/>
    <mergeCell ref="M46:O46"/>
    <mergeCell ref="B47:D47"/>
    <mergeCell ref="J48:L48"/>
    <mergeCell ref="M48:O48"/>
    <mergeCell ref="M50:O50"/>
    <mergeCell ref="B50:D50"/>
    <mergeCell ref="E50:I50"/>
    <mergeCell ref="B51:D51"/>
    <mergeCell ref="E51:I51"/>
    <mergeCell ref="E46:I46"/>
    <mergeCell ref="J46:L46"/>
    <mergeCell ref="M47:O47"/>
    <mergeCell ref="B48:D48"/>
    <mergeCell ref="E47:I47"/>
    <mergeCell ref="J47:L47"/>
    <mergeCell ref="E48:I48"/>
    <mergeCell ref="M49:O49"/>
    <mergeCell ref="Q36:S36"/>
    <mergeCell ref="M44:O44"/>
    <mergeCell ref="M38:O38"/>
    <mergeCell ref="B39:D39"/>
    <mergeCell ref="E39:I39"/>
    <mergeCell ref="J39:L39"/>
    <mergeCell ref="M39:O39"/>
    <mergeCell ref="M40:O40"/>
    <mergeCell ref="B41:D41"/>
    <mergeCell ref="E41:I41"/>
    <mergeCell ref="J41:L41"/>
    <mergeCell ref="M41:O41"/>
    <mergeCell ref="B37:D37"/>
    <mergeCell ref="E37:I37"/>
    <mergeCell ref="J37:L37"/>
    <mergeCell ref="B40:D40"/>
    <mergeCell ref="E40:I40"/>
    <mergeCell ref="J40:L40"/>
    <mergeCell ref="M37:O37"/>
    <mergeCell ref="M42:O42"/>
    <mergeCell ref="M43:O43"/>
    <mergeCell ref="B44:D44"/>
    <mergeCell ref="E44:I44"/>
  </mergeCells>
  <phoneticPr fontId="30"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7"/>
  <sheetViews>
    <sheetView showGridLines="0" zoomScale="90" zoomScaleNormal="110" zoomScaleSheetLayoutView="100" workbookViewId="0">
      <selection activeCell="D10" sqref="D10"/>
    </sheetView>
  </sheetViews>
  <sheetFormatPr defaultColWidth="11.42578125" defaultRowHeight="15"/>
  <cols>
    <col min="1" max="1" width="21.140625" customWidth="1"/>
    <col min="2" max="2" width="19.5703125" customWidth="1"/>
    <col min="3" max="3" width="20.5703125" customWidth="1"/>
    <col min="4" max="4" width="20.42578125" customWidth="1"/>
    <col min="5" max="5" width="10.85546875" customWidth="1"/>
    <col min="6" max="6" width="17.42578125" customWidth="1"/>
    <col min="7" max="7" width="15.5703125" customWidth="1"/>
    <col min="8" max="8" width="20.140625" bestFit="1" customWidth="1"/>
    <col min="9" max="9" width="9.42578125" customWidth="1"/>
    <col min="10" max="10" width="10.28515625" customWidth="1"/>
    <col min="11" max="11" width="11.42578125" customWidth="1"/>
    <col min="12" max="12" width="8.140625" customWidth="1"/>
    <col min="13" max="13" width="9.7109375" customWidth="1"/>
    <col min="14" max="14" width="8.5703125" customWidth="1"/>
    <col min="15" max="15" width="7.140625" customWidth="1"/>
  </cols>
  <sheetData>
    <row r="1" spans="1:24" ht="21" customHeight="1">
      <c r="G1" s="178"/>
    </row>
    <row r="2" spans="1:24" ht="25.5" customHeight="1"/>
    <row r="3" spans="1:24" ht="36">
      <c r="B3" s="827" t="str">
        <f>+"Панель показателей: "&amp;" "&amp;+IF('Ввод данных'!B4="Выберите","",'Ввод данных'!B4&amp;" - ")&amp;+IF('Ввод данных'!F6="Выберите","",'Ввод данных'!F6)</f>
        <v>Панель показателей:  Кыргызстан - ВИЧ/СПИД/ТБ</v>
      </c>
      <c r="C3" s="827"/>
      <c r="D3" s="827"/>
      <c r="E3" s="827"/>
      <c r="F3" s="827"/>
      <c r="G3" s="827"/>
      <c r="H3" s="827"/>
      <c r="I3" s="827"/>
      <c r="J3" s="827"/>
      <c r="K3" s="2"/>
      <c r="L3" s="2"/>
      <c r="M3" s="2"/>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470" t="s">
        <v>2</v>
      </c>
      <c r="B6" s="828" t="str">
        <f>+IF('Ввод данных'!B4="Выберите","",'Ввод данных'!B4)</f>
        <v>Кыргызстан</v>
      </c>
      <c r="C6" s="828"/>
      <c r="D6" s="831" t="s">
        <v>4</v>
      </c>
      <c r="E6" s="831"/>
      <c r="F6" s="832" t="str">
        <f>+'Ввод данных'!F4</f>
        <v>«Эффективный контроль за ВИЧ-инфекцией и туберкулезом в Кыргызской Республике»</v>
      </c>
      <c r="G6" s="832"/>
      <c r="H6" s="832"/>
      <c r="I6" s="832"/>
      <c r="J6" s="832"/>
      <c r="K6" s="35"/>
      <c r="L6" s="57"/>
      <c r="M6" s="35"/>
      <c r="N6" s="35"/>
      <c r="O6" s="35"/>
      <c r="P6" s="36"/>
      <c r="Q6" s="12"/>
      <c r="R6" s="12"/>
      <c r="S6" s="12"/>
      <c r="T6" s="12"/>
      <c r="U6" s="12"/>
    </row>
    <row r="7" spans="1:24" ht="8.25" customHeight="1">
      <c r="B7" s="4"/>
      <c r="C7" s="5"/>
      <c r="D7" s="5"/>
      <c r="E7" s="6"/>
      <c r="F7" s="6"/>
      <c r="G7" s="5"/>
      <c r="H7" s="5"/>
      <c r="K7" s="35"/>
      <c r="L7" s="35"/>
      <c r="M7" s="35"/>
      <c r="N7" s="35"/>
      <c r="O7" s="35"/>
      <c r="P7" s="36"/>
      <c r="Q7" s="12"/>
      <c r="R7" s="12"/>
      <c r="S7" s="12"/>
      <c r="T7" s="12"/>
      <c r="U7" s="12"/>
    </row>
    <row r="8" spans="1:24" ht="3.75" customHeight="1">
      <c r="C8" s="7"/>
      <c r="D8" s="7"/>
      <c r="E8" s="7"/>
      <c r="F8" s="7"/>
      <c r="G8" s="7"/>
      <c r="H8" s="7"/>
      <c r="I8" s="7"/>
      <c r="J8" s="7"/>
      <c r="K8" s="35"/>
      <c r="L8" s="35"/>
      <c r="M8" s="35"/>
      <c r="N8" s="35"/>
      <c r="O8" s="37"/>
      <c r="P8" s="36"/>
      <c r="Q8" s="37"/>
      <c r="R8" s="38"/>
      <c r="S8" s="12"/>
      <c r="T8" s="12"/>
      <c r="U8" s="12"/>
    </row>
    <row r="9" spans="1:24" ht="15.75">
      <c r="A9" s="469" t="s">
        <v>8</v>
      </c>
      <c r="B9" s="253" t="str">
        <f>+IF('Ввод данных'!F6="Please Select","",'Ввод данных'!F6)</f>
        <v>ВИЧ/СПИД/ТБ</v>
      </c>
      <c r="C9" s="155" t="s">
        <v>352</v>
      </c>
      <c r="D9" s="210" t="str">
        <f>+'Ввод данных'!B6</f>
        <v>KGZ-C-UNDP</v>
      </c>
      <c r="E9" s="830" t="s">
        <v>353</v>
      </c>
      <c r="F9" s="830"/>
      <c r="G9" s="211">
        <f>+IF(ISBLANK('Ввод данных'!B10),"",'Ввод данных'!B10)</f>
        <v>44197</v>
      </c>
      <c r="H9" s="264" t="s">
        <v>354</v>
      </c>
      <c r="I9" s="829" t="str">
        <f>+IF(ISBLANK('Ввод данных'!H6),"",'Ввод данных'!H6)</f>
        <v xml:space="preserve">34061297
</v>
      </c>
      <c r="J9" s="829"/>
      <c r="K9" s="35"/>
      <c r="L9" s="35"/>
      <c r="M9" s="35"/>
      <c r="N9" s="35"/>
      <c r="O9" s="37"/>
      <c r="P9" s="36"/>
      <c r="Q9" s="37"/>
      <c r="R9" s="38"/>
      <c r="S9" s="12"/>
      <c r="T9" s="8"/>
      <c r="U9" s="8"/>
      <c r="V9" s="7"/>
      <c r="W9" s="7"/>
      <c r="X9" s="7"/>
    </row>
    <row r="10" spans="1:24" ht="15.75" customHeight="1">
      <c r="A10" s="469" t="s">
        <v>14</v>
      </c>
      <c r="B10" s="254">
        <f>+IF('Ввод данных'!F8="Please Select","",'Ввод данных'!F8)</f>
        <v>0</v>
      </c>
      <c r="C10" s="155" t="s">
        <v>15</v>
      </c>
      <c r="D10" s="252">
        <f>+IF('Ввод данных'!H8="Please Select","",'Ввод данных'!H8)</f>
        <v>0</v>
      </c>
      <c r="E10" s="823" t="s">
        <v>12</v>
      </c>
      <c r="F10" s="1123"/>
      <c r="G10" s="822" t="str">
        <f>+'Ввод данных'!B8</f>
        <v>ПРООН</v>
      </c>
      <c r="H10" s="822"/>
      <c r="I10" s="822"/>
      <c r="J10" s="822"/>
      <c r="K10" s="12"/>
      <c r="L10" s="12"/>
      <c r="M10" s="35"/>
      <c r="N10" s="12"/>
      <c r="O10" s="37"/>
      <c r="P10" s="36"/>
      <c r="Q10" s="8"/>
      <c r="R10" s="38"/>
      <c r="S10" s="12"/>
      <c r="T10" s="8"/>
      <c r="U10" s="8"/>
    </row>
    <row r="11" spans="1:24" ht="31.5" customHeight="1">
      <c r="A11" s="469" t="s">
        <v>355</v>
      </c>
      <c r="B11" s="468" t="str">
        <f>+'Ввод данных'!B16</f>
        <v>P1</v>
      </c>
      <c r="C11" s="206" t="s">
        <v>26</v>
      </c>
      <c r="D11" s="471">
        <f>+IF(ISBLANK('Ввод данных'!D16),"",'Ввод данных'!D16)</f>
        <v>44197</v>
      </c>
      <c r="E11" s="830" t="s">
        <v>356</v>
      </c>
      <c r="F11" s="830"/>
      <c r="G11" s="471">
        <f>+IF(ISBLANK('Ввод данных'!F16),"",'Ввод данных'!F16)</f>
        <v>44561</v>
      </c>
      <c r="H11" s="263" t="s">
        <v>357</v>
      </c>
      <c r="I11" s="824" t="str">
        <f>+IF('Ввод данных'!B12="Пожалуйста Выберите","",'Ввод данных'!B12)</f>
        <v/>
      </c>
      <c r="J11" s="824"/>
      <c r="K11" s="58"/>
      <c r="L11" s="12"/>
      <c r="M11" s="35"/>
      <c r="N11" s="12"/>
      <c r="O11" s="12"/>
      <c r="P11" s="36"/>
      <c r="Q11" s="8"/>
      <c r="R11" s="38"/>
      <c r="S11" s="12"/>
      <c r="T11" s="9"/>
      <c r="U11" s="8"/>
    </row>
    <row r="12" spans="1:24" ht="31.5" customHeight="1">
      <c r="A12" s="256" t="s">
        <v>17</v>
      </c>
      <c r="B12" s="822" t="str">
        <f>+IF('Ввод данных'!F10="Пожалуйста Выберите","",'Ввод данных'!F10)</f>
        <v>UNOPS</v>
      </c>
      <c r="C12" s="822"/>
      <c r="D12" s="822"/>
      <c r="E12" s="825" t="s">
        <v>358</v>
      </c>
      <c r="F12" s="825"/>
      <c r="G12" s="822" t="str">
        <f>+'Ввод данных'!F12</f>
        <v>Алексей Бобрик</v>
      </c>
      <c r="H12" s="822"/>
      <c r="I12" s="822"/>
      <c r="J12" s="822"/>
      <c r="K12" s="12"/>
      <c r="L12" s="12"/>
      <c r="M12" s="35"/>
      <c r="N12" s="12"/>
      <c r="O12" s="12"/>
      <c r="P12" s="36"/>
      <c r="Q12" s="8"/>
      <c r="R12" s="38"/>
      <c r="S12" s="12"/>
      <c r="T12" s="8"/>
      <c r="U12" s="39"/>
      <c r="V12" s="8"/>
      <c r="W12" s="9"/>
      <c r="X12" s="8"/>
    </row>
    <row r="13" spans="1:24" ht="27.75" customHeight="1">
      <c r="A13" s="255" t="s">
        <v>359</v>
      </c>
      <c r="B13" s="822" t="str">
        <f>+'Ввод данных'!C18</f>
        <v>ПРООН</v>
      </c>
      <c r="C13" s="822"/>
      <c r="D13" s="822"/>
      <c r="E13" s="825" t="s">
        <v>360</v>
      </c>
      <c r="F13" s="825"/>
      <c r="G13" s="826">
        <f>+IF(ISBLANK('Ввод данных'!I16),"",'Ввод данных'!I16)</f>
        <v>44694</v>
      </c>
      <c r="H13" s="1123"/>
      <c r="I13" s="1123"/>
      <c r="J13" s="1123"/>
      <c r="K13" s="12"/>
      <c r="L13" s="13"/>
      <c r="M13" s="13"/>
      <c r="N13" s="13"/>
      <c r="O13" s="12"/>
      <c r="P13" s="13"/>
      <c r="Q13" s="13"/>
      <c r="R13" s="38"/>
      <c r="S13" s="12"/>
      <c r="T13" s="13"/>
      <c r="U13" s="40"/>
    </row>
    <row r="14" spans="1:24">
      <c r="A14" s="11"/>
      <c r="B14" s="11"/>
      <c r="C14" s="10"/>
      <c r="D14" s="10"/>
      <c r="E14" s="10"/>
      <c r="F14" s="10"/>
      <c r="L14" s="10"/>
      <c r="M14" s="10"/>
      <c r="N14" s="10"/>
      <c r="O14" s="10"/>
      <c r="P14" s="10"/>
      <c r="Q14" s="10"/>
      <c r="R14" s="10"/>
      <c r="S14" s="10"/>
      <c r="T14" s="10"/>
      <c r="U14" s="10"/>
    </row>
    <row r="15" spans="1:24">
      <c r="A15" s="10"/>
      <c r="B15" s="10"/>
      <c r="C15" s="10"/>
      <c r="D15" s="10"/>
      <c r="E15" s="10"/>
      <c r="F15" s="10"/>
      <c r="L15" s="10"/>
      <c r="M15" s="10"/>
      <c r="N15" s="10"/>
      <c r="O15" s="10"/>
      <c r="P15" s="10"/>
      <c r="Q15" s="10"/>
      <c r="R15" s="10"/>
      <c r="S15" s="10"/>
      <c r="T15" s="10"/>
      <c r="U15" s="10"/>
    </row>
    <row r="16" spans="1:24">
      <c r="A16" s="10"/>
      <c r="B16" s="10"/>
      <c r="C16" s="163"/>
      <c r="D16" s="10"/>
      <c r="E16" s="421"/>
      <c r="L16" s="10"/>
      <c r="M16" s="10"/>
      <c r="N16" s="10"/>
      <c r="O16" s="10"/>
      <c r="P16" s="10"/>
      <c r="Q16" s="10"/>
      <c r="R16" s="10"/>
      <c r="S16" s="10"/>
      <c r="T16" s="10"/>
      <c r="U16" s="10"/>
    </row>
    <row r="17" spans="1:5">
      <c r="A17" s="10"/>
      <c r="B17" s="10"/>
      <c r="C17" s="10"/>
      <c r="D17" s="10"/>
      <c r="E17" s="10"/>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61" priority="1" stopIfTrue="1" operator="equal">
      <formula>"C"</formula>
    </cfRule>
    <cfRule type="cellIs" dxfId="60" priority="2" stopIfTrue="1" operator="equal">
      <formula>"B2"</formula>
    </cfRule>
    <cfRule type="cellIs" dxfId="59"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B1:Q36"/>
  <sheetViews>
    <sheetView showGridLines="0" topLeftCell="A17" zoomScale="110" zoomScaleNormal="110" workbookViewId="0">
      <selection activeCell="D5" sqref="D5:K5"/>
    </sheetView>
  </sheetViews>
  <sheetFormatPr defaultColWidth="11" defaultRowHeight="15"/>
  <cols>
    <col min="1" max="1" width="3.85546875" customWidth="1"/>
    <col min="2" max="2" width="11.7109375" customWidth="1"/>
    <col min="3" max="3" width="5.140625" customWidth="1"/>
    <col min="4" max="4" width="12.42578125" customWidth="1"/>
    <col min="5" max="5" width="11.42578125" customWidth="1"/>
    <col min="6" max="6" width="14.28515625" customWidth="1"/>
    <col min="7" max="9" width="3.85546875" customWidth="1"/>
    <col min="10" max="10" width="10.28515625" customWidth="1"/>
    <col min="11" max="11" width="14.7109375" customWidth="1"/>
    <col min="12" max="12" width="12" customWidth="1"/>
    <col min="13" max="13" width="11.7109375" customWidth="1"/>
  </cols>
  <sheetData>
    <row r="1" spans="2:17" ht="30.75" customHeight="1"/>
    <row r="2" spans="2:17" ht="27.75" customHeight="1">
      <c r="B2" s="840" t="str">
        <f>+"Панель показателей:  "&amp;"  "&amp;IF(+'Ввод данных'!B4="Выберите","",'Ввод данных'!B4&amp;" - ")&amp;IF('Ввод данных'!F6="Выберите","",'Ввод данных'!F6)</f>
        <v>Панель показателей:    Кыргызстан - ВИЧ/СПИД/ТБ</v>
      </c>
      <c r="C2" s="840"/>
      <c r="D2" s="840"/>
      <c r="E2" s="840"/>
      <c r="F2" s="840"/>
      <c r="G2" s="840"/>
      <c r="H2" s="840"/>
      <c r="I2" s="840"/>
      <c r="J2" s="840"/>
      <c r="K2" s="840"/>
      <c r="L2" s="840"/>
      <c r="M2" s="840"/>
      <c r="N2" s="1"/>
      <c r="O2" s="1"/>
      <c r="P2" s="1"/>
      <c r="Q2" s="1"/>
    </row>
    <row r="3" spans="2:17">
      <c r="B3" s="257">
        <f>+IF('Ввод данных'!F8="Выберите","",'Ввод данных'!F8)</f>
        <v>0</v>
      </c>
      <c r="C3" s="845"/>
      <c r="D3" s="845"/>
      <c r="E3" s="844"/>
      <c r="F3" s="844"/>
      <c r="G3" s="844"/>
      <c r="H3" s="844"/>
      <c r="I3" s="844"/>
      <c r="J3" s="844"/>
      <c r="K3" s="842" t="str">
        <f>+'Ввод данных'!A16</f>
        <v>Отчетный период</v>
      </c>
      <c r="L3" s="842"/>
      <c r="M3" s="140" t="str">
        <f>+'Ввод данных'!B16</f>
        <v>P1</v>
      </c>
      <c r="N3" s="58"/>
    </row>
    <row r="4" spans="2:17" ht="23.25">
      <c r="B4" s="265" t="str">
        <f>+'Ввод данных'!A12</f>
        <v>Последняя оценка:</v>
      </c>
      <c r="C4" s="846" t="str">
        <f>+IF('Ввод данных'!B12="Выберите","",'Ввод данных'!B12)</f>
        <v>Пожалуйста выберите</v>
      </c>
      <c r="D4" s="846"/>
      <c r="E4" s="844" t="str">
        <f>+'Ввод данных'!B8</f>
        <v>ПРООН</v>
      </c>
      <c r="F4" s="844"/>
      <c r="G4" s="844"/>
      <c r="H4" s="844"/>
      <c r="I4" s="844"/>
      <c r="J4" s="844"/>
      <c r="K4" s="842" t="str">
        <f>+'Ввод данных'!C16</f>
        <v>с:</v>
      </c>
      <c r="L4" s="843"/>
      <c r="M4" s="141">
        <f>+IF(ISBLANK('Ввод данных'!D16),"",'Ввод данных'!D16)</f>
        <v>44197</v>
      </c>
    </row>
    <row r="5" spans="2:17" ht="18.75" customHeight="1">
      <c r="B5" s="90"/>
      <c r="C5" s="90"/>
      <c r="D5" s="841" t="str">
        <f>+'Ввод данных'!F4</f>
        <v>«Эффективный контроль за ВИЧ-инфекцией и туберкулезом в Кыргызской Республике»</v>
      </c>
      <c r="E5" s="841"/>
      <c r="F5" s="841"/>
      <c r="G5" s="841"/>
      <c r="H5" s="841"/>
      <c r="I5" s="841"/>
      <c r="J5" s="841"/>
      <c r="K5" s="841"/>
      <c r="L5" s="90" t="str">
        <f>+'Ввод данных'!E16</f>
        <v>до:</v>
      </c>
      <c r="M5" s="141">
        <f>+IF(ISBLANK('Ввод данных'!F16),"",'Ввод данных'!F16)</f>
        <v>44561</v>
      </c>
    </row>
    <row r="6" spans="2:17" ht="18.75">
      <c r="B6" s="15"/>
      <c r="C6" s="90"/>
      <c r="D6" s="88"/>
      <c r="E6" s="847" t="s">
        <v>361</v>
      </c>
      <c r="F6" s="847"/>
      <c r="G6" s="847"/>
      <c r="H6" s="847"/>
      <c r="I6" s="847"/>
      <c r="J6" s="847"/>
    </row>
    <row r="7" spans="2:17" ht="10.5" customHeight="1">
      <c r="B7" s="15"/>
      <c r="C7" s="90"/>
      <c r="D7" s="91"/>
      <c r="E7" s="92"/>
      <c r="F7" s="92"/>
      <c r="G7" s="92"/>
      <c r="H7" s="92"/>
      <c r="I7" s="92"/>
      <c r="J7" s="92"/>
      <c r="K7" s="472"/>
      <c r="L7" s="472"/>
      <c r="M7" s="89"/>
    </row>
    <row r="8" spans="2:17">
      <c r="B8" s="144" t="str">
        <f>+'Ввод данных'!A27&amp; " - в ("&amp;'Ввод данных'!C26&amp;")  "&amp;+K3&amp;" "&amp;+M3</f>
        <v>F1: Бюджет и выплаты Глобальным фондом - в ($)  Отчетный период P1</v>
      </c>
      <c r="C8" s="93"/>
      <c r="J8" s="144" t="str">
        <f>+'Ввод данных'!A66&amp; " - в ("&amp;'Ввод данных'!C26&amp;")         "&amp;+K3&amp;" "&amp;+M3</f>
        <v>F3: Выплаты и расходы - в ($)         Отчетный период P1</v>
      </c>
    </row>
    <row r="9" spans="2:17" ht="21.75" customHeight="1">
      <c r="B9" s="212" t="s">
        <v>362</v>
      </c>
      <c r="C9" s="853" t="s">
        <v>363</v>
      </c>
      <c r="D9" s="834"/>
      <c r="E9" s="834"/>
      <c r="F9" s="835"/>
      <c r="J9" s="213" t="s">
        <v>362</v>
      </c>
      <c r="K9" s="833" t="s">
        <v>364</v>
      </c>
      <c r="L9" s="834"/>
      <c r="M9" s="835"/>
    </row>
    <row r="22" spans="2:13" ht="17.25" customHeight="1">
      <c r="B22" s="144" t="str">
        <f>+'Ввод данных'!A36&amp; " - в ("&amp;'Ввод данных'!C26&amp;")  "&amp;+K3&amp;" "&amp;+M3</f>
        <v>F2: Бюджет и фактические расходы согласно задачам гранта - в ($)  Отчетный период P1</v>
      </c>
      <c r="J22" s="144" t="str">
        <f>+'Ввод данных'!A75&amp;"      "&amp;+K3&amp;" "&amp;+M3</f>
        <v>F4: Последний отчетный и платежный цикл ОР      Отчетный период P1</v>
      </c>
    </row>
    <row r="23" spans="2:13" ht="25.5" customHeight="1">
      <c r="B23" s="212" t="s">
        <v>362</v>
      </c>
      <c r="C23" s="833" t="s">
        <v>365</v>
      </c>
      <c r="D23" s="834"/>
      <c r="E23" s="834"/>
      <c r="F23" s="835"/>
      <c r="G23" s="224"/>
      <c r="H23" s="224"/>
      <c r="I23" s="224"/>
      <c r="J23" s="212" t="s">
        <v>362</v>
      </c>
      <c r="K23" s="833" t="s">
        <v>366</v>
      </c>
      <c r="L23" s="854"/>
      <c r="M23" s="855"/>
    </row>
    <row r="24" spans="2:13" ht="15.75" thickBot="1">
      <c r="B24" s="151"/>
      <c r="C24" s="151"/>
      <c r="D24" s="151"/>
      <c r="E24" s="151"/>
      <c r="F24" s="151"/>
      <c r="G24" s="151"/>
      <c r="H24" s="151"/>
      <c r="I24" s="151"/>
      <c r="J24" s="151"/>
      <c r="K24" s="151"/>
      <c r="L24" s="151"/>
      <c r="M24" s="151"/>
    </row>
    <row r="25" spans="2:13" ht="29.25" customHeight="1" thickBot="1">
      <c r="G25" s="204"/>
      <c r="H25" s="204"/>
      <c r="I25" s="204"/>
      <c r="J25" s="848" t="s">
        <v>114</v>
      </c>
      <c r="K25" s="849"/>
      <c r="L25" s="849"/>
      <c r="M25" s="850"/>
    </row>
    <row r="26" spans="2:13" ht="24.75">
      <c r="J26" s="851"/>
      <c r="K26" s="852"/>
      <c r="L26" s="193" t="s">
        <v>115</v>
      </c>
      <c r="M26" s="194" t="s">
        <v>116</v>
      </c>
    </row>
    <row r="27" spans="2:13" ht="23.25" customHeight="1">
      <c r="G27" s="205"/>
      <c r="H27" s="205"/>
      <c r="I27" s="205"/>
      <c r="J27" s="836" t="str">
        <f>'Ввод данных'!A79</f>
        <v xml:space="preserve">Сколько дней понадобилось для подачи ИОР/ЗПС в офис МАФ </v>
      </c>
      <c r="K27" s="837"/>
      <c r="L27" s="195">
        <f>+'Ввод данных'!C79</f>
        <v>116</v>
      </c>
      <c r="M27" s="192">
        <f>+'Ввод данных'!D79</f>
        <v>116</v>
      </c>
    </row>
    <row r="28" spans="2:13" ht="21" customHeight="1">
      <c r="G28" s="205"/>
      <c r="H28" s="205"/>
      <c r="I28" s="205"/>
      <c r="J28" s="836" t="str">
        <f>'Ввод данных'!A80</f>
        <v xml:space="preserve">Спустя сколько дней ОР получил платеж </v>
      </c>
      <c r="K28" s="837"/>
      <c r="L28" s="195" t="str">
        <f>+'Ввод данных'!C80</f>
        <v>н/п</v>
      </c>
      <c r="M28" s="192" t="str">
        <f>+'Ввод данных'!D80</f>
        <v>н/п</v>
      </c>
    </row>
    <row r="29" spans="2:13" ht="21" customHeight="1" thickBot="1">
      <c r="G29" s="205"/>
      <c r="H29" s="205"/>
      <c r="I29" s="205"/>
      <c r="J29" s="838" t="str">
        <f>'Ввод данных'!A81</f>
        <v>Спустя сколько дней суб-реципиенты получили платежи</v>
      </c>
      <c r="K29" s="839"/>
      <c r="L29" s="196" t="str">
        <f>+'Ввод данных'!C81</f>
        <v>н/п</v>
      </c>
      <c r="M29" s="197" t="str">
        <f>+'Ввод данных'!D81</f>
        <v>н/п</v>
      </c>
    </row>
    <row r="31" spans="2:13">
      <c r="D31" s="164"/>
    </row>
    <row r="32" spans="2:13">
      <c r="D32" s="164"/>
    </row>
    <row r="34" spans="2:2">
      <c r="B34" s="147" t="s">
        <v>367</v>
      </c>
    </row>
    <row r="35" spans="2:2">
      <c r="B35" s="157"/>
    </row>
    <row r="36" spans="2:2">
      <c r="B36" s="147" t="s">
        <v>368</v>
      </c>
    </row>
  </sheetData>
  <sheetProtection password="CFC9" sheet="1"/>
  <mergeCells count="18">
    <mergeCell ref="C9:F9"/>
    <mergeCell ref="K23:M23"/>
    <mergeCell ref="C23:F23"/>
    <mergeCell ref="K9:M9"/>
    <mergeCell ref="J28:K28"/>
    <mergeCell ref="J29:K29"/>
    <mergeCell ref="B2:M2"/>
    <mergeCell ref="D5:K5"/>
    <mergeCell ref="K4:L4"/>
    <mergeCell ref="K3:L3"/>
    <mergeCell ref="E3:J3"/>
    <mergeCell ref="C3:D3"/>
    <mergeCell ref="C4:D4"/>
    <mergeCell ref="E4:J4"/>
    <mergeCell ref="E6:J6"/>
    <mergeCell ref="J25:M25"/>
    <mergeCell ref="J26:K26"/>
    <mergeCell ref="J27:K27"/>
  </mergeCells>
  <phoneticPr fontId="30" type="noConversion"/>
  <conditionalFormatting sqref="C4:D4">
    <cfRule type="cellIs" dxfId="58" priority="3" stopIfTrue="1" operator="equal">
      <formula>"C"</formula>
    </cfRule>
    <cfRule type="cellIs" dxfId="57" priority="4" stopIfTrue="1" operator="equal">
      <formula>"B2"</formula>
    </cfRule>
    <cfRule type="cellIs" dxfId="56" priority="5" stopIfTrue="1" operator="equal">
      <formula>"B1"</formula>
    </cfRule>
  </conditionalFormatting>
  <conditionalFormatting sqref="M27:M29">
    <cfRule type="expression" dxfId="55" priority="1" stopIfTrue="1">
      <formula>$M27&gt;$L27</formula>
    </cfRule>
    <cfRule type="expression" dxfId="54"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Q70"/>
  <sheetViews>
    <sheetView showGridLines="0" topLeftCell="A42" zoomScaleNormal="100" workbookViewId="0">
      <selection activeCell="N59" sqref="N59"/>
    </sheetView>
  </sheetViews>
  <sheetFormatPr defaultColWidth="11" defaultRowHeight="15"/>
  <cols>
    <col min="1" max="1" width="3.28515625" customWidth="1"/>
    <col min="2" max="2" width="12.140625" customWidth="1"/>
    <col min="3" max="3" width="13.140625" customWidth="1"/>
    <col min="4" max="4" width="14.28515625" customWidth="1"/>
    <col min="5" max="5" width="12.85546875" customWidth="1"/>
    <col min="6" max="7" width="17" customWidth="1"/>
    <col min="8" max="8" width="3.85546875" customWidth="1"/>
    <col min="9" max="9" width="17.85546875" customWidth="1"/>
    <col min="10" max="10" width="31.28515625" customWidth="1"/>
    <col min="11" max="11" width="13.7109375" customWidth="1"/>
    <col min="12" max="12" width="13.5703125" customWidth="1"/>
    <col min="13" max="13" width="14" customWidth="1"/>
  </cols>
  <sheetData>
    <row r="1" spans="1:17" ht="28.5" customHeight="1">
      <c r="C1" s="161"/>
      <c r="E1" s="85"/>
    </row>
    <row r="2" spans="1:17" ht="27.75" customHeight="1">
      <c r="B2" s="840" t="str">
        <f>+"Панель показателей:  "&amp;"  "&amp;IF(+'Ввод данных'!B4="Выберите","",'Ввод данных'!B4&amp;" - ")&amp;IF('Ввод данных'!F6="Выберите","",'Ввод данных'!F6)</f>
        <v>Панель показателей:    Кыргызстан - ВИЧ/СПИД/ТБ</v>
      </c>
      <c r="C2" s="840"/>
      <c r="D2" s="840"/>
      <c r="E2" s="840"/>
      <c r="F2" s="840"/>
      <c r="G2" s="840"/>
      <c r="H2" s="840"/>
      <c r="I2" s="840"/>
      <c r="J2" s="840"/>
      <c r="K2" s="840"/>
      <c r="L2" s="840"/>
      <c r="M2" s="840"/>
      <c r="N2" s="17"/>
      <c r="O2" s="17"/>
      <c r="P2" s="17"/>
      <c r="Q2" s="17"/>
    </row>
    <row r="3" spans="1:17" ht="22.5" customHeight="1">
      <c r="A3" s="259"/>
      <c r="B3" s="260">
        <f>+IF('Ввод данных'!F8="Пожалуйста выберите","",'Ввод данных'!F8)</f>
        <v>0</v>
      </c>
      <c r="C3" s="870">
        <f>+IF('Ввод данных'!H8="Пожалуйста выберите","",'Ввод данных'!H8)</f>
        <v>0</v>
      </c>
      <c r="D3" s="870"/>
      <c r="E3" s="844"/>
      <c r="F3" s="844"/>
      <c r="G3" s="844"/>
      <c r="H3" s="844"/>
      <c r="I3" s="844"/>
      <c r="J3" s="844"/>
      <c r="K3" s="842" t="str">
        <f>+'Ввод данных'!A16</f>
        <v>Отчетный период</v>
      </c>
      <c r="L3" s="842"/>
      <c r="M3" s="140" t="str">
        <f>+'Ввод данных'!B16</f>
        <v>P1</v>
      </c>
    </row>
    <row r="4" spans="1:17" ht="25.5" customHeight="1">
      <c r="A4" s="259"/>
      <c r="B4" s="267" t="str">
        <f>+'Ввод данных'!A12</f>
        <v>Последняя оценка:</v>
      </c>
      <c r="C4" s="865" t="str">
        <f>+IF('Ввод данных'!B12="Выберите","",'Ввод данных'!B12)</f>
        <v>Пожалуйста выберите</v>
      </c>
      <c r="D4" s="865"/>
      <c r="E4" s="844" t="str">
        <f>+'Ввод данных'!B8</f>
        <v>ПРООН</v>
      </c>
      <c r="F4" s="844"/>
      <c r="G4" s="844"/>
      <c r="H4" s="844"/>
      <c r="I4" s="844"/>
      <c r="J4" s="844"/>
      <c r="K4" s="842" t="str">
        <f>+'Ввод данных'!C16</f>
        <v>с:</v>
      </c>
      <c r="L4" s="842"/>
      <c r="M4" s="141">
        <f>+IF(ISBLANK('Ввод данных'!D16),"",'Ввод данных'!D16)</f>
        <v>44197</v>
      </c>
    </row>
    <row r="5" spans="1:17" ht="18.75" customHeight="1">
      <c r="B5" s="90"/>
      <c r="C5" s="90"/>
      <c r="D5" s="844" t="str">
        <f>+'Ввод данных'!F4</f>
        <v>«Эффективный контроль за ВИЧ-инфекцией и туберкулезом в Кыргызской Республике»</v>
      </c>
      <c r="E5" s="844"/>
      <c r="F5" s="844"/>
      <c r="G5" s="844"/>
      <c r="H5" s="844"/>
      <c r="I5" s="844"/>
      <c r="J5" s="844"/>
      <c r="K5" s="844"/>
      <c r="L5" s="90" t="str">
        <f>+'Ввод данных'!E16</f>
        <v>до:</v>
      </c>
      <c r="M5" s="141">
        <f>+IF(ISBLANK('Ввод данных'!F16),"",'Ввод данных'!F16)</f>
        <v>44561</v>
      </c>
    </row>
    <row r="6" spans="1:17" ht="18.75">
      <c r="B6" s="15"/>
      <c r="C6" s="90"/>
      <c r="D6" s="16"/>
      <c r="E6" s="422" t="s">
        <v>369</v>
      </c>
      <c r="F6" s="422"/>
      <c r="G6" s="422"/>
      <c r="H6" s="422"/>
      <c r="I6" s="422"/>
      <c r="J6" s="422"/>
    </row>
    <row r="7" spans="1:17" ht="22.5" customHeight="1" thickBot="1">
      <c r="B7" s="868" t="str">
        <f>+'Ввод данных'!A86&amp;" "&amp;+K3&amp;"   "&amp;+M3</f>
        <v>M1: Статус Предварительных условий (ПУ) и Действий с установленным сроком исполнения (ДУС) Отчетный период   P1</v>
      </c>
      <c r="C7" s="868"/>
      <c r="D7" s="868"/>
      <c r="E7" s="868"/>
      <c r="F7" s="868"/>
      <c r="G7" s="474"/>
      <c r="I7" s="225" t="str">
        <f>+'Ввод данных'!A95&amp;"                                       "&amp;+K3&amp;"  "&amp;+M3</f>
        <v>M2: Статус ключевых руководящих должностей в структуре ОР                                       Отчетный период  P1</v>
      </c>
    </row>
    <row r="8" spans="1:17" ht="45.75" customHeight="1" thickBot="1">
      <c r="B8" s="379" t="s">
        <v>362</v>
      </c>
      <c r="C8" s="867" t="s">
        <v>370</v>
      </c>
      <c r="D8" s="867"/>
      <c r="E8" s="867"/>
      <c r="F8" s="867"/>
      <c r="G8" s="380"/>
      <c r="H8" s="381"/>
      <c r="I8" s="379" t="s">
        <v>362</v>
      </c>
      <c r="J8" s="871" t="s">
        <v>371</v>
      </c>
      <c r="K8" s="871"/>
      <c r="L8" s="871"/>
      <c r="M8" s="871"/>
    </row>
    <row r="10" spans="1:17">
      <c r="A10" s="32"/>
      <c r="D10" s="869"/>
      <c r="E10" s="866"/>
      <c r="F10" s="866"/>
      <c r="G10" s="31"/>
      <c r="H10" s="31"/>
      <c r="O10" s="34"/>
      <c r="P10" s="34"/>
      <c r="Q10" s="33"/>
    </row>
    <row r="11" spans="1:17">
      <c r="C11" s="78"/>
      <c r="D11" s="869"/>
      <c r="E11" s="78"/>
      <c r="F11" s="78"/>
      <c r="G11" s="78"/>
      <c r="H11" s="78"/>
      <c r="I11" s="78"/>
    </row>
    <row r="12" spans="1:17">
      <c r="C12" s="78"/>
      <c r="D12" s="78"/>
      <c r="E12" s="78"/>
      <c r="F12" s="78"/>
      <c r="G12" s="78"/>
      <c r="H12" s="78"/>
      <c r="I12" s="78"/>
    </row>
    <row r="13" spans="1:17">
      <c r="C13" s="78"/>
      <c r="D13" s="78"/>
      <c r="E13" s="78"/>
      <c r="F13" s="78"/>
      <c r="G13" s="78"/>
      <c r="H13" s="78"/>
      <c r="I13" s="78"/>
    </row>
    <row r="14" spans="1:17">
      <c r="C14" s="78"/>
      <c r="D14" s="78"/>
      <c r="E14" s="78"/>
      <c r="F14" s="78"/>
      <c r="G14" s="78"/>
      <c r="H14" s="78"/>
      <c r="I14" s="78"/>
    </row>
    <row r="15" spans="1:17">
      <c r="B15" s="78"/>
      <c r="C15" s="54"/>
      <c r="D15" s="55"/>
      <c r="E15" s="55"/>
      <c r="F15" s="55"/>
      <c r="G15" s="55"/>
      <c r="H15" s="55"/>
      <c r="I15" s="56"/>
    </row>
    <row r="16" spans="1:17">
      <c r="B16" s="78"/>
      <c r="C16" s="54"/>
      <c r="D16" s="55"/>
      <c r="E16" s="55"/>
      <c r="F16" s="55"/>
      <c r="G16" s="55"/>
      <c r="H16" s="55"/>
      <c r="I16" s="56"/>
    </row>
    <row r="17" spans="2:14" ht="40.5" customHeight="1"/>
    <row r="18" spans="2:14" ht="27.75" customHeight="1" thickBot="1">
      <c r="B18" s="225" t="str">
        <f>+'Ввод данных'!A102&amp;"                                                                                                  "&amp;+K3&amp;" "&amp;+M3</f>
        <v>M3: Контрактные соглашения (СР)                                                                                                   Отчетный период P1</v>
      </c>
      <c r="I18" s="225" t="str">
        <f>+'Ввод данных'!A108&amp;"                                       "&amp;+K3&amp;" "&amp;+M3</f>
        <v>M4: Количество полных отчетов, полученных к установленному сроку                                       Отчетный период P1</v>
      </c>
    </row>
    <row r="19" spans="2:14" ht="44.25" customHeight="1" thickBot="1">
      <c r="B19" s="378" t="s">
        <v>362</v>
      </c>
      <c r="C19" s="860" t="s">
        <v>372</v>
      </c>
      <c r="D19" s="860"/>
      <c r="E19" s="860"/>
      <c r="F19" s="860"/>
      <c r="I19" s="378" t="s">
        <v>373</v>
      </c>
      <c r="J19" s="860" t="s">
        <v>374</v>
      </c>
      <c r="K19" s="860"/>
      <c r="L19" s="860"/>
      <c r="M19" s="860"/>
    </row>
    <row r="20" spans="2:14" ht="27.75" customHeight="1">
      <c r="B20" s="225"/>
    </row>
    <row r="21" spans="2:14" ht="27.75" customHeight="1">
      <c r="B21" s="225"/>
      <c r="I21" s="225"/>
    </row>
    <row r="22" spans="2:14" ht="27.75" customHeight="1">
      <c r="B22" s="225"/>
      <c r="I22" s="225"/>
    </row>
    <row r="23" spans="2:14" ht="27.75" customHeight="1">
      <c r="B23" s="225"/>
    </row>
    <row r="24" spans="2:14">
      <c r="B24" s="19"/>
      <c r="I24" s="19"/>
    </row>
    <row r="25" spans="2:14">
      <c r="N25" s="58"/>
    </row>
    <row r="28" spans="2:14" ht="24.75" customHeight="1">
      <c r="B28" s="861" t="str">
        <f>+'Ввод данных'!A116</f>
        <v>M5: Бюджет и закупки товаров медицинского назначения, медицинского оборудования,  лекарственных средств и фармацевтических препаратов</v>
      </c>
      <c r="C28" s="861"/>
      <c r="D28" s="861"/>
      <c r="E28" s="861"/>
      <c r="F28" s="861"/>
      <c r="I28" s="862" t="str">
        <f>+'Ввод данных'!A129&amp;"                    "&amp;+K3&amp;"  "&amp;+M3</f>
        <v>M6: Разница между текущим и резервным запасами                    Отчетный период  P1</v>
      </c>
      <c r="J28" s="862"/>
      <c r="K28" s="862"/>
      <c r="L28" s="862"/>
      <c r="M28" s="862"/>
    </row>
    <row r="29" spans="2:14" ht="285" customHeight="1">
      <c r="B29" s="859" t="s">
        <v>362</v>
      </c>
      <c r="C29" s="858" t="s">
        <v>375</v>
      </c>
      <c r="D29" s="858"/>
      <c r="E29" s="858"/>
      <c r="F29" s="858"/>
      <c r="G29" s="262"/>
      <c r="H29" s="226"/>
      <c r="I29" s="475" t="s">
        <v>376</v>
      </c>
      <c r="J29" s="863" t="s">
        <v>377</v>
      </c>
      <c r="K29" s="863"/>
      <c r="L29" s="863"/>
      <c r="M29" s="863"/>
    </row>
    <row r="30" spans="2:14" ht="130.5" customHeight="1" thickBot="1">
      <c r="B30" s="859"/>
      <c r="C30" s="858"/>
      <c r="D30" s="858"/>
      <c r="E30" s="858"/>
      <c r="F30" s="858"/>
      <c r="I30" s="475" t="s">
        <v>373</v>
      </c>
      <c r="J30" s="864" t="s">
        <v>378</v>
      </c>
      <c r="K30" s="864"/>
      <c r="L30" s="864"/>
      <c r="M30" s="864"/>
    </row>
    <row r="31" spans="2:14" ht="119.25" customHeight="1">
      <c r="F31" s="207"/>
      <c r="G31" s="207"/>
      <c r="H31" s="207"/>
      <c r="I31" s="438" t="s">
        <v>165</v>
      </c>
      <c r="J31" s="439" t="s">
        <v>379</v>
      </c>
      <c r="K31" s="440" t="s">
        <v>380</v>
      </c>
      <c r="L31" s="440" t="s">
        <v>381</v>
      </c>
      <c r="M31" s="441" t="s">
        <v>382</v>
      </c>
    </row>
    <row r="32" spans="2:14" ht="22.5" customHeight="1">
      <c r="F32" s="207"/>
      <c r="G32" s="207"/>
      <c r="H32" s="207"/>
      <c r="I32" s="857" t="s">
        <v>383</v>
      </c>
      <c r="J32" s="427" t="s">
        <v>176</v>
      </c>
      <c r="K32" s="427">
        <f>'Ввод данных'!I132</f>
        <v>5.8636363636363633</v>
      </c>
      <c r="L32" s="427">
        <v>3</v>
      </c>
      <c r="M32" s="458">
        <f>K32-L32</f>
        <v>2.8636363636363633</v>
      </c>
    </row>
    <row r="33" spans="6:13">
      <c r="F33" s="207"/>
      <c r="G33" s="207"/>
      <c r="H33" s="207"/>
      <c r="I33" s="857"/>
      <c r="J33" s="427" t="s">
        <v>177</v>
      </c>
      <c r="K33" s="427">
        <f>'Ввод данных'!I133</f>
        <v>7.2795795795795799</v>
      </c>
      <c r="L33" s="427">
        <v>3</v>
      </c>
      <c r="M33" s="458">
        <f t="shared" ref="M33:M44" si="0">K33-L33</f>
        <v>4.2795795795795799</v>
      </c>
    </row>
    <row r="34" spans="6:13">
      <c r="F34" s="207"/>
      <c r="G34" s="207"/>
      <c r="H34" s="207"/>
      <c r="I34" s="857"/>
      <c r="J34" s="427" t="s">
        <v>178</v>
      </c>
      <c r="K34" s="427">
        <f>'Ввод данных'!I134</f>
        <v>6.666666666666667</v>
      </c>
      <c r="L34" s="427">
        <v>3</v>
      </c>
      <c r="M34" s="458">
        <f t="shared" si="0"/>
        <v>3.666666666666667</v>
      </c>
    </row>
    <row r="35" spans="6:13">
      <c r="F35" s="207"/>
      <c r="G35" s="207"/>
      <c r="H35" s="207"/>
      <c r="I35" s="857"/>
      <c r="J35" s="427" t="s">
        <v>179</v>
      </c>
      <c r="K35" s="427">
        <f>'Ввод данных'!I135</f>
        <v>11.229824561403509</v>
      </c>
      <c r="L35" s="427">
        <v>3</v>
      </c>
      <c r="M35" s="458">
        <f t="shared" si="0"/>
        <v>8.2298245614035093</v>
      </c>
    </row>
    <row r="36" spans="6:13">
      <c r="F36" s="207"/>
      <c r="G36" s="207"/>
      <c r="H36" s="207"/>
      <c r="I36" s="857"/>
      <c r="J36" s="427" t="s">
        <v>180</v>
      </c>
      <c r="K36" s="427">
        <f>'Ввод данных'!I136</f>
        <v>14.261678004535147</v>
      </c>
      <c r="L36" s="427">
        <v>3</v>
      </c>
      <c r="M36" s="458">
        <f t="shared" si="0"/>
        <v>11.261678004535147</v>
      </c>
    </row>
    <row r="37" spans="6:13">
      <c r="F37" s="207"/>
      <c r="G37" s="207"/>
      <c r="H37" s="207"/>
      <c r="I37" s="857"/>
      <c r="J37" s="427" t="s">
        <v>181</v>
      </c>
      <c r="K37" s="427">
        <f>'Ввод данных'!I137</f>
        <v>7.0823045267489713</v>
      </c>
      <c r="L37" s="427">
        <v>3</v>
      </c>
      <c r="M37" s="458">
        <f t="shared" si="0"/>
        <v>4.0823045267489713</v>
      </c>
    </row>
    <row r="38" spans="6:13">
      <c r="F38" s="207"/>
      <c r="G38" s="207"/>
      <c r="H38" s="207"/>
      <c r="I38" s="857"/>
      <c r="J38" s="427" t="s">
        <v>182</v>
      </c>
      <c r="K38" s="427">
        <f>'Ввод данных'!I138</f>
        <v>4.5933862433862434</v>
      </c>
      <c r="L38" s="427">
        <v>3</v>
      </c>
      <c r="M38" s="458">
        <f t="shared" si="0"/>
        <v>1.5933862433862434</v>
      </c>
    </row>
    <row r="39" spans="6:13" ht="15" customHeight="1">
      <c r="F39" s="207"/>
      <c r="G39" s="207"/>
      <c r="H39" s="207"/>
      <c r="I39" s="857"/>
      <c r="J39" s="427" t="s">
        <v>183</v>
      </c>
      <c r="K39" s="427">
        <f>'Ввод данных'!I139</f>
        <v>2.5166666666666666</v>
      </c>
      <c r="L39" s="427">
        <v>3</v>
      </c>
      <c r="M39" s="458">
        <f t="shared" si="0"/>
        <v>-0.48333333333333339</v>
      </c>
    </row>
    <row r="40" spans="6:13">
      <c r="F40" s="207"/>
      <c r="G40" s="207"/>
      <c r="H40" s="207"/>
      <c r="I40" s="857"/>
      <c r="J40" s="427" t="s">
        <v>184</v>
      </c>
      <c r="K40" s="427">
        <f>'Ввод данных'!I140</f>
        <v>0.8571428571428571</v>
      </c>
      <c r="L40" s="427">
        <v>3</v>
      </c>
      <c r="M40" s="458">
        <f t="shared" si="0"/>
        <v>-2.1428571428571428</v>
      </c>
    </row>
    <row r="41" spans="6:13">
      <c r="F41" s="207"/>
      <c r="G41" s="207"/>
      <c r="H41" s="207"/>
      <c r="I41" s="857"/>
      <c r="J41" s="427" t="s">
        <v>185</v>
      </c>
      <c r="K41" s="427">
        <f>'Ввод данных'!I141</f>
        <v>18.75</v>
      </c>
      <c r="L41" s="427">
        <v>3</v>
      </c>
      <c r="M41" s="458">
        <f t="shared" si="0"/>
        <v>15.75</v>
      </c>
    </row>
    <row r="42" spans="6:13">
      <c r="F42" s="207"/>
      <c r="G42" s="207"/>
      <c r="H42" s="207"/>
      <c r="I42" s="857"/>
      <c r="J42" s="427" t="s">
        <v>186</v>
      </c>
      <c r="K42" s="427">
        <f>'Ввод данных'!I142</f>
        <v>13.527777777777779</v>
      </c>
      <c r="L42" s="427">
        <v>3</v>
      </c>
      <c r="M42" s="458">
        <f t="shared" si="0"/>
        <v>10.527777777777779</v>
      </c>
    </row>
    <row r="43" spans="6:13">
      <c r="F43" s="207"/>
      <c r="G43" s="207"/>
      <c r="H43" s="207"/>
      <c r="I43" s="857"/>
      <c r="J43" s="427" t="s">
        <v>187</v>
      </c>
      <c r="K43" s="427">
        <f>'Ввод данных'!I143</f>
        <v>3.4664444444444444</v>
      </c>
      <c r="L43" s="427">
        <v>3</v>
      </c>
      <c r="M43" s="458">
        <f t="shared" si="0"/>
        <v>0.46644444444444444</v>
      </c>
    </row>
    <row r="44" spans="6:13">
      <c r="F44" s="207"/>
      <c r="G44" s="207"/>
      <c r="H44" s="207"/>
      <c r="I44" s="857"/>
      <c r="J44" s="427" t="s">
        <v>188</v>
      </c>
      <c r="K44" s="427">
        <f>'Ввод данных'!I144</f>
        <v>11</v>
      </c>
      <c r="L44" s="427">
        <v>3</v>
      </c>
      <c r="M44" s="458">
        <f t="shared" si="0"/>
        <v>8</v>
      </c>
    </row>
    <row r="45" spans="6:13">
      <c r="F45" s="207"/>
      <c r="G45" s="207"/>
      <c r="H45" s="207"/>
      <c r="I45" s="857"/>
      <c r="J45" s="427" t="s">
        <v>189</v>
      </c>
      <c r="K45" s="427">
        <f>'Ввод данных'!I145</f>
        <v>9.0126740832303263</v>
      </c>
      <c r="L45" s="427">
        <v>3</v>
      </c>
      <c r="M45" s="458">
        <f>K45-L45</f>
        <v>6.0126740832303263</v>
      </c>
    </row>
    <row r="46" spans="6:13">
      <c r="F46" s="207"/>
      <c r="G46" s="207"/>
      <c r="H46" s="207"/>
      <c r="I46" s="857"/>
      <c r="J46" s="427" t="s">
        <v>384</v>
      </c>
      <c r="K46" s="427">
        <f>'Ввод данных'!I146</f>
        <v>3.3698630136986303</v>
      </c>
      <c r="L46" s="427">
        <v>3</v>
      </c>
      <c r="M46" s="458">
        <f>K46-L46</f>
        <v>0.36986301369863028</v>
      </c>
    </row>
    <row r="47" spans="6:13">
      <c r="F47" s="207"/>
      <c r="G47" s="207"/>
      <c r="H47" s="207"/>
      <c r="I47" s="857"/>
      <c r="J47" s="427" t="s">
        <v>191</v>
      </c>
      <c r="K47" s="427">
        <f>'Ввод данных'!I147</f>
        <v>13.923076923076923</v>
      </c>
      <c r="L47" s="427">
        <v>3</v>
      </c>
      <c r="M47" s="458">
        <f>K47-L47</f>
        <v>10.923076923076923</v>
      </c>
    </row>
    <row r="48" spans="6:13">
      <c r="F48" s="207"/>
      <c r="G48" s="207"/>
      <c r="H48" s="207"/>
      <c r="I48" s="857"/>
      <c r="J48" s="427" t="s">
        <v>192</v>
      </c>
      <c r="K48" s="427">
        <f>'Ввод данных'!I148</f>
        <v>8.3333333333333339</v>
      </c>
      <c r="L48" s="427">
        <v>3</v>
      </c>
      <c r="M48" s="458">
        <f>K48-L48</f>
        <v>5.3333333333333339</v>
      </c>
    </row>
    <row r="49" spans="2:13">
      <c r="F49" s="207"/>
      <c r="G49" s="207"/>
      <c r="H49" s="207"/>
      <c r="I49" s="857"/>
      <c r="J49" s="427" t="s">
        <v>385</v>
      </c>
      <c r="K49" s="427">
        <v>23</v>
      </c>
      <c r="L49" s="427">
        <v>3</v>
      </c>
      <c r="M49" s="428">
        <f t="shared" ref="M49" si="1">K49-L49</f>
        <v>20</v>
      </c>
    </row>
    <row r="50" spans="2:13">
      <c r="F50" s="207"/>
      <c r="G50" s="207"/>
      <c r="H50" s="207"/>
      <c r="I50" s="857"/>
      <c r="J50" s="429" t="s">
        <v>386</v>
      </c>
      <c r="K50" s="436">
        <v>7</v>
      </c>
      <c r="L50" s="457">
        <v>3</v>
      </c>
      <c r="M50" s="458">
        <f>K50-L50</f>
        <v>4</v>
      </c>
    </row>
    <row r="51" spans="2:13" ht="26.25">
      <c r="F51" s="207"/>
      <c r="G51" s="207"/>
      <c r="H51" s="207"/>
      <c r="I51" s="857"/>
      <c r="J51" s="437" t="s">
        <v>387</v>
      </c>
      <c r="K51" s="434">
        <v>7</v>
      </c>
      <c r="L51" s="434">
        <v>3</v>
      </c>
      <c r="M51" s="435">
        <f>K51-L51</f>
        <v>4</v>
      </c>
    </row>
    <row r="52" spans="2:13">
      <c r="I52" s="856" t="s">
        <v>138</v>
      </c>
      <c r="J52" s="447" t="s">
        <v>193</v>
      </c>
      <c r="K52" s="507">
        <f>'Ввод данных'!I149</f>
        <v>0</v>
      </c>
      <c r="L52" s="508">
        <v>0</v>
      </c>
      <c r="M52" s="509">
        <f>K52-L52</f>
        <v>0</v>
      </c>
    </row>
    <row r="53" spans="2:13">
      <c r="I53" s="856"/>
      <c r="J53" s="448" t="s">
        <v>194</v>
      </c>
      <c r="K53" s="507">
        <f>'Ввод данных'!I150</f>
        <v>0</v>
      </c>
      <c r="L53" s="508">
        <v>0</v>
      </c>
      <c r="M53" s="509">
        <f t="shared" ref="M53:M69" si="2">K53-L53</f>
        <v>0</v>
      </c>
    </row>
    <row r="54" spans="2:13">
      <c r="I54" s="856"/>
      <c r="J54" s="448" t="s">
        <v>195</v>
      </c>
      <c r="K54" s="507">
        <f>'Ввод данных'!I151</f>
        <v>1</v>
      </c>
      <c r="L54" s="508">
        <v>3</v>
      </c>
      <c r="M54" s="509">
        <f t="shared" si="2"/>
        <v>-2</v>
      </c>
    </row>
    <row r="55" spans="2:13">
      <c r="B55" s="476"/>
      <c r="C55" s="476"/>
      <c r="D55" s="476"/>
      <c r="E55" s="476"/>
      <c r="I55" s="856"/>
      <c r="J55" s="448" t="s">
        <v>196</v>
      </c>
      <c r="K55" s="507">
        <f>'Ввод данных'!I152</f>
        <v>14.429487179487179</v>
      </c>
      <c r="L55" s="508">
        <v>3</v>
      </c>
      <c r="M55" s="509">
        <f t="shared" si="2"/>
        <v>11.429487179487179</v>
      </c>
    </row>
    <row r="56" spans="2:13">
      <c r="I56" s="856"/>
      <c r="J56" s="448" t="s">
        <v>197</v>
      </c>
      <c r="K56" s="507">
        <f>'Ввод данных'!I153</f>
        <v>24.872087067861717</v>
      </c>
      <c r="L56" s="508">
        <v>3</v>
      </c>
      <c r="M56" s="509">
        <f t="shared" si="2"/>
        <v>21.872087067861717</v>
      </c>
    </row>
    <row r="57" spans="2:13">
      <c r="I57" s="856"/>
      <c r="J57" s="448" t="s">
        <v>198</v>
      </c>
      <c r="K57" s="507">
        <f>'Ввод данных'!I154</f>
        <v>9.724038461538461</v>
      </c>
      <c r="L57" s="508">
        <v>3</v>
      </c>
      <c r="M57" s="509">
        <f t="shared" si="2"/>
        <v>6.724038461538461</v>
      </c>
    </row>
    <row r="58" spans="2:13">
      <c r="I58" s="856"/>
      <c r="J58" s="448" t="s">
        <v>199</v>
      </c>
      <c r="K58" s="507">
        <f>'Ввод данных'!I155</f>
        <v>8.7661616161616163</v>
      </c>
      <c r="L58" s="508">
        <v>3</v>
      </c>
      <c r="M58" s="509">
        <f t="shared" si="2"/>
        <v>5.7661616161616163</v>
      </c>
    </row>
    <row r="59" spans="2:13">
      <c r="I59" s="856"/>
      <c r="J59" s="448" t="s">
        <v>200</v>
      </c>
      <c r="K59" s="507">
        <f>'Ввод данных'!I156</f>
        <v>24.973726655348049</v>
      </c>
      <c r="L59" s="508">
        <v>3</v>
      </c>
      <c r="M59" s="509">
        <f t="shared" si="2"/>
        <v>21.973726655348049</v>
      </c>
    </row>
    <row r="60" spans="2:13">
      <c r="I60" s="856"/>
      <c r="J60" s="448" t="s">
        <v>201</v>
      </c>
      <c r="K60" s="507">
        <f>'Ввод данных'!I157</f>
        <v>20.972222222222221</v>
      </c>
      <c r="L60" s="508">
        <v>3</v>
      </c>
      <c r="M60" s="509">
        <f t="shared" si="2"/>
        <v>17.972222222222221</v>
      </c>
    </row>
    <row r="61" spans="2:13">
      <c r="I61" s="856"/>
      <c r="J61" s="448" t="s">
        <v>202</v>
      </c>
      <c r="K61" s="507">
        <f>'Ввод данных'!I158</f>
        <v>0.59583333333333333</v>
      </c>
      <c r="L61" s="508">
        <v>3</v>
      </c>
      <c r="M61" s="509">
        <f t="shared" si="2"/>
        <v>-2.4041666666666668</v>
      </c>
    </row>
    <row r="62" spans="2:13">
      <c r="I62" s="856"/>
      <c r="J62" s="448" t="s">
        <v>203</v>
      </c>
      <c r="K62" s="507">
        <f>'Ввод данных'!I159</f>
        <v>14.809867009867009</v>
      </c>
      <c r="L62" s="508">
        <v>3</v>
      </c>
      <c r="M62" s="509">
        <f t="shared" si="2"/>
        <v>11.809867009867009</v>
      </c>
    </row>
    <row r="63" spans="2:13">
      <c r="I63" s="856"/>
      <c r="J63" s="448" t="str">
        <f>'Ввод данных'!B160</f>
        <v>Pretomanid 200 mg Таблетки</v>
      </c>
      <c r="K63" s="507">
        <f>'Ввод данных'!I160</f>
        <v>26.376811594202898</v>
      </c>
      <c r="L63" s="508">
        <v>3</v>
      </c>
      <c r="M63" s="509">
        <f t="shared" si="2"/>
        <v>23.376811594202898</v>
      </c>
    </row>
    <row r="64" spans="2:13">
      <c r="I64" s="856"/>
      <c r="J64" s="448" t="s">
        <v>205</v>
      </c>
      <c r="K64" s="507">
        <f>'Ввод данных'!I161</f>
        <v>48.190648148148149</v>
      </c>
      <c r="L64" s="508">
        <v>3</v>
      </c>
      <c r="M64" s="509">
        <f t="shared" si="2"/>
        <v>45.190648148148149</v>
      </c>
    </row>
    <row r="65" spans="9:13">
      <c r="I65" s="856"/>
      <c r="J65" s="448" t="s">
        <v>206</v>
      </c>
      <c r="K65" s="507">
        <f>'Ввод данных'!I162</f>
        <v>18.083835237106264</v>
      </c>
      <c r="L65" s="508">
        <v>3</v>
      </c>
      <c r="M65" s="509">
        <f t="shared" si="2"/>
        <v>15.083835237106264</v>
      </c>
    </row>
    <row r="66" spans="9:13">
      <c r="I66" s="856"/>
      <c r="J66" s="448" t="s">
        <v>207</v>
      </c>
      <c r="K66" s="507">
        <f>'Ввод данных'!I163</f>
        <v>9.2429487179487175</v>
      </c>
      <c r="L66" s="508">
        <v>3</v>
      </c>
      <c r="M66" s="509">
        <f t="shared" si="2"/>
        <v>6.2429487179487175</v>
      </c>
    </row>
    <row r="67" spans="9:13">
      <c r="I67" s="856"/>
      <c r="J67" s="448" t="s">
        <v>208</v>
      </c>
      <c r="K67" s="507">
        <f>'Ввод данных'!I164</f>
        <v>23.60469298245614</v>
      </c>
      <c r="L67" s="508">
        <v>3</v>
      </c>
      <c r="M67" s="509">
        <f t="shared" si="2"/>
        <v>20.60469298245614</v>
      </c>
    </row>
    <row r="68" spans="9:13">
      <c r="I68" s="856"/>
      <c r="J68" s="448" t="s">
        <v>209</v>
      </c>
      <c r="K68" s="510">
        <f>'Ввод данных'!I165</f>
        <v>24.400114036906491</v>
      </c>
      <c r="L68" s="511">
        <v>3</v>
      </c>
      <c r="M68" s="509">
        <f t="shared" si="2"/>
        <v>21.400114036906491</v>
      </c>
    </row>
    <row r="69" spans="9:13">
      <c r="I69" s="856"/>
      <c r="J69" s="448" t="s">
        <v>210</v>
      </c>
      <c r="K69" s="512">
        <f>'Ввод данных'!I166</f>
        <v>13.279541241890639</v>
      </c>
      <c r="L69" s="513">
        <v>3</v>
      </c>
      <c r="M69" s="509">
        <f t="shared" si="2"/>
        <v>10.279541241890639</v>
      </c>
    </row>
    <row r="70" spans="9:13">
      <c r="I70" s="856"/>
      <c r="J70" s="449" t="s">
        <v>388</v>
      </c>
      <c r="K70" s="450">
        <v>14</v>
      </c>
      <c r="L70" s="450">
        <v>3</v>
      </c>
      <c r="M70" s="509">
        <f>K70-L70</f>
        <v>11</v>
      </c>
    </row>
  </sheetData>
  <mergeCells count="23">
    <mergeCell ref="B2:M2"/>
    <mergeCell ref="C4:D4"/>
    <mergeCell ref="E3:J3"/>
    <mergeCell ref="K3:L3"/>
    <mergeCell ref="E10:F10"/>
    <mergeCell ref="C8:F8"/>
    <mergeCell ref="B7:F7"/>
    <mergeCell ref="D10:D11"/>
    <mergeCell ref="C3:D3"/>
    <mergeCell ref="E4:J4"/>
    <mergeCell ref="K4:L4"/>
    <mergeCell ref="J8:M8"/>
    <mergeCell ref="D5:K5"/>
    <mergeCell ref="I52:I70"/>
    <mergeCell ref="I32:I51"/>
    <mergeCell ref="C29:F30"/>
    <mergeCell ref="B29:B30"/>
    <mergeCell ref="J19:M19"/>
    <mergeCell ref="B28:F28"/>
    <mergeCell ref="I28:M28"/>
    <mergeCell ref="J29:M29"/>
    <mergeCell ref="J30:M30"/>
    <mergeCell ref="C19:F19"/>
  </mergeCells>
  <phoneticPr fontId="30" type="noConversion"/>
  <conditionalFormatting sqref="D15:D16">
    <cfRule type="cellIs" dxfId="53" priority="1" stopIfTrue="1" operator="greaterThan">
      <formula>0</formula>
    </cfRule>
  </conditionalFormatting>
  <conditionalFormatting sqref="E15:E16">
    <cfRule type="cellIs" dxfId="52" priority="2" stopIfTrue="1" operator="greaterThan">
      <formula>0</formula>
    </cfRule>
  </conditionalFormatting>
  <conditionalFormatting sqref="F15:H16">
    <cfRule type="cellIs" dxfId="51" priority="3" stopIfTrue="1" operator="greaterThan">
      <formula>0</formula>
    </cfRule>
  </conditionalFormatting>
  <conditionalFormatting sqref="C4:D4">
    <cfRule type="cellIs" dxfId="50" priority="4" stopIfTrue="1" operator="equal">
      <formula>"C"</formula>
    </cfRule>
    <cfRule type="cellIs" dxfId="49" priority="5" stopIfTrue="1" operator="equal">
      <formula>"B2"</formula>
    </cfRule>
    <cfRule type="cellIs" dxfId="48" priority="6" stopIfTrue="1" operator="equal">
      <formula>"B1"</formula>
    </cfRule>
  </conditionalFormatting>
  <dataValidations count="2">
    <dataValidation type="list" allowBlank="1" showInputMessage="1" showErrorMessage="1" sqref="J52:J69" xr:uid="{173D2DE5-5CC1-4D2E-8A90-3B545477ECCC}">
      <formula1>мва</formula1>
    </dataValidation>
    <dataValidation type="list" allowBlank="1" showInputMessage="1" showErrorMessage="1" sqref="J38:J46" xr:uid="{00000000-0002-0000-0500-000001000000}">
      <formula1>Medicaments</formula1>
    </dataValidation>
  </dataValidations>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B1:AI71"/>
  <sheetViews>
    <sheetView showGridLines="0" tabSelected="1" topLeftCell="A53" zoomScale="70" zoomScaleNormal="70" workbookViewId="0">
      <selection activeCell="B54" sqref="B54:D54"/>
    </sheetView>
  </sheetViews>
  <sheetFormatPr defaultColWidth="11" defaultRowHeight="15"/>
  <cols>
    <col min="1" max="1" width="3.42578125" customWidth="1"/>
    <col min="2" max="2" width="14.140625" customWidth="1"/>
    <col min="3" max="3" width="16.140625" customWidth="1"/>
    <col min="4" max="4" width="26.140625" customWidth="1"/>
    <col min="5" max="5" width="14.42578125" customWidth="1"/>
    <col min="6" max="6" width="11.5703125" customWidth="1"/>
    <col min="7" max="7" width="5.7109375" customWidth="1"/>
    <col min="8" max="8" width="6.28515625" customWidth="1"/>
    <col min="9" max="9" width="6" customWidth="1"/>
    <col min="10" max="10" width="5.5703125" customWidth="1"/>
    <col min="11" max="11" width="21.5703125" customWidth="1"/>
    <col min="12" max="12" width="12.28515625" customWidth="1"/>
    <col min="13" max="13" width="5" customWidth="1"/>
    <col min="14" max="14" width="6.5703125" customWidth="1"/>
    <col min="15" max="15" width="4.140625" customWidth="1"/>
    <col min="16" max="16" width="10.7109375" customWidth="1"/>
    <col min="17" max="17" width="88" customWidth="1"/>
    <col min="18" max="18" width="87.28515625" customWidth="1"/>
    <col min="19" max="19" width="21.42578125" customWidth="1"/>
  </cols>
  <sheetData>
    <row r="1" spans="2:35" ht="26.25" customHeight="1"/>
    <row r="2" spans="2:35" ht="21.75" customHeight="1">
      <c r="B2" s="840" t="str">
        <f>+"Панель показателей:  "&amp;"  "&amp;IF(+'Ввод данных'!B4="Выберите","",'Ввод данных'!B4&amp;" - ")&amp;IF('Ввод данных'!F6="Выберите","",'Ввод данных'!F6)</f>
        <v>Панель показателей:    Кыргызстан - ВИЧ/СПИД/ТБ</v>
      </c>
      <c r="C2" s="840"/>
      <c r="D2" s="840"/>
      <c r="E2" s="840"/>
      <c r="F2" s="840"/>
      <c r="G2" s="840"/>
      <c r="H2" s="840"/>
      <c r="I2" s="840"/>
      <c r="J2" s="840"/>
      <c r="K2" s="840"/>
      <c r="L2" s="840"/>
      <c r="M2" s="840"/>
      <c r="N2" s="840"/>
      <c r="O2" s="840"/>
      <c r="P2" s="840"/>
      <c r="Q2" s="840"/>
    </row>
    <row r="3" spans="2:35" ht="18.75">
      <c r="B3" s="90">
        <f>+IF('Ввод данных'!F8="Выберите","",'Ввод данных'!F8)</f>
        <v>0</v>
      </c>
      <c r="C3" s="845">
        <f>+IF('Ввод данных'!H8="Выберите","",'Ввод данных'!H8)</f>
        <v>0</v>
      </c>
      <c r="D3" s="845"/>
      <c r="E3" s="844"/>
      <c r="F3" s="844"/>
      <c r="G3" s="844"/>
      <c r="H3" s="844"/>
      <c r="I3" s="596"/>
      <c r="J3" s="596"/>
      <c r="K3" s="596"/>
      <c r="O3" s="842" t="str">
        <f>+'Ввод данных'!A16</f>
        <v>Отчетный период</v>
      </c>
      <c r="P3" s="842"/>
      <c r="Q3" s="140" t="str">
        <f>+'Ввод данных'!B16</f>
        <v>P1</v>
      </c>
    </row>
    <row r="4" spans="2:35" ht="23.25">
      <c r="B4" s="268" t="str">
        <f>+'Ввод данных'!A12</f>
        <v>Последняя оценка:</v>
      </c>
      <c r="C4" s="873" t="str">
        <f>+IF('Ввод данных'!B12="Выберите","",'Ввод данных'!B12)</f>
        <v>Пожалуйста выберите</v>
      </c>
      <c r="D4" s="873"/>
      <c r="E4" s="844" t="str">
        <f>+'Ввод данных'!B8</f>
        <v>ПРООН</v>
      </c>
      <c r="F4" s="844"/>
      <c r="G4" s="844"/>
      <c r="H4" s="844"/>
      <c r="I4" s="844"/>
      <c r="J4" s="844"/>
      <c r="K4" s="844"/>
      <c r="L4" s="844"/>
      <c r="O4" s="15"/>
      <c r="P4" s="90" t="str">
        <f>+'Ввод данных'!C16</f>
        <v>с:</v>
      </c>
      <c r="Q4" s="574">
        <v>44562</v>
      </c>
      <c r="Y4" s="12"/>
      <c r="Z4" s="12"/>
      <c r="AA4" s="12"/>
      <c r="AB4" s="12"/>
      <c r="AC4" s="12"/>
    </row>
    <row r="5" spans="2:35" ht="15.75" customHeight="1">
      <c r="B5" s="90"/>
      <c r="C5" s="90"/>
      <c r="D5" s="844" t="str">
        <f>+'Ввод данных'!F4</f>
        <v>«Эффективный контроль за ВИЧ-инфекцией и туберкулезом в Кыргызской Республике»</v>
      </c>
      <c r="E5" s="844"/>
      <c r="F5" s="844"/>
      <c r="G5" s="844"/>
      <c r="H5" s="844"/>
      <c r="I5" s="844"/>
      <c r="J5" s="844"/>
      <c r="K5" s="844"/>
      <c r="L5" s="844"/>
      <c r="M5" s="844"/>
      <c r="N5" s="844"/>
      <c r="P5" s="90" t="str">
        <f>+'Ввод данных'!E16</f>
        <v>до:</v>
      </c>
      <c r="Q5" s="574">
        <v>44926</v>
      </c>
      <c r="S5" s="156"/>
      <c r="T5" s="156"/>
      <c r="U5" s="156"/>
      <c r="V5" s="156"/>
      <c r="W5" s="156"/>
      <c r="X5" s="156"/>
      <c r="Y5" s="12"/>
      <c r="Z5" s="12"/>
      <c r="AA5" s="12" t="s">
        <v>389</v>
      </c>
      <c r="AB5" s="12"/>
      <c r="AC5" s="12" t="s">
        <v>390</v>
      </c>
      <c r="AD5" s="156"/>
      <c r="AE5" s="156"/>
      <c r="AF5" s="156"/>
      <c r="AG5" s="156"/>
      <c r="AH5" s="156"/>
      <c r="AI5" s="156"/>
    </row>
    <row r="6" spans="2:35" ht="15.75" customHeight="1">
      <c r="B6" s="90"/>
      <c r="C6" s="90"/>
      <c r="D6" s="473"/>
      <c r="E6" s="874" t="s">
        <v>391</v>
      </c>
      <c r="F6" s="866"/>
      <c r="G6" s="866"/>
      <c r="H6" s="866"/>
      <c r="I6" s="866"/>
      <c r="J6" s="866"/>
      <c r="K6" s="866"/>
      <c r="L6" s="866"/>
      <c r="O6" s="142"/>
      <c r="P6" s="345"/>
      <c r="S6" s="156"/>
      <c r="T6" s="156"/>
      <c r="U6" s="156"/>
      <c r="V6" s="156"/>
      <c r="W6" s="156"/>
      <c r="X6" s="156"/>
      <c r="Y6" s="12"/>
      <c r="Z6" s="12"/>
      <c r="AA6" s="12"/>
      <c r="AB6" s="12"/>
      <c r="AC6" s="12"/>
      <c r="AD6" s="156"/>
      <c r="AE6" s="156"/>
      <c r="AF6" s="156"/>
      <c r="AG6" s="156"/>
      <c r="AH6" s="156"/>
      <c r="AI6" s="156"/>
    </row>
    <row r="7" spans="2:35" ht="3" customHeight="1">
      <c r="B7" s="90"/>
      <c r="C7" s="90"/>
      <c r="D7" s="473"/>
      <c r="E7" s="473"/>
      <c r="F7" s="473"/>
      <c r="G7" s="473"/>
      <c r="H7" s="473"/>
      <c r="I7" s="473"/>
      <c r="J7" s="473"/>
      <c r="K7" s="473"/>
      <c r="L7" s="473"/>
      <c r="O7" s="142"/>
      <c r="P7" s="141"/>
      <c r="Q7" s="141"/>
      <c r="S7" s="156"/>
      <c r="T7" s="156"/>
      <c r="U7" s="156"/>
      <c r="V7" s="156"/>
      <c r="W7" s="156"/>
      <c r="X7" s="156"/>
      <c r="Y7" s="12"/>
      <c r="Z7" s="12"/>
      <c r="AA7" s="12"/>
      <c r="AB7" s="12"/>
      <c r="AC7" s="12"/>
      <c r="AD7" s="156"/>
      <c r="AE7" s="156"/>
      <c r="AF7" s="156"/>
      <c r="AG7" s="156"/>
      <c r="AH7" s="156"/>
      <c r="AI7" s="156"/>
    </row>
    <row r="8" spans="2:35" ht="60.75" customHeight="1">
      <c r="B8" s="875" t="s">
        <v>216</v>
      </c>
      <c r="C8" s="875"/>
      <c r="D8" s="875"/>
      <c r="E8" s="875"/>
      <c r="F8" s="875" t="s">
        <v>221</v>
      </c>
      <c r="G8" s="875"/>
      <c r="H8" s="875"/>
      <c r="I8" s="875"/>
      <c r="J8" s="875"/>
      <c r="K8" s="875"/>
      <c r="L8" s="875" t="s">
        <v>222</v>
      </c>
      <c r="M8" s="875"/>
      <c r="N8" s="875"/>
      <c r="O8" s="875"/>
      <c r="P8" s="875"/>
      <c r="Q8" s="875"/>
      <c r="S8" s="156"/>
      <c r="T8" s="156"/>
      <c r="U8" s="156"/>
      <c r="V8" s="156"/>
      <c r="W8" s="156"/>
      <c r="X8" s="156"/>
      <c r="Y8" s="12"/>
      <c r="Z8" s="12"/>
      <c r="AA8" s="12"/>
      <c r="AB8" s="12"/>
      <c r="AC8" s="12"/>
      <c r="AD8" s="156"/>
      <c r="AE8" s="156"/>
      <c r="AF8" s="156"/>
      <c r="AG8" s="156"/>
      <c r="AH8" s="156"/>
      <c r="AI8" s="156"/>
    </row>
    <row r="9" spans="2:35" ht="140.25" customHeight="1">
      <c r="B9" s="534" t="s">
        <v>392</v>
      </c>
      <c r="C9" s="876" t="s">
        <v>393</v>
      </c>
      <c r="D9" s="877"/>
      <c r="E9" s="877"/>
      <c r="F9" s="535" t="s">
        <v>392</v>
      </c>
      <c r="G9" s="876" t="s">
        <v>394</v>
      </c>
      <c r="H9" s="877"/>
      <c r="I9" s="877"/>
      <c r="J9" s="877"/>
      <c r="K9" s="878"/>
      <c r="L9" s="535" t="s">
        <v>392</v>
      </c>
      <c r="M9" s="876" t="s">
        <v>395</v>
      </c>
      <c r="N9" s="877"/>
      <c r="O9" s="877"/>
      <c r="P9" s="877"/>
      <c r="Q9" s="878"/>
      <c r="S9" s="382"/>
      <c r="T9" s="156"/>
      <c r="U9" s="156"/>
      <c r="V9" s="156"/>
      <c r="W9" s="156"/>
      <c r="X9" s="156"/>
      <c r="Y9" s="156"/>
      <c r="Z9" s="156"/>
      <c r="AA9" s="156"/>
      <c r="AB9" s="156"/>
      <c r="AC9" s="156"/>
      <c r="AD9" s="156"/>
      <c r="AE9" s="156"/>
      <c r="AF9" s="156"/>
      <c r="AG9" s="156"/>
      <c r="AH9" s="156"/>
      <c r="AI9" s="156"/>
    </row>
    <row r="10" spans="2:35" ht="18.75" customHeight="1">
      <c r="B10" s="90"/>
      <c r="C10" s="90"/>
      <c r="D10" s="473"/>
      <c r="E10" s="473"/>
      <c r="F10" s="473"/>
      <c r="G10" s="473"/>
      <c r="H10" s="473"/>
      <c r="I10" s="473"/>
      <c r="J10" s="473"/>
      <c r="K10" s="473"/>
      <c r="L10" s="473"/>
      <c r="O10" s="142"/>
      <c r="P10" s="141"/>
      <c r="S10" s="156"/>
      <c r="T10" s="156"/>
      <c r="U10" s="156"/>
      <c r="V10" s="156"/>
      <c r="W10" s="156"/>
      <c r="X10" s="156"/>
      <c r="Y10" s="156"/>
      <c r="Z10" s="156"/>
      <c r="AA10" s="156"/>
      <c r="AB10" s="156"/>
      <c r="AC10" s="156"/>
      <c r="AD10" s="156"/>
      <c r="AE10" s="156"/>
      <c r="AF10" s="156"/>
      <c r="AG10" s="156"/>
      <c r="AH10" s="156"/>
      <c r="AI10" s="156"/>
    </row>
    <row r="11" spans="2:35" ht="18.75" customHeight="1">
      <c r="B11" s="90"/>
      <c r="C11" s="90"/>
      <c r="D11" s="473"/>
      <c r="E11" s="473"/>
      <c r="F11" s="473"/>
      <c r="G11" s="473"/>
      <c r="H11" s="473"/>
      <c r="I11" s="473"/>
      <c r="J11" s="473"/>
      <c r="K11" s="473"/>
      <c r="L11" s="473"/>
      <c r="O11" s="142"/>
      <c r="P11" s="141"/>
      <c r="S11" s="156"/>
      <c r="T11" s="156"/>
      <c r="U11" s="156"/>
      <c r="V11" s="156"/>
      <c r="W11" s="156"/>
      <c r="X11" s="156"/>
      <c r="Y11" s="156"/>
      <c r="Z11" s="156"/>
      <c r="AA11" s="156"/>
      <c r="AB11" s="156"/>
      <c r="AC11" s="156"/>
      <c r="AD11" s="156"/>
      <c r="AE11" s="156"/>
      <c r="AF11" s="156"/>
      <c r="AG11" s="156"/>
      <c r="AH11" s="156"/>
      <c r="AI11" s="156"/>
    </row>
    <row r="12" spans="2:35" ht="18.75" customHeight="1">
      <c r="B12" s="90"/>
      <c r="C12" s="90"/>
      <c r="D12" s="473"/>
      <c r="E12" s="473"/>
      <c r="F12" s="473"/>
      <c r="G12" s="473"/>
      <c r="H12" s="473"/>
      <c r="I12" s="473"/>
      <c r="J12" s="473"/>
      <c r="K12" s="473"/>
      <c r="L12" s="473"/>
      <c r="O12" s="142"/>
      <c r="P12" s="141"/>
      <c r="S12" s="156"/>
      <c r="T12" s="156"/>
      <c r="U12" s="156"/>
      <c r="V12" s="156"/>
      <c r="W12" s="156"/>
      <c r="X12" s="156"/>
      <c r="Y12" s="156"/>
      <c r="Z12" s="156"/>
      <c r="AA12" s="156"/>
      <c r="AB12" s="156"/>
      <c r="AC12" s="156"/>
      <c r="AD12" s="156"/>
      <c r="AE12" s="156"/>
      <c r="AF12" s="156"/>
      <c r="AG12" s="156"/>
      <c r="AH12" s="156"/>
      <c r="AI12" s="156"/>
    </row>
    <row r="13" spans="2:35" ht="18.75" customHeight="1">
      <c r="B13" s="90"/>
      <c r="C13" s="90"/>
      <c r="D13" s="473"/>
      <c r="E13" s="473"/>
      <c r="F13" s="473"/>
      <c r="G13" s="473"/>
      <c r="H13" s="473"/>
      <c r="I13" s="473"/>
      <c r="J13" s="473"/>
      <c r="K13" s="473"/>
      <c r="L13" s="473"/>
      <c r="O13" s="142"/>
      <c r="P13" s="141"/>
      <c r="S13" s="156"/>
      <c r="T13" s="156"/>
      <c r="U13" s="156"/>
      <c r="V13" s="156"/>
      <c r="W13" s="156"/>
      <c r="X13" s="156"/>
      <c r="Y13" s="156"/>
      <c r="Z13" s="156"/>
      <c r="AA13" s="156"/>
      <c r="AB13" s="156"/>
      <c r="AC13" s="156"/>
      <c r="AD13" s="156"/>
      <c r="AE13" s="156"/>
      <c r="AF13" s="156"/>
      <c r="AG13" s="156"/>
      <c r="AH13" s="156"/>
      <c r="AI13" s="156"/>
    </row>
    <row r="14" spans="2:35" ht="18.75" customHeight="1">
      <c r="B14" s="90"/>
      <c r="C14" s="90"/>
      <c r="D14" s="473"/>
      <c r="E14" s="473"/>
      <c r="F14" s="473"/>
      <c r="G14" s="473"/>
      <c r="H14" s="473"/>
      <c r="I14" s="473"/>
      <c r="J14" s="473"/>
      <c r="K14" s="473"/>
      <c r="L14" s="473"/>
      <c r="O14" s="142"/>
      <c r="P14" s="141"/>
      <c r="S14" s="156"/>
      <c r="T14" s="156"/>
      <c r="U14" s="156"/>
      <c r="V14" s="156"/>
      <c r="W14" s="156"/>
      <c r="X14" s="156"/>
      <c r="Y14" s="156"/>
      <c r="Z14" s="156"/>
      <c r="AA14" s="156"/>
      <c r="AB14" s="156"/>
      <c r="AC14" s="156"/>
      <c r="AD14" s="156"/>
      <c r="AE14" s="156"/>
      <c r="AF14" s="156"/>
      <c r="AG14" s="156"/>
      <c r="AH14" s="156"/>
      <c r="AI14" s="156"/>
    </row>
    <row r="15" spans="2:35" ht="18.75" customHeight="1">
      <c r="B15" s="90"/>
      <c r="C15" s="90"/>
      <c r="D15" s="473"/>
      <c r="E15" s="473"/>
      <c r="F15" s="473"/>
      <c r="G15" s="473"/>
      <c r="H15" s="473"/>
      <c r="I15" s="473"/>
      <c r="J15" s="473"/>
      <c r="K15" s="473"/>
      <c r="L15" s="473"/>
      <c r="O15" s="142"/>
      <c r="P15" s="141"/>
      <c r="S15" s="156"/>
      <c r="T15" s="156"/>
      <c r="U15" s="156"/>
      <c r="V15" s="156"/>
      <c r="W15" s="156"/>
      <c r="X15" s="156"/>
      <c r="Y15" s="156"/>
      <c r="Z15" s="156"/>
      <c r="AA15" s="156"/>
      <c r="AB15" s="156"/>
      <c r="AC15" s="156"/>
      <c r="AD15" s="156"/>
      <c r="AE15" s="156"/>
      <c r="AF15" s="156"/>
      <c r="AG15" s="156"/>
      <c r="AH15" s="156"/>
      <c r="AI15" s="156"/>
    </row>
    <row r="16" spans="2:35" ht="18.75" customHeight="1">
      <c r="B16" s="90"/>
      <c r="C16" s="90"/>
      <c r="D16" s="473"/>
      <c r="E16" s="473"/>
      <c r="F16" s="473"/>
      <c r="G16" s="473"/>
      <c r="H16" s="473"/>
      <c r="I16" s="473"/>
      <c r="J16" s="473"/>
      <c r="K16" s="473"/>
      <c r="L16" s="473"/>
      <c r="O16" s="142"/>
      <c r="P16" s="141"/>
      <c r="S16" s="156"/>
      <c r="T16" s="156"/>
      <c r="U16" s="156"/>
      <c r="V16" s="156"/>
      <c r="W16" s="156"/>
      <c r="X16" s="156"/>
      <c r="Y16" s="156"/>
      <c r="Z16" s="156"/>
      <c r="AA16" s="156"/>
      <c r="AB16" s="156"/>
      <c r="AC16" s="156"/>
      <c r="AD16" s="156"/>
      <c r="AE16" s="156"/>
      <c r="AF16" s="156"/>
      <c r="AG16" s="156"/>
      <c r="AH16" s="156"/>
      <c r="AI16" s="156"/>
    </row>
    <row r="17" spans="2:35" ht="18.75" customHeight="1">
      <c r="B17" s="90"/>
      <c r="C17" s="90"/>
      <c r="D17" s="473"/>
      <c r="E17" s="473"/>
      <c r="F17" s="473"/>
      <c r="G17" s="473"/>
      <c r="H17" s="473"/>
      <c r="I17" s="473"/>
      <c r="J17" s="473"/>
      <c r="K17" s="473"/>
      <c r="L17" s="473"/>
      <c r="O17" s="142"/>
      <c r="P17" s="141"/>
      <c r="S17" s="156"/>
      <c r="T17" s="156"/>
      <c r="U17" s="156"/>
      <c r="V17" s="156"/>
      <c r="W17" s="156"/>
      <c r="X17" s="156"/>
      <c r="Y17" s="156"/>
      <c r="Z17" s="156"/>
      <c r="AA17" s="156"/>
      <c r="AB17" s="156"/>
      <c r="AC17" s="156"/>
      <c r="AD17" s="156"/>
      <c r="AE17" s="156"/>
      <c r="AF17" s="156"/>
      <c r="AG17" s="156"/>
      <c r="AH17" s="156"/>
      <c r="AI17" s="156"/>
    </row>
    <row r="18" spans="2:35" ht="18.75" customHeight="1">
      <c r="B18" s="90"/>
      <c r="C18" s="90"/>
      <c r="D18" s="473"/>
      <c r="E18" s="473"/>
      <c r="F18" s="473"/>
      <c r="G18" s="473"/>
      <c r="H18" s="473"/>
      <c r="I18" s="473"/>
      <c r="J18" s="473"/>
      <c r="K18" s="473"/>
      <c r="L18" s="473"/>
      <c r="O18" s="142"/>
      <c r="P18" s="141"/>
      <c r="S18" s="156"/>
      <c r="T18" s="156"/>
      <c r="U18" s="156"/>
      <c r="V18" s="156"/>
      <c r="W18" s="156"/>
      <c r="X18" s="156"/>
      <c r="Y18" s="156"/>
      <c r="Z18" s="156"/>
      <c r="AA18" s="156"/>
      <c r="AB18" s="156"/>
      <c r="AC18" s="156"/>
      <c r="AD18" s="156"/>
      <c r="AE18" s="156"/>
      <c r="AF18" s="156"/>
      <c r="AG18" s="156"/>
      <c r="AH18" s="156"/>
      <c r="AI18" s="156"/>
    </row>
    <row r="19" spans="2:35" ht="17.25" customHeight="1">
      <c r="B19" s="90"/>
      <c r="C19" s="90"/>
      <c r="D19" s="473"/>
      <c r="E19" s="473"/>
      <c r="F19" s="473"/>
      <c r="G19" s="473"/>
      <c r="H19" s="473"/>
      <c r="I19" s="473"/>
      <c r="J19" s="473"/>
      <c r="K19" s="473"/>
      <c r="L19" s="473"/>
      <c r="O19" s="142"/>
      <c r="P19" s="141"/>
      <c r="S19" s="156"/>
      <c r="T19" s="156"/>
      <c r="U19" s="156"/>
      <c r="V19" s="156"/>
      <c r="W19" s="156"/>
      <c r="X19" s="156"/>
      <c r="Y19" s="156"/>
      <c r="Z19" s="156"/>
      <c r="AA19" s="156"/>
      <c r="AB19" s="156"/>
      <c r="AC19" s="156"/>
      <c r="AD19" s="156"/>
      <c r="AE19" s="156"/>
      <c r="AF19" s="156"/>
      <c r="AG19" s="156"/>
      <c r="AH19" s="156"/>
      <c r="AI19" s="156"/>
    </row>
    <row r="20" spans="2:35" ht="6" customHeight="1">
      <c r="B20" s="15"/>
      <c r="C20" s="90"/>
      <c r="D20" s="88"/>
      <c r="E20" s="879"/>
      <c r="F20" s="879"/>
      <c r="G20" s="879"/>
      <c r="H20" s="879"/>
      <c r="I20" s="879"/>
      <c r="J20" s="879"/>
      <c r="K20" s="879"/>
      <c r="S20" s="156"/>
      <c r="T20" s="156"/>
      <c r="U20" s="156"/>
      <c r="V20" s="156"/>
      <c r="W20" s="156"/>
      <c r="X20" s="156"/>
      <c r="Y20" s="156"/>
      <c r="Z20" s="156"/>
      <c r="AA20" s="156"/>
      <c r="AB20" s="156"/>
      <c r="AC20" s="156"/>
      <c r="AD20" s="156"/>
      <c r="AE20" s="156"/>
      <c r="AF20" s="156"/>
      <c r="AG20" s="156"/>
      <c r="AH20" s="156"/>
      <c r="AI20" s="156"/>
    </row>
    <row r="21" spans="2:35" ht="45" customHeight="1">
      <c r="B21" s="883" t="s">
        <v>396</v>
      </c>
      <c r="C21" s="883"/>
      <c r="D21" s="883"/>
      <c r="E21" s="478" t="s">
        <v>219</v>
      </c>
      <c r="F21" s="478" t="s">
        <v>249</v>
      </c>
      <c r="G21" s="887" t="s">
        <v>397</v>
      </c>
      <c r="H21" s="888"/>
      <c r="I21" s="953" t="s">
        <v>398</v>
      </c>
      <c r="J21" s="954"/>
      <c r="K21" s="346" t="s">
        <v>399</v>
      </c>
      <c r="L21" s="949" t="s">
        <v>400</v>
      </c>
      <c r="M21" s="950"/>
      <c r="N21" s="950"/>
      <c r="O21" s="950"/>
      <c r="P21" s="950"/>
      <c r="Q21" s="951"/>
      <c r="S21" s="46" t="s">
        <v>401</v>
      </c>
      <c r="T21" s="47">
        <v>0</v>
      </c>
      <c r="U21" s="48">
        <v>0.3</v>
      </c>
      <c r="V21" s="48">
        <v>0.6</v>
      </c>
      <c r="W21" s="48">
        <v>0.9</v>
      </c>
      <c r="X21" s="48">
        <v>1</v>
      </c>
      <c r="Y21" s="12"/>
      <c r="Z21" s="12"/>
      <c r="AA21" s="46" t="s">
        <v>401</v>
      </c>
      <c r="AB21" s="47">
        <v>0</v>
      </c>
      <c r="AC21" s="48">
        <v>0.2</v>
      </c>
      <c r="AD21" s="48">
        <v>0.4</v>
      </c>
      <c r="AE21" s="48">
        <v>0.6</v>
      </c>
      <c r="AF21" s="48">
        <v>0.8</v>
      </c>
      <c r="AG21" s="12"/>
      <c r="AH21" s="12"/>
      <c r="AI21" s="12"/>
    </row>
    <row r="22" spans="2:35" ht="91.5" customHeight="1">
      <c r="B22" s="893" t="s">
        <v>216</v>
      </c>
      <c r="C22" s="894"/>
      <c r="D22" s="895"/>
      <c r="E22" s="536">
        <v>0.7</v>
      </c>
      <c r="F22" s="538" t="s">
        <v>402</v>
      </c>
      <c r="G22" s="896">
        <v>0.98</v>
      </c>
      <c r="H22" s="897"/>
      <c r="I22" s="897"/>
      <c r="J22" s="897"/>
      <c r="K22" s="898"/>
      <c r="L22" s="955" t="s">
        <v>403</v>
      </c>
      <c r="M22" s="956"/>
      <c r="N22" s="956"/>
      <c r="O22" s="956"/>
      <c r="P22" s="956"/>
      <c r="Q22" s="956"/>
      <c r="S22" s="46" t="s">
        <v>404</v>
      </c>
      <c r="T22" s="48">
        <v>0.3</v>
      </c>
      <c r="U22" s="48">
        <v>0.6</v>
      </c>
      <c r="V22" s="48">
        <v>0.9</v>
      </c>
      <c r="W22" s="48">
        <v>1</v>
      </c>
      <c r="X22" s="48">
        <v>2</v>
      </c>
      <c r="Y22" s="12"/>
      <c r="Z22" s="12"/>
      <c r="AA22" s="46" t="s">
        <v>404</v>
      </c>
      <c r="AB22" s="48">
        <v>0.2</v>
      </c>
      <c r="AC22" s="48">
        <v>0.4</v>
      </c>
      <c r="AD22" s="48">
        <v>0.6</v>
      </c>
      <c r="AE22" s="48">
        <v>0.8</v>
      </c>
      <c r="AF22" s="48">
        <v>1</v>
      </c>
      <c r="AG22" s="12"/>
      <c r="AH22" s="12"/>
      <c r="AI22" s="12"/>
    </row>
    <row r="23" spans="2:35" ht="32.25" customHeight="1">
      <c r="B23" s="957" t="s">
        <v>221</v>
      </c>
      <c r="C23" s="957"/>
      <c r="D23" s="957"/>
      <c r="E23" s="537" t="s">
        <v>405</v>
      </c>
      <c r="F23" s="538" t="s">
        <v>406</v>
      </c>
      <c r="G23" s="896">
        <v>0.98</v>
      </c>
      <c r="H23" s="897"/>
      <c r="I23" s="897"/>
      <c r="J23" s="897"/>
      <c r="K23" s="898"/>
      <c r="L23" s="955" t="s">
        <v>407</v>
      </c>
      <c r="M23" s="956"/>
      <c r="N23" s="956"/>
      <c r="O23" s="956"/>
      <c r="P23" s="956"/>
      <c r="Q23" s="956"/>
      <c r="S23" s="49"/>
      <c r="T23" s="50" t="str">
        <f>"de "&amp;T21&amp;" a "&amp;T22</f>
        <v>de 0 a 0.3</v>
      </c>
      <c r="U23" s="50" t="str">
        <f>"de "&amp;U21&amp;" a "&amp;U22</f>
        <v>de 0.3 a 0.6</v>
      </c>
      <c r="V23" s="50" t="str">
        <f>"de "&amp;V21&amp;" a "&amp;V22</f>
        <v>de 0.6 a 0.9</v>
      </c>
      <c r="W23" s="50" t="str">
        <f>"de "&amp;W21&amp;" a "&amp;W22</f>
        <v>de 0.9 a 1</v>
      </c>
      <c r="X23" s="50" t="str">
        <f>"de "&amp;X21&amp;" a "&amp;X22</f>
        <v>de 1 a 2</v>
      </c>
      <c r="Y23" s="12"/>
      <c r="Z23" s="12" t="s">
        <v>408</v>
      </c>
      <c r="AA23" s="49" t="s">
        <v>390</v>
      </c>
      <c r="AB23" s="50" t="str">
        <f>"de "&amp;AB21&amp;" a "&amp;AB22</f>
        <v>de 0 a 0.2</v>
      </c>
      <c r="AC23" s="50" t="str">
        <f>"de "&amp;AC21&amp;" a "&amp;AC22</f>
        <v>de 0.2 a 0.4</v>
      </c>
      <c r="AD23" s="50" t="str">
        <f>"de "&amp;AD21&amp;" a "&amp;AD22</f>
        <v>de 0.4 a 0.6</v>
      </c>
      <c r="AE23" s="50" t="str">
        <f>"de "&amp;AE21&amp;" a "&amp;AE22</f>
        <v>de 0.6 a 0.8</v>
      </c>
      <c r="AF23" s="50" t="str">
        <f>"de "&amp;AF21&amp;" a "&amp;AF22</f>
        <v>de 0.8 a 1</v>
      </c>
      <c r="AG23" s="12"/>
      <c r="AH23" s="12"/>
      <c r="AI23" s="12"/>
    </row>
    <row r="24" spans="2:35" ht="93.75" customHeight="1">
      <c r="B24" s="880" t="s">
        <v>222</v>
      </c>
      <c r="C24" s="881"/>
      <c r="D24" s="882"/>
      <c r="E24" s="537" t="s">
        <v>409</v>
      </c>
      <c r="F24" s="538" t="s">
        <v>410</v>
      </c>
      <c r="G24" s="896">
        <v>0.76</v>
      </c>
      <c r="H24" s="897"/>
      <c r="I24" s="897"/>
      <c r="J24" s="897"/>
      <c r="K24" s="898"/>
      <c r="L24" s="899" t="s">
        <v>411</v>
      </c>
      <c r="M24" s="900"/>
      <c r="N24" s="900"/>
      <c r="O24" s="900"/>
      <c r="P24" s="900"/>
      <c r="Q24" s="901"/>
      <c r="S24" s="49"/>
      <c r="T24" s="50"/>
      <c r="U24" s="50"/>
      <c r="V24" s="50"/>
      <c r="W24" s="50"/>
      <c r="X24" s="50"/>
      <c r="Y24" s="12"/>
      <c r="Z24" s="12"/>
      <c r="AA24" s="49"/>
      <c r="AB24" s="50"/>
      <c r="AC24" s="50"/>
      <c r="AD24" s="50"/>
      <c r="AE24" s="50"/>
      <c r="AF24" s="50"/>
      <c r="AG24" s="12"/>
      <c r="AH24" s="12"/>
      <c r="AI24" s="12"/>
    </row>
    <row r="25" spans="2:35" ht="37.5" customHeight="1">
      <c r="B25" s="884" t="s">
        <v>223</v>
      </c>
      <c r="C25" s="885"/>
      <c r="D25" s="886"/>
      <c r="E25" s="537" t="s">
        <v>412</v>
      </c>
      <c r="F25" s="538" t="s">
        <v>236</v>
      </c>
      <c r="G25" s="889">
        <v>0.71</v>
      </c>
      <c r="H25" s="890"/>
      <c r="I25" s="890"/>
      <c r="J25" s="890"/>
      <c r="K25" s="891"/>
      <c r="L25" s="892" t="s">
        <v>413</v>
      </c>
      <c r="M25" s="892"/>
      <c r="N25" s="892"/>
      <c r="O25" s="892"/>
      <c r="P25" s="892"/>
      <c r="Q25" s="892"/>
      <c r="R25" s="280"/>
      <c r="S25" s="49"/>
      <c r="T25" s="48" t="e">
        <f>IF($K23&gt;T$21,IF($K23&lt;=T$22,$K23,NA()),NA())</f>
        <v>#N/A</v>
      </c>
      <c r="U25" s="48" t="e">
        <f>IF($K23&gt;U$21,IF($K23&lt;=U$22,$K23,NA()),NA())</f>
        <v>#N/A</v>
      </c>
      <c r="V25" s="48" t="e">
        <f>IF($K23&gt;V$21,IF($K23&lt;=V$22,$K23,NA()),NA())</f>
        <v>#N/A</v>
      </c>
      <c r="W25" s="48" t="e">
        <f>IF($K23&gt;W$21,IF($K23&lt;=W$22,$K23,NA()),NA())</f>
        <v>#N/A</v>
      </c>
      <c r="X25" s="48" t="e">
        <f>IF($K23&gt;X$21,IF($K23&lt;=X$22,1,1),NA())</f>
        <v>#N/A</v>
      </c>
      <c r="Y25" s="12"/>
      <c r="Z25" s="139" t="e">
        <v>#REF!</v>
      </c>
      <c r="AA25" s="48" t="e">
        <f>+IF(Z25="A1",1,IF(Z25="A2",0.8,IF(Z25="B1",0.6,IF(Z25="B2",0.4,0.2))))</f>
        <v>#REF!</v>
      </c>
      <c r="AB25" s="48" t="e">
        <f>IF($AA25&gt;AB$21,IF($AA25&lt;=AB$22,$AA25,NA()),NA())</f>
        <v>#REF!</v>
      </c>
      <c r="AC25" s="48" t="e">
        <f t="shared" ref="AC25:AF26" si="0">IF($AA25&gt;AC$21,IF($AA25&lt;=AC$22,$AA25,NA()),NA())</f>
        <v>#REF!</v>
      </c>
      <c r="AD25" s="48" t="e">
        <f t="shared" si="0"/>
        <v>#REF!</v>
      </c>
      <c r="AE25" s="48" t="e">
        <f t="shared" si="0"/>
        <v>#REF!</v>
      </c>
      <c r="AF25" s="48" t="e">
        <f t="shared" si="0"/>
        <v>#REF!</v>
      </c>
      <c r="AG25" s="12"/>
      <c r="AH25" s="12"/>
      <c r="AI25" s="12"/>
    </row>
    <row r="26" spans="2:35" ht="46.5" customHeight="1">
      <c r="B26" s="893" t="s">
        <v>224</v>
      </c>
      <c r="C26" s="894"/>
      <c r="D26" s="895"/>
      <c r="E26" s="537" t="s">
        <v>414</v>
      </c>
      <c r="F26" s="538" t="s">
        <v>415</v>
      </c>
      <c r="G26" s="889">
        <v>1</v>
      </c>
      <c r="H26" s="890"/>
      <c r="I26" s="890"/>
      <c r="J26" s="890"/>
      <c r="K26" s="891"/>
      <c r="L26" s="892" t="s">
        <v>416</v>
      </c>
      <c r="M26" s="892"/>
      <c r="N26" s="892"/>
      <c r="O26" s="892"/>
      <c r="P26" s="892"/>
      <c r="Q26" s="892"/>
      <c r="R26" s="382"/>
      <c r="S26" s="49"/>
      <c r="T26" s="48" t="e">
        <f>IF(#REF!&gt;T$21,IF(#REF!&lt;=T$22,#REF!,NA()),NA())</f>
        <v>#REF!</v>
      </c>
      <c r="U26" s="48" t="e">
        <f>IF(#REF!&gt;U$21,IF(#REF!&lt;=U$22,#REF!,NA()),NA())</f>
        <v>#REF!</v>
      </c>
      <c r="V26" s="48" t="e">
        <f>IF(#REF!&gt;V$21,IF(#REF!&lt;=V$22,#REF!,NA()),NA())</f>
        <v>#REF!</v>
      </c>
      <c r="W26" s="48" t="e">
        <f>IF(#REF!&gt;W$21,IF(#REF!&lt;=W$22,#REF!,NA()),NA())</f>
        <v>#REF!</v>
      </c>
      <c r="X26" s="48" t="e">
        <f>IF(#REF!&gt;X$21,IF(#REF!&lt;=X$22,1,NA()),NA())</f>
        <v>#REF!</v>
      </c>
      <c r="Y26" s="12"/>
      <c r="Z26" s="139" t="e">
        <v>#REF!</v>
      </c>
      <c r="AA26" s="48" t="e">
        <f>+IF(Z26="A1",1,IF(Z26="A2",0.8,IF(Z26="B1",0.6,IF(Z26="B2",0.4,0.2))))</f>
        <v>#REF!</v>
      </c>
      <c r="AB26" s="48" t="e">
        <f>IF($AA26&gt;AB$21,IF($AA26&lt;=AB$22,$AA26,NA()),NA())</f>
        <v>#REF!</v>
      </c>
      <c r="AC26" s="48" t="e">
        <f t="shared" si="0"/>
        <v>#REF!</v>
      </c>
      <c r="AD26" s="48" t="e">
        <f t="shared" si="0"/>
        <v>#REF!</v>
      </c>
      <c r="AE26" s="48" t="e">
        <f t="shared" si="0"/>
        <v>#REF!</v>
      </c>
      <c r="AF26" s="48" t="e">
        <f t="shared" si="0"/>
        <v>#REF!</v>
      </c>
      <c r="AG26" s="12"/>
      <c r="AH26" s="12"/>
      <c r="AI26" s="12"/>
    </row>
    <row r="27" spans="2:35" ht="83.25" customHeight="1">
      <c r="B27" s="893" t="s">
        <v>225</v>
      </c>
      <c r="C27" s="894"/>
      <c r="D27" s="895"/>
      <c r="E27" s="537" t="s">
        <v>417</v>
      </c>
      <c r="F27" s="538" t="s">
        <v>418</v>
      </c>
      <c r="G27" s="896">
        <v>0.89</v>
      </c>
      <c r="H27" s="897"/>
      <c r="I27" s="897"/>
      <c r="J27" s="897"/>
      <c r="K27" s="898"/>
      <c r="L27" s="910" t="s">
        <v>419</v>
      </c>
      <c r="M27" s="910"/>
      <c r="N27" s="910"/>
      <c r="O27" s="910"/>
      <c r="P27" s="910"/>
      <c r="Q27" s="910"/>
      <c r="R27" s="382"/>
      <c r="S27" s="49"/>
      <c r="T27" s="48"/>
      <c r="U27" s="48"/>
      <c r="V27" s="48"/>
      <c r="W27" s="48"/>
      <c r="X27" s="48"/>
      <c r="Y27" s="12"/>
      <c r="Z27" s="139"/>
      <c r="AA27" s="347"/>
      <c r="AB27" s="347"/>
      <c r="AC27" s="347"/>
      <c r="AD27" s="347"/>
      <c r="AE27" s="347"/>
      <c r="AF27" s="347"/>
      <c r="AG27" s="12"/>
      <c r="AH27" s="12"/>
      <c r="AI27" s="12"/>
    </row>
    <row r="28" spans="2:35" ht="80.25" customHeight="1">
      <c r="B28" s="893" t="s">
        <v>226</v>
      </c>
      <c r="C28" s="894"/>
      <c r="D28" s="895"/>
      <c r="E28" s="537" t="s">
        <v>420</v>
      </c>
      <c r="F28" s="538" t="s">
        <v>228</v>
      </c>
      <c r="G28" s="896">
        <v>1.01</v>
      </c>
      <c r="H28" s="897"/>
      <c r="I28" s="897"/>
      <c r="J28" s="897"/>
      <c r="K28" s="898"/>
      <c r="L28" s="911" t="s">
        <v>421</v>
      </c>
      <c r="M28" s="958"/>
      <c r="N28" s="958"/>
      <c r="O28" s="958"/>
      <c r="P28" s="958"/>
      <c r="Q28" s="959"/>
      <c r="R28" s="382"/>
      <c r="S28" s="49"/>
      <c r="T28" s="48" t="e">
        <f t="shared" ref="T28:W29" si="1">IF($K25&gt;T$21,IF($K25&lt;=T$22,$K25,NA()),NA())</f>
        <v>#N/A</v>
      </c>
      <c r="U28" s="48" t="e">
        <f t="shared" si="1"/>
        <v>#N/A</v>
      </c>
      <c r="V28" s="48" t="e">
        <f t="shared" si="1"/>
        <v>#N/A</v>
      </c>
      <c r="W28" s="48" t="e">
        <f t="shared" si="1"/>
        <v>#N/A</v>
      </c>
      <c r="X28" s="48" t="e">
        <f>IF($K25&gt;X$21,IF($K25&lt;=X$22,1,NA()),NA())</f>
        <v>#N/A</v>
      </c>
      <c r="Y28" s="12"/>
      <c r="Z28" s="12"/>
      <c r="AA28" s="12"/>
      <c r="AB28" s="12"/>
      <c r="AC28" s="12"/>
      <c r="AD28" s="12"/>
      <c r="AE28" s="12"/>
      <c r="AF28" s="12"/>
      <c r="AG28" s="12"/>
      <c r="AH28" s="12"/>
      <c r="AI28" s="12"/>
    </row>
    <row r="29" spans="2:35" ht="60" customHeight="1">
      <c r="B29" s="880" t="s">
        <v>229</v>
      </c>
      <c r="C29" s="905"/>
      <c r="D29" s="906"/>
      <c r="E29" s="537" t="s">
        <v>230</v>
      </c>
      <c r="F29" s="538" t="s">
        <v>231</v>
      </c>
      <c r="G29" s="902">
        <v>1.02</v>
      </c>
      <c r="H29" s="903"/>
      <c r="I29" s="903"/>
      <c r="J29" s="903"/>
      <c r="K29" s="904"/>
      <c r="L29" s="911" t="s">
        <v>422</v>
      </c>
      <c r="M29" s="912"/>
      <c r="N29" s="912"/>
      <c r="O29" s="912"/>
      <c r="P29" s="912"/>
      <c r="Q29" s="913"/>
      <c r="R29" s="382"/>
      <c r="S29" s="49"/>
      <c r="T29" s="48" t="e">
        <f t="shared" si="1"/>
        <v>#N/A</v>
      </c>
      <c r="U29" s="48" t="e">
        <f t="shared" si="1"/>
        <v>#N/A</v>
      </c>
      <c r="V29" s="48" t="e">
        <f t="shared" si="1"/>
        <v>#N/A</v>
      </c>
      <c r="W29" s="48" t="e">
        <f t="shared" si="1"/>
        <v>#N/A</v>
      </c>
      <c r="X29" s="48" t="e">
        <f>IF($K26&gt;X$21,IF($K26&lt;=X$22,1,NA()),NA())</f>
        <v>#N/A</v>
      </c>
      <c r="Y29" s="12"/>
      <c r="Z29" s="12"/>
      <c r="AA29" s="12"/>
      <c r="AB29" s="12"/>
      <c r="AC29" s="12"/>
      <c r="AD29" s="12"/>
      <c r="AE29" s="12"/>
      <c r="AF29" s="12"/>
      <c r="AG29" s="12"/>
      <c r="AH29" s="12"/>
      <c r="AI29" s="12"/>
    </row>
    <row r="30" spans="2:35" ht="39.75" customHeight="1">
      <c r="B30" s="880" t="s">
        <v>232</v>
      </c>
      <c r="C30" s="905"/>
      <c r="D30" s="906"/>
      <c r="E30" s="537" t="s">
        <v>233</v>
      </c>
      <c r="F30" s="538" t="s">
        <v>234</v>
      </c>
      <c r="G30" s="907">
        <v>0.76</v>
      </c>
      <c r="H30" s="914"/>
      <c r="I30" s="914"/>
      <c r="J30" s="914"/>
      <c r="K30" s="915"/>
      <c r="L30" s="911" t="s">
        <v>423</v>
      </c>
      <c r="M30" s="900"/>
      <c r="N30" s="900"/>
      <c r="O30" s="900"/>
      <c r="P30" s="900"/>
      <c r="Q30" s="901"/>
      <c r="R30" s="382"/>
      <c r="S30" s="49"/>
      <c r="T30" s="48"/>
      <c r="U30" s="48"/>
      <c r="V30" s="48"/>
      <c r="W30" s="48"/>
      <c r="X30" s="48"/>
      <c r="Y30" s="12"/>
      <c r="Z30" s="12"/>
      <c r="AA30" s="12"/>
      <c r="AB30" s="12"/>
      <c r="AC30" s="12"/>
      <c r="AD30" s="12"/>
      <c r="AE30" s="12"/>
      <c r="AF30" s="12"/>
      <c r="AG30" s="12"/>
      <c r="AH30" s="12"/>
      <c r="AI30" s="12"/>
    </row>
    <row r="31" spans="2:35" ht="80.25" customHeight="1">
      <c r="B31" s="880" t="s">
        <v>235</v>
      </c>
      <c r="C31" s="881"/>
      <c r="D31" s="882"/>
      <c r="E31" s="537" t="s">
        <v>233</v>
      </c>
      <c r="F31" s="538" t="s">
        <v>236</v>
      </c>
      <c r="G31" s="907">
        <v>0.89</v>
      </c>
      <c r="H31" s="908"/>
      <c r="I31" s="908"/>
      <c r="J31" s="908"/>
      <c r="K31" s="909"/>
      <c r="L31" s="911" t="s">
        <v>424</v>
      </c>
      <c r="M31" s="900"/>
      <c r="N31" s="900"/>
      <c r="O31" s="900"/>
      <c r="P31" s="900"/>
      <c r="Q31" s="901"/>
      <c r="R31" s="555"/>
      <c r="S31" s="49"/>
      <c r="T31" s="48"/>
      <c r="U31" s="48"/>
      <c r="V31" s="48"/>
      <c r="W31" s="48"/>
      <c r="X31" s="48"/>
      <c r="Y31" s="12"/>
      <c r="Z31" s="12"/>
      <c r="AA31" s="12"/>
      <c r="AB31" s="12"/>
      <c r="AC31" s="12"/>
      <c r="AD31" s="12"/>
      <c r="AE31" s="12"/>
      <c r="AF31" s="12"/>
      <c r="AG31" s="12"/>
      <c r="AH31" s="12"/>
      <c r="AI31" s="12"/>
    </row>
    <row r="32" spans="2:35" ht="54" customHeight="1">
      <c r="B32" s="880" t="s">
        <v>237</v>
      </c>
      <c r="C32" s="881"/>
      <c r="D32" s="882"/>
      <c r="E32" s="595">
        <v>1</v>
      </c>
      <c r="F32" s="595">
        <v>0.22</v>
      </c>
      <c r="G32" s="896">
        <v>0.22</v>
      </c>
      <c r="H32" s="897"/>
      <c r="I32" s="897"/>
      <c r="J32" s="897"/>
      <c r="K32" s="898"/>
      <c r="L32" s="955" t="s">
        <v>425</v>
      </c>
      <c r="M32" s="956"/>
      <c r="N32" s="956"/>
      <c r="O32" s="956"/>
      <c r="P32" s="956"/>
      <c r="Q32" s="956"/>
      <c r="R32" s="382"/>
      <c r="S32" s="49"/>
      <c r="T32" s="48" t="e">
        <f t="shared" ref="T32:W33" si="2">IF($K28&gt;T$21,IF($K28&lt;=T$22,$K28,NA()),NA())</f>
        <v>#N/A</v>
      </c>
      <c r="U32" s="48" t="e">
        <f t="shared" si="2"/>
        <v>#N/A</v>
      </c>
      <c r="V32" s="48" t="e">
        <f t="shared" si="2"/>
        <v>#N/A</v>
      </c>
      <c r="W32" s="48" t="e">
        <f t="shared" si="2"/>
        <v>#N/A</v>
      </c>
      <c r="X32" s="48" t="e">
        <f>IF($K28&gt;X$21,IF($K28&lt;=X$22,1,NA()),NA())</f>
        <v>#N/A</v>
      </c>
      <c r="Y32" s="12"/>
      <c r="Z32" s="12"/>
      <c r="AA32" s="12"/>
      <c r="AB32" s="12"/>
      <c r="AC32" s="12"/>
      <c r="AD32" s="12"/>
      <c r="AE32" s="12"/>
      <c r="AF32" s="12"/>
      <c r="AG32" s="12"/>
      <c r="AH32" s="12"/>
      <c r="AI32" s="12"/>
    </row>
    <row r="33" spans="2:35" ht="54" customHeight="1">
      <c r="B33" s="880" t="s">
        <v>240</v>
      </c>
      <c r="C33" s="881"/>
      <c r="D33" s="882"/>
      <c r="E33" s="537" t="s">
        <v>241</v>
      </c>
      <c r="F33" s="538" t="s">
        <v>242</v>
      </c>
      <c r="G33" s="896">
        <v>1.01</v>
      </c>
      <c r="H33" s="897"/>
      <c r="I33" s="897"/>
      <c r="J33" s="897"/>
      <c r="K33" s="898"/>
      <c r="L33" s="955" t="s">
        <v>426</v>
      </c>
      <c r="M33" s="956"/>
      <c r="N33" s="956"/>
      <c r="O33" s="956"/>
      <c r="P33" s="956"/>
      <c r="Q33" s="956"/>
      <c r="R33" s="382"/>
      <c r="S33" s="49"/>
      <c r="T33" s="48" t="e">
        <f t="shared" si="2"/>
        <v>#N/A</v>
      </c>
      <c r="U33" s="48" t="e">
        <f t="shared" si="2"/>
        <v>#N/A</v>
      </c>
      <c r="V33" s="48" t="e">
        <f t="shared" si="2"/>
        <v>#N/A</v>
      </c>
      <c r="W33" s="48" t="e">
        <f t="shared" si="2"/>
        <v>#N/A</v>
      </c>
      <c r="X33" s="48" t="e">
        <f>IF($K29&gt;X$21,IF($K29&lt;=X$22,1,NA()),NA())</f>
        <v>#N/A</v>
      </c>
      <c r="Y33" s="12"/>
      <c r="Z33" s="12"/>
      <c r="AA33" s="12"/>
      <c r="AB33" s="12"/>
      <c r="AC33" s="12"/>
      <c r="AD33" s="12"/>
      <c r="AE33" s="12"/>
      <c r="AF33" s="12"/>
      <c r="AG33" s="12"/>
      <c r="AH33" s="12"/>
      <c r="AI33" s="12"/>
    </row>
    <row r="34" spans="2:35" ht="18.75">
      <c r="E34" s="477"/>
      <c r="F34" s="874" t="s">
        <v>427</v>
      </c>
      <c r="G34" s="866"/>
      <c r="H34" s="866"/>
      <c r="I34" s="866"/>
      <c r="J34" s="866"/>
      <c r="K34" s="866"/>
      <c r="L34" s="866"/>
      <c r="M34" s="866"/>
    </row>
    <row r="35" spans="2:35" ht="59.25" customHeight="1">
      <c r="B35" s="952" t="s">
        <v>247</v>
      </c>
      <c r="C35" s="872"/>
      <c r="D35" s="872"/>
      <c r="E35" s="872"/>
      <c r="F35" s="872" t="s">
        <v>428</v>
      </c>
      <c r="G35" s="872"/>
      <c r="H35" s="872"/>
      <c r="I35" s="872"/>
      <c r="J35" s="872"/>
      <c r="K35" s="872"/>
      <c r="L35" s="872" t="s">
        <v>429</v>
      </c>
      <c r="M35" s="872"/>
      <c r="N35" s="872"/>
      <c r="O35" s="872"/>
      <c r="P35" s="872"/>
      <c r="Q35" s="872"/>
      <c r="S35" s="156"/>
      <c r="T35" s="156"/>
      <c r="U35" s="156"/>
      <c r="V35" s="156"/>
      <c r="W35" s="156"/>
      <c r="X35" s="156"/>
      <c r="Y35" s="12"/>
      <c r="Z35" s="12"/>
      <c r="AA35" s="12"/>
      <c r="AB35" s="12"/>
      <c r="AC35" s="12"/>
      <c r="AD35" s="156"/>
      <c r="AE35" s="156"/>
      <c r="AF35" s="156"/>
      <c r="AG35" s="156"/>
      <c r="AH35" s="156"/>
      <c r="AI35" s="156"/>
    </row>
    <row r="36" spans="2:35" ht="132.75" customHeight="1">
      <c r="B36" s="575" t="s">
        <v>362</v>
      </c>
      <c r="C36" s="960" t="s">
        <v>430</v>
      </c>
      <c r="D36" s="961"/>
      <c r="E36" s="962"/>
      <c r="F36" s="576" t="s">
        <v>362</v>
      </c>
      <c r="G36" s="960" t="s">
        <v>431</v>
      </c>
      <c r="H36" s="961"/>
      <c r="I36" s="961"/>
      <c r="J36" s="961"/>
      <c r="K36" s="962"/>
      <c r="L36" s="576" t="s">
        <v>362</v>
      </c>
      <c r="M36" s="960" t="s">
        <v>432</v>
      </c>
      <c r="N36" s="961"/>
      <c r="O36" s="961"/>
      <c r="P36" s="961"/>
      <c r="Q36" s="963"/>
      <c r="S36" s="156"/>
      <c r="T36" s="156"/>
      <c r="U36" s="156"/>
      <c r="V36" s="156"/>
      <c r="W36" s="156"/>
      <c r="X36" s="156"/>
      <c r="Y36" s="156"/>
      <c r="Z36" s="156"/>
      <c r="AA36" s="156"/>
      <c r="AB36" s="156"/>
      <c r="AC36" s="156"/>
      <c r="AD36" s="156"/>
      <c r="AE36" s="156"/>
      <c r="AF36" s="156"/>
      <c r="AG36" s="156"/>
      <c r="AH36" s="156"/>
      <c r="AI36" s="156"/>
    </row>
    <row r="37" spans="2:35" ht="18.75" customHeight="1">
      <c r="B37" s="90"/>
      <c r="C37" s="90"/>
      <c r="D37" s="473"/>
      <c r="E37" s="473"/>
      <c r="F37" s="473"/>
      <c r="G37" s="473"/>
      <c r="H37" s="473"/>
      <c r="I37" s="473"/>
      <c r="J37" s="473"/>
      <c r="K37" s="473"/>
      <c r="L37" s="473"/>
      <c r="O37" s="142"/>
      <c r="P37" s="141"/>
      <c r="S37" s="156"/>
      <c r="T37" s="156"/>
      <c r="U37" s="156"/>
      <c r="V37" s="156"/>
      <c r="W37" s="156"/>
      <c r="X37" s="156"/>
      <c r="Y37" s="156"/>
      <c r="Z37" s="156"/>
      <c r="AA37" s="156"/>
      <c r="AB37" s="156"/>
      <c r="AC37" s="156"/>
      <c r="AD37" s="156"/>
      <c r="AE37" s="156"/>
      <c r="AF37" s="156"/>
      <c r="AG37" s="156"/>
      <c r="AH37" s="156"/>
      <c r="AI37" s="156"/>
    </row>
    <row r="38" spans="2:35" ht="18.75" customHeight="1">
      <c r="B38" s="90"/>
      <c r="C38" s="90"/>
      <c r="D38" s="473"/>
      <c r="E38" s="473"/>
      <c r="F38" s="473"/>
      <c r="G38" s="473"/>
      <c r="H38" s="473"/>
      <c r="I38" s="473"/>
      <c r="J38" s="473"/>
      <c r="K38" s="473"/>
      <c r="L38" s="473"/>
      <c r="O38" s="142"/>
      <c r="P38" s="141"/>
      <c r="S38" s="156"/>
      <c r="T38" s="156"/>
      <c r="U38" s="156"/>
      <c r="V38" s="156"/>
      <c r="W38" s="156"/>
      <c r="X38" s="156"/>
      <c r="Y38" s="156"/>
      <c r="Z38" s="156"/>
      <c r="AA38" s="156"/>
      <c r="AB38" s="156"/>
      <c r="AC38" s="156"/>
      <c r="AD38" s="156"/>
      <c r="AE38" s="156"/>
      <c r="AF38" s="156"/>
      <c r="AG38" s="156"/>
      <c r="AH38" s="156"/>
      <c r="AI38" s="156"/>
    </row>
    <row r="39" spans="2:35" ht="18.75" customHeight="1">
      <c r="B39" s="90"/>
      <c r="C39" s="90"/>
      <c r="D39" s="473"/>
      <c r="E39" s="473"/>
      <c r="F39" s="473"/>
      <c r="G39" s="473"/>
      <c r="H39" s="473"/>
      <c r="I39" s="473"/>
      <c r="J39" s="473"/>
      <c r="K39" s="473"/>
      <c r="L39" s="473"/>
      <c r="O39" s="142"/>
      <c r="P39" s="141"/>
      <c r="S39" s="156"/>
      <c r="T39" s="156"/>
      <c r="U39" s="156"/>
      <c r="V39" s="156"/>
      <c r="W39" s="156"/>
      <c r="X39" s="156"/>
      <c r="Y39" s="156"/>
      <c r="Z39" s="156"/>
      <c r="AA39" s="156"/>
      <c r="AB39" s="156"/>
      <c r="AC39" s="156"/>
      <c r="AD39" s="156"/>
      <c r="AE39" s="156"/>
      <c r="AF39" s="156"/>
      <c r="AG39" s="156"/>
      <c r="AH39" s="156"/>
      <c r="AI39" s="156"/>
    </row>
    <row r="40" spans="2:35" ht="18.75" customHeight="1">
      <c r="B40" s="90"/>
      <c r="C40" s="90"/>
      <c r="D40" s="473"/>
      <c r="E40" s="473"/>
      <c r="F40" s="473"/>
      <c r="G40" s="473"/>
      <c r="H40" s="473"/>
      <c r="I40" s="473"/>
      <c r="J40" s="473"/>
      <c r="K40" s="473"/>
      <c r="L40" s="473"/>
      <c r="O40" s="142"/>
      <c r="P40" s="141"/>
      <c r="S40" s="156"/>
      <c r="T40" s="156"/>
      <c r="U40" s="156"/>
      <c r="V40" s="156"/>
      <c r="W40" s="156"/>
      <c r="X40" s="156"/>
      <c r="Y40" s="156"/>
      <c r="Z40" s="156"/>
      <c r="AA40" s="156"/>
      <c r="AB40" s="156"/>
      <c r="AC40" s="156"/>
      <c r="AD40" s="156"/>
      <c r="AE40" s="156"/>
      <c r="AF40" s="156"/>
      <c r="AG40" s="156"/>
      <c r="AH40" s="156"/>
      <c r="AI40" s="156"/>
    </row>
    <row r="41" spans="2:35" ht="18.75" customHeight="1">
      <c r="B41" s="90"/>
      <c r="C41" s="90"/>
      <c r="D41" s="473"/>
      <c r="E41" s="473"/>
      <c r="F41" s="473"/>
      <c r="G41" s="473"/>
      <c r="H41" s="473"/>
      <c r="I41" s="473"/>
      <c r="J41" s="473"/>
      <c r="K41" s="473"/>
      <c r="L41" s="473"/>
      <c r="O41" s="142"/>
      <c r="P41" s="141"/>
      <c r="S41" s="156"/>
      <c r="T41" s="156"/>
      <c r="U41" s="156"/>
      <c r="V41" s="156"/>
      <c r="W41" s="156"/>
      <c r="X41" s="156"/>
      <c r="Y41" s="156"/>
      <c r="Z41" s="156"/>
      <c r="AA41" s="156"/>
      <c r="AB41" s="156"/>
      <c r="AC41" s="156"/>
      <c r="AD41" s="156"/>
      <c r="AE41" s="156"/>
      <c r="AF41" s="156"/>
      <c r="AG41" s="156"/>
      <c r="AH41" s="156"/>
      <c r="AI41" s="156"/>
    </row>
    <row r="42" spans="2:35" ht="18.75" customHeight="1">
      <c r="B42" s="90"/>
      <c r="C42" s="90"/>
      <c r="D42" s="473"/>
      <c r="E42" s="473"/>
      <c r="F42" s="473"/>
      <c r="G42" s="473"/>
      <c r="H42" s="473"/>
      <c r="I42" s="473"/>
      <c r="J42" s="473"/>
      <c r="K42" s="473"/>
      <c r="L42" s="473"/>
      <c r="O42" s="142"/>
      <c r="P42" s="141"/>
      <c r="S42" s="156"/>
      <c r="T42" s="156"/>
      <c r="U42" s="156"/>
      <c r="V42" s="156"/>
      <c r="W42" s="156"/>
      <c r="X42" s="156"/>
      <c r="Y42" s="156"/>
      <c r="Z42" s="156"/>
      <c r="AA42" s="156"/>
      <c r="AB42" s="156"/>
      <c r="AC42" s="156"/>
      <c r="AD42" s="156"/>
      <c r="AE42" s="156"/>
      <c r="AF42" s="156"/>
      <c r="AG42" s="156"/>
      <c r="AH42" s="156"/>
      <c r="AI42" s="156"/>
    </row>
    <row r="43" spans="2:35" ht="18.75" customHeight="1">
      <c r="B43" s="90"/>
      <c r="C43" s="90"/>
      <c r="D43" s="473"/>
      <c r="E43" s="473"/>
      <c r="F43" s="473"/>
      <c r="G43" s="473"/>
      <c r="H43" s="473"/>
      <c r="I43" s="473"/>
      <c r="J43" s="473"/>
      <c r="K43" s="473"/>
      <c r="L43" s="473"/>
      <c r="O43" s="142"/>
      <c r="P43" s="141"/>
      <c r="S43" s="156"/>
      <c r="T43" s="156"/>
      <c r="U43" s="156"/>
      <c r="V43" s="156"/>
      <c r="W43" s="156"/>
      <c r="X43" s="156"/>
      <c r="Y43" s="156"/>
      <c r="Z43" s="156"/>
      <c r="AA43" s="156"/>
      <c r="AB43" s="156"/>
      <c r="AC43" s="156"/>
      <c r="AD43" s="156"/>
      <c r="AE43" s="156"/>
      <c r="AF43" s="156"/>
      <c r="AG43" s="156"/>
      <c r="AH43" s="156"/>
      <c r="AI43" s="156"/>
    </row>
    <row r="44" spans="2:35" ht="18.75" customHeight="1">
      <c r="B44" s="90"/>
      <c r="C44" s="90"/>
      <c r="D44" s="473"/>
      <c r="E44" s="473"/>
      <c r="F44" s="473"/>
      <c r="G44" s="473"/>
      <c r="H44" s="473"/>
      <c r="I44" s="473"/>
      <c r="J44" s="473"/>
      <c r="K44" s="473"/>
      <c r="L44" s="473"/>
      <c r="O44" s="142"/>
      <c r="P44" s="141"/>
      <c r="S44" s="156"/>
      <c r="T44" s="156"/>
      <c r="U44" s="156"/>
      <c r="V44" s="156"/>
      <c r="W44" s="156"/>
      <c r="X44" s="156"/>
      <c r="Y44" s="156"/>
      <c r="Z44" s="156"/>
      <c r="AA44" s="156"/>
      <c r="AB44" s="156"/>
      <c r="AC44" s="156"/>
      <c r="AD44" s="156"/>
      <c r="AE44" s="156"/>
      <c r="AF44" s="156"/>
      <c r="AG44" s="156"/>
      <c r="AH44" s="156"/>
      <c r="AI44" s="156"/>
    </row>
    <row r="45" spans="2:35" ht="18.75" customHeight="1">
      <c r="B45" s="90"/>
      <c r="C45" s="90"/>
      <c r="D45" s="473"/>
      <c r="E45" s="473"/>
      <c r="F45" s="473"/>
      <c r="G45" s="473"/>
      <c r="H45" s="473"/>
      <c r="I45" s="473"/>
      <c r="J45" s="473"/>
      <c r="K45" s="473"/>
      <c r="L45" s="473"/>
      <c r="O45" s="142"/>
      <c r="P45" s="141"/>
      <c r="S45" s="156"/>
      <c r="T45" s="156"/>
      <c r="U45" s="156"/>
      <c r="V45" s="156"/>
      <c r="W45" s="156"/>
      <c r="X45" s="156"/>
      <c r="Y45" s="156"/>
      <c r="Z45" s="156"/>
      <c r="AA45" s="156"/>
      <c r="AB45" s="156"/>
      <c r="AC45" s="156"/>
      <c r="AD45" s="156"/>
      <c r="AE45" s="156"/>
      <c r="AF45" s="156"/>
      <c r="AG45" s="156"/>
      <c r="AH45" s="156"/>
      <c r="AI45" s="156"/>
    </row>
    <row r="46" spans="2:35" ht="17.25" customHeight="1">
      <c r="B46" s="90"/>
      <c r="C46" s="90"/>
      <c r="D46" s="473"/>
      <c r="E46" s="473"/>
      <c r="F46" s="473"/>
      <c r="G46" s="473"/>
      <c r="H46" s="473"/>
      <c r="I46" s="473"/>
      <c r="J46" s="473"/>
      <c r="K46" s="473"/>
      <c r="L46" s="473"/>
      <c r="O46" s="142"/>
      <c r="P46" s="141"/>
      <c r="S46" s="156"/>
      <c r="T46" s="156"/>
      <c r="U46" s="156"/>
      <c r="V46" s="156"/>
      <c r="W46" s="156"/>
      <c r="X46" s="156"/>
      <c r="Y46" s="156"/>
      <c r="Z46" s="156"/>
      <c r="AA46" s="156"/>
      <c r="AB46" s="156"/>
      <c r="AC46" s="156"/>
      <c r="AD46" s="156"/>
      <c r="AE46" s="156"/>
      <c r="AF46" s="156"/>
      <c r="AG46" s="156"/>
      <c r="AH46" s="156"/>
      <c r="AI46" s="156"/>
    </row>
    <row r="47" spans="2:35" ht="6" customHeight="1">
      <c r="B47" s="15"/>
      <c r="C47" s="90"/>
      <c r="D47" s="88"/>
      <c r="E47" s="879"/>
      <c r="F47" s="879"/>
      <c r="G47" s="879"/>
      <c r="H47" s="879"/>
      <c r="I47" s="879"/>
      <c r="J47" s="879"/>
      <c r="K47" s="879"/>
      <c r="S47" s="156"/>
      <c r="T47" s="156"/>
      <c r="U47" s="156"/>
      <c r="V47" s="156"/>
      <c r="W47" s="156"/>
      <c r="X47" s="156"/>
      <c r="Y47" s="156"/>
      <c r="Z47" s="156"/>
      <c r="AA47" s="156"/>
      <c r="AB47" s="156"/>
      <c r="AC47" s="156"/>
      <c r="AD47" s="156"/>
      <c r="AE47" s="156"/>
      <c r="AF47" s="156"/>
      <c r="AG47" s="156"/>
      <c r="AH47" s="156"/>
      <c r="AI47" s="156"/>
    </row>
    <row r="48" spans="2:35" ht="50.25" customHeight="1">
      <c r="B48" s="939" t="s">
        <v>396</v>
      </c>
      <c r="C48" s="939"/>
      <c r="D48" s="939"/>
      <c r="E48" s="275" t="s">
        <v>219</v>
      </c>
      <c r="F48" s="275" t="s">
        <v>249</v>
      </c>
      <c r="G48" s="935" t="s">
        <v>397</v>
      </c>
      <c r="H48" s="936"/>
      <c r="I48" s="937" t="s">
        <v>398</v>
      </c>
      <c r="J48" s="938"/>
      <c r="K48" s="277" t="s">
        <v>399</v>
      </c>
      <c r="L48" s="949" t="s">
        <v>433</v>
      </c>
      <c r="M48" s="950"/>
      <c r="N48" s="950"/>
      <c r="O48" s="950"/>
      <c r="P48" s="950"/>
      <c r="Q48" s="951"/>
      <c r="S48" s="46" t="s">
        <v>401</v>
      </c>
      <c r="T48" s="47">
        <v>0</v>
      </c>
      <c r="U48" s="48">
        <v>0.3</v>
      </c>
      <c r="V48" s="48">
        <v>0.6</v>
      </c>
      <c r="W48" s="48">
        <v>0.9</v>
      </c>
      <c r="X48" s="48">
        <v>1</v>
      </c>
      <c r="Y48" s="12"/>
      <c r="Z48" s="12"/>
      <c r="AA48" s="46" t="s">
        <v>401</v>
      </c>
      <c r="AB48" s="47">
        <v>0</v>
      </c>
      <c r="AC48" s="48">
        <v>0.2</v>
      </c>
      <c r="AD48" s="48">
        <v>0.4</v>
      </c>
      <c r="AE48" s="48">
        <v>0.6</v>
      </c>
      <c r="AF48" s="48">
        <v>0.8</v>
      </c>
      <c r="AG48" s="12"/>
      <c r="AH48" s="12"/>
      <c r="AI48" s="12"/>
    </row>
    <row r="49" spans="2:35" ht="153.94999999999999" customHeight="1">
      <c r="B49" s="940" t="s">
        <v>434</v>
      </c>
      <c r="C49" s="941"/>
      <c r="D49" s="942"/>
      <c r="E49" s="514">
        <v>0.97</v>
      </c>
      <c r="F49" s="514">
        <v>0.94</v>
      </c>
      <c r="G49" s="943">
        <f>(F49/E49)</f>
        <v>0.96907216494845361</v>
      </c>
      <c r="H49" s="944"/>
      <c r="I49" s="944"/>
      <c r="J49" s="944"/>
      <c r="K49" s="945"/>
      <c r="L49" s="929" t="s">
        <v>435</v>
      </c>
      <c r="M49" s="930"/>
      <c r="N49" s="930"/>
      <c r="O49" s="930"/>
      <c r="P49" s="930"/>
      <c r="Q49" s="930"/>
      <c r="S49" s="46" t="s">
        <v>404</v>
      </c>
      <c r="T49" s="48">
        <v>0.3</v>
      </c>
      <c r="U49" s="48">
        <v>0.6</v>
      </c>
      <c r="V49" s="48">
        <v>0.9</v>
      </c>
      <c r="W49" s="48">
        <v>1</v>
      </c>
      <c r="X49" s="48">
        <v>2</v>
      </c>
      <c r="Y49" s="12"/>
      <c r="Z49" s="12"/>
      <c r="AA49" s="46" t="s">
        <v>404</v>
      </c>
      <c r="AB49" s="48">
        <v>0.2</v>
      </c>
      <c r="AC49" s="48">
        <v>0.4</v>
      </c>
      <c r="AD49" s="48">
        <v>0.6</v>
      </c>
      <c r="AE49" s="48">
        <v>0.8</v>
      </c>
      <c r="AF49" s="48">
        <v>1</v>
      </c>
      <c r="AG49" s="12"/>
      <c r="AH49" s="12"/>
      <c r="AI49" s="12"/>
    </row>
    <row r="50" spans="2:35" ht="137.25" customHeight="1">
      <c r="B50" s="940" t="str">
        <f>+'Ввод данных'!A213</f>
        <v xml:space="preserve">MDR TB-2: Количество бактериологически подтвержденных зарегистрированных ЛУ-ТБ случаев (РУ-ТБ и/или МЛУ-ТБ)		</v>
      </c>
      <c r="C50" s="941"/>
      <c r="D50" s="942"/>
      <c r="E50" s="276">
        <v>1697</v>
      </c>
      <c r="F50" s="276">
        <v>914</v>
      </c>
      <c r="G50" s="943">
        <f t="shared" ref="G50:G52" si="3">(F50/E50)</f>
        <v>0.53859752504419567</v>
      </c>
      <c r="H50" s="944"/>
      <c r="I50" s="944"/>
      <c r="J50" s="944"/>
      <c r="K50" s="945"/>
      <c r="L50" s="929" t="s">
        <v>436</v>
      </c>
      <c r="M50" s="929"/>
      <c r="N50" s="929"/>
      <c r="O50" s="929"/>
      <c r="P50" s="929"/>
      <c r="Q50" s="929"/>
      <c r="S50" s="49"/>
      <c r="T50" s="50" t="str">
        <f>"de "&amp;T48&amp;" a "&amp;T49</f>
        <v>de 0 a 0.3</v>
      </c>
      <c r="U50" s="50" t="str">
        <f>"de "&amp;U48&amp;" a "&amp;U49</f>
        <v>de 0.3 a 0.6</v>
      </c>
      <c r="AH50" s="12"/>
      <c r="AI50" s="12"/>
    </row>
    <row r="51" spans="2:35" ht="124.5" customHeight="1">
      <c r="B51" s="940" t="str">
        <f>+'Ввод данных'!A215</f>
        <v>MDR TB-3: Количество случаев с РУ/МЛУ ТБ, начавших лечение препаратами второго ряда</v>
      </c>
      <c r="C51" s="941"/>
      <c r="D51" s="942"/>
      <c r="E51" s="276">
        <v>1612</v>
      </c>
      <c r="F51" s="276">
        <v>934</v>
      </c>
      <c r="G51" s="943">
        <f t="shared" si="3"/>
        <v>0.57940446650124067</v>
      </c>
      <c r="H51" s="944"/>
      <c r="I51" s="944"/>
      <c r="J51" s="944"/>
      <c r="K51" s="945"/>
      <c r="L51" s="929" t="s">
        <v>437</v>
      </c>
      <c r="M51" s="929"/>
      <c r="N51" s="929"/>
      <c r="O51" s="929"/>
      <c r="P51" s="929"/>
      <c r="Q51" s="929"/>
      <c r="S51" s="49"/>
      <c r="T51" s="48" t="e">
        <f>IF($K49&gt;T$48,IF($K49&lt;=T$49,$K49,NA()),NA())</f>
        <v>#N/A</v>
      </c>
      <c r="U51" s="48" t="e">
        <f>IF($K49&gt;U$48,IF($K49&lt;=U$49,$K49,NA()),NA())</f>
        <v>#N/A</v>
      </c>
      <c r="AH51" s="12"/>
      <c r="AI51" s="12"/>
    </row>
    <row r="52" spans="2:35" ht="90.75" customHeight="1">
      <c r="B52" s="946" t="str">
        <f>+'Ввод данных'!A217</f>
        <v>MDR TB-7: Процент подтвержденных МЛУ-ТБ случаев, протестированных на чувствительность к фторхинолонам и инъекционным препаратам второго ряда</v>
      </c>
      <c r="C52" s="947"/>
      <c r="D52" s="948"/>
      <c r="E52" s="514">
        <v>0.72</v>
      </c>
      <c r="F52" s="514">
        <v>0.79</v>
      </c>
      <c r="G52" s="943">
        <f t="shared" si="3"/>
        <v>1.0972222222222223</v>
      </c>
      <c r="H52" s="944"/>
      <c r="I52" s="944"/>
      <c r="J52" s="944"/>
      <c r="K52" s="945"/>
      <c r="L52" s="932" t="s">
        <v>438</v>
      </c>
      <c r="M52" s="933"/>
      <c r="N52" s="933"/>
      <c r="O52" s="933"/>
      <c r="P52" s="933"/>
      <c r="Q52" s="934"/>
      <c r="S52" s="49"/>
      <c r="T52" s="48"/>
      <c r="U52" s="48"/>
      <c r="AH52" s="12"/>
      <c r="AI52" s="12"/>
    </row>
    <row r="53" spans="2:35" ht="119.25" customHeight="1">
      <c r="B53" s="917" t="s">
        <v>253</v>
      </c>
      <c r="C53" s="918"/>
      <c r="D53" s="919"/>
      <c r="E53" s="524"/>
      <c r="F53" s="524"/>
      <c r="G53" s="920" t="e">
        <f>(F53/E53)</f>
        <v>#DIV/0!</v>
      </c>
      <c r="H53" s="921"/>
      <c r="I53" s="921"/>
      <c r="J53" s="921"/>
      <c r="K53" s="922"/>
      <c r="L53" s="929" t="s">
        <v>439</v>
      </c>
      <c r="M53" s="930"/>
      <c r="N53" s="930"/>
      <c r="O53" s="930"/>
      <c r="P53" s="930"/>
      <c r="Q53" s="930"/>
      <c r="AH53" s="12"/>
      <c r="AI53" s="12"/>
    </row>
    <row r="54" spans="2:35" ht="172.5" customHeight="1">
      <c r="B54" s="928" t="s">
        <v>255</v>
      </c>
      <c r="C54" s="918"/>
      <c r="D54" s="919"/>
      <c r="E54" s="525"/>
      <c r="F54" s="525"/>
      <c r="G54" s="920" t="e">
        <f>(F54/E54)</f>
        <v>#DIV/0!</v>
      </c>
      <c r="H54" s="921"/>
      <c r="I54" s="921"/>
      <c r="J54" s="921"/>
      <c r="K54" s="922"/>
      <c r="L54" s="929" t="s">
        <v>440</v>
      </c>
      <c r="M54" s="930"/>
      <c r="N54" s="930"/>
      <c r="O54" s="930"/>
      <c r="P54" s="930"/>
      <c r="Q54" s="930"/>
      <c r="AH54" s="12"/>
      <c r="AI54" s="12"/>
    </row>
    <row r="55" spans="2:35" ht="22.5" customHeight="1">
      <c r="B55" s="927"/>
      <c r="C55" s="927"/>
      <c r="D55" s="927"/>
      <c r="E55" s="927"/>
      <c r="F55" s="926"/>
      <c r="G55" s="926"/>
      <c r="H55" s="926"/>
      <c r="I55" s="926"/>
      <c r="J55" s="926"/>
      <c r="K55" s="926"/>
      <c r="L55" s="931"/>
      <c r="M55" s="931"/>
      <c r="N55" s="931"/>
      <c r="O55" s="931"/>
      <c r="P55" s="931"/>
      <c r="AH55" s="12"/>
      <c r="AI55" s="12"/>
    </row>
    <row r="56" spans="2:35" ht="22.5" customHeight="1">
      <c r="B56" s="923"/>
      <c r="C56" s="923"/>
      <c r="D56" s="923"/>
      <c r="E56" s="924"/>
      <c r="F56" s="925"/>
      <c r="G56" s="923"/>
      <c r="H56" s="923"/>
      <c r="I56" s="923"/>
      <c r="J56" s="923"/>
      <c r="K56" s="924"/>
      <c r="L56" s="925"/>
      <c r="M56" s="923"/>
      <c r="N56" s="923"/>
      <c r="O56" s="923"/>
      <c r="P56" s="923"/>
      <c r="Y56" s="12"/>
      <c r="Z56" s="12"/>
      <c r="AA56" s="12"/>
      <c r="AB56" s="12"/>
      <c r="AC56" s="12"/>
      <c r="AD56" s="12"/>
      <c r="AE56" s="12"/>
      <c r="AF56" s="12"/>
      <c r="AG56" s="12"/>
      <c r="AH56" s="12"/>
      <c r="AI56" s="12"/>
    </row>
    <row r="57" spans="2:35">
      <c r="B57" s="157"/>
      <c r="C57" s="157"/>
      <c r="D57" s="157"/>
      <c r="E57" s="157"/>
      <c r="F57" s="157"/>
      <c r="G57" s="157"/>
      <c r="H57" s="158"/>
      <c r="I57" s="157"/>
      <c r="J57" s="157"/>
      <c r="K57" s="157"/>
      <c r="L57" s="157"/>
      <c r="M57" s="157"/>
      <c r="N57" s="157"/>
      <c r="O57" s="157"/>
      <c r="P57" s="157"/>
      <c r="Y57" s="12"/>
      <c r="Z57" s="12"/>
      <c r="AA57" s="12"/>
      <c r="AB57" s="12"/>
      <c r="AC57" s="12"/>
      <c r="AD57" s="12"/>
      <c r="AE57" s="12"/>
      <c r="AF57" s="12"/>
      <c r="AG57" s="12"/>
      <c r="AH57" s="12"/>
      <c r="AI57" s="12"/>
    </row>
    <row r="58" spans="2:35">
      <c r="B58" s="916"/>
      <c r="C58" s="916"/>
      <c r="D58" s="916"/>
      <c r="E58" s="916"/>
      <c r="F58" s="916"/>
      <c r="G58" s="916"/>
      <c r="H58" s="916"/>
      <c r="I58" s="916"/>
      <c r="J58" s="916"/>
      <c r="K58" s="916"/>
      <c r="L58" s="157"/>
      <c r="M58" s="157"/>
      <c r="N58" s="157"/>
      <c r="O58" s="157"/>
      <c r="P58" s="157"/>
      <c r="Y58" s="12"/>
      <c r="Z58" s="12"/>
      <c r="AA58" s="12"/>
      <c r="AB58" s="12"/>
      <c r="AC58" s="12"/>
      <c r="AD58" s="12"/>
      <c r="AE58" s="12"/>
      <c r="AF58" s="12"/>
      <c r="AG58" s="12"/>
      <c r="AH58" s="12"/>
      <c r="AI58" s="12"/>
    </row>
    <row r="59" spans="2:35">
      <c r="B59" s="916"/>
      <c r="C59" s="916"/>
      <c r="D59" s="916"/>
      <c r="E59" s="916"/>
      <c r="F59" s="916"/>
      <c r="G59" s="916"/>
      <c r="H59" s="916"/>
      <c r="I59" s="916"/>
      <c r="J59" s="916"/>
      <c r="K59" s="916"/>
      <c r="L59" s="157"/>
      <c r="M59" s="157"/>
      <c r="N59" s="157"/>
      <c r="O59" s="157"/>
      <c r="P59" s="157"/>
      <c r="S59" s="12"/>
      <c r="T59" s="12"/>
      <c r="U59" s="12"/>
      <c r="V59" s="12"/>
      <c r="W59" s="12"/>
      <c r="X59" s="12"/>
      <c r="Y59" s="12"/>
      <c r="Z59" s="12"/>
      <c r="AA59" s="12"/>
      <c r="AB59" s="12"/>
      <c r="AC59" s="12"/>
      <c r="AD59" s="12"/>
      <c r="AE59" s="12"/>
      <c r="AF59" s="12"/>
      <c r="AG59" s="12"/>
      <c r="AH59" s="12"/>
      <c r="AI59" s="12"/>
    </row>
    <row r="60" spans="2:35">
      <c r="I60" s="72"/>
      <c r="J60" s="72"/>
      <c r="K60" s="72"/>
      <c r="S60" s="12"/>
      <c r="T60" s="12"/>
      <c r="U60" s="12"/>
      <c r="V60" s="12"/>
      <c r="W60" s="12"/>
      <c r="X60" s="12"/>
      <c r="Y60" s="12"/>
      <c r="Z60" s="12"/>
      <c r="AA60" s="12"/>
      <c r="AB60" s="12"/>
      <c r="AC60" s="12"/>
      <c r="AD60" s="12"/>
      <c r="AE60" s="12"/>
      <c r="AF60" s="12"/>
      <c r="AG60" s="12"/>
      <c r="AH60" s="12"/>
      <c r="AI60" s="12"/>
    </row>
    <row r="61" spans="2:35">
      <c r="I61" s="94"/>
      <c r="J61" s="95"/>
      <c r="K61" s="95"/>
      <c r="S61" s="12"/>
      <c r="T61" s="12"/>
      <c r="U61" s="12"/>
      <c r="V61" s="12"/>
      <c r="W61" s="12"/>
      <c r="X61" s="12"/>
      <c r="Y61" s="12"/>
      <c r="Z61" s="12"/>
      <c r="AA61" s="12"/>
      <c r="AB61" s="12"/>
      <c r="AC61" s="12"/>
      <c r="AD61" s="12"/>
      <c r="AE61" s="12"/>
      <c r="AF61" s="12"/>
      <c r="AG61" s="12"/>
      <c r="AH61" s="12"/>
      <c r="AI61" s="12"/>
    </row>
    <row r="62" spans="2:35">
      <c r="I62" s="96"/>
      <c r="J62" s="31"/>
      <c r="K62" s="28"/>
      <c r="S62" s="12"/>
      <c r="T62" s="12"/>
      <c r="U62" s="12"/>
      <c r="V62" s="12"/>
      <c r="W62" s="12"/>
      <c r="X62" s="12"/>
      <c r="Y62" s="12"/>
      <c r="Z62" s="12"/>
      <c r="AA62" s="12"/>
      <c r="AB62" s="12"/>
      <c r="AC62" s="12"/>
      <c r="AD62" s="12"/>
      <c r="AE62" s="12"/>
      <c r="AF62" s="12"/>
      <c r="AG62" s="12"/>
      <c r="AH62" s="12"/>
      <c r="AI62" s="12"/>
    </row>
    <row r="63" spans="2:35">
      <c r="I63" s="96"/>
      <c r="J63" s="31"/>
      <c r="K63" s="28"/>
      <c r="S63" s="12"/>
      <c r="T63" s="12"/>
      <c r="U63" s="12"/>
      <c r="V63" s="12"/>
      <c r="W63" s="12"/>
      <c r="X63" s="12"/>
      <c r="Y63" s="12"/>
      <c r="Z63" s="12"/>
      <c r="AA63" s="12"/>
      <c r="AB63" s="12"/>
      <c r="AC63" s="12"/>
      <c r="AD63" s="12"/>
      <c r="AE63" s="12"/>
      <c r="AF63" s="12"/>
      <c r="AG63" s="12"/>
      <c r="AH63" s="12"/>
      <c r="AI63" s="12"/>
    </row>
    <row r="64" spans="2:35">
      <c r="I64" s="96"/>
      <c r="J64" s="31"/>
      <c r="K64" s="28"/>
      <c r="S64" s="12"/>
      <c r="T64" s="12"/>
      <c r="U64" s="12"/>
      <c r="V64" s="12"/>
      <c r="W64" s="12"/>
      <c r="X64" s="12"/>
      <c r="Y64" s="12"/>
      <c r="Z64" s="12"/>
      <c r="AA64" s="12"/>
      <c r="AB64" s="12"/>
      <c r="AC64" s="12"/>
      <c r="AD64" s="12"/>
      <c r="AE64" s="12"/>
      <c r="AF64" s="12"/>
      <c r="AG64" s="12"/>
      <c r="AH64" s="12"/>
      <c r="AI64" s="12"/>
    </row>
    <row r="65" spans="19:35">
      <c r="S65" s="12"/>
      <c r="T65" s="12"/>
      <c r="U65" s="12"/>
      <c r="V65" s="12"/>
      <c r="W65" s="12"/>
      <c r="X65" s="12"/>
      <c r="Y65" s="12"/>
      <c r="Z65" s="12"/>
      <c r="AA65" s="12"/>
      <c r="AB65" s="12"/>
      <c r="AC65" s="12"/>
      <c r="AD65" s="12"/>
      <c r="AE65" s="12"/>
      <c r="AF65" s="12"/>
      <c r="AG65" s="12"/>
      <c r="AH65" s="12"/>
      <c r="AI65" s="12"/>
    </row>
    <row r="66" spans="19:35">
      <c r="S66" s="12"/>
      <c r="T66" s="12"/>
      <c r="U66" s="12"/>
      <c r="V66" s="12"/>
      <c r="W66" s="12"/>
      <c r="X66" s="12"/>
      <c r="Y66" s="12"/>
      <c r="Z66" s="12"/>
      <c r="AA66" s="12"/>
      <c r="AB66" s="12"/>
      <c r="AC66" s="12"/>
      <c r="AD66" s="12"/>
      <c r="AE66" s="12"/>
      <c r="AF66" s="12"/>
      <c r="AG66" s="12"/>
      <c r="AH66" s="12"/>
      <c r="AI66" s="12"/>
    </row>
    <row r="67" spans="19:35">
      <c r="S67" s="3"/>
      <c r="T67" s="3"/>
      <c r="U67" s="3"/>
      <c r="V67" s="3"/>
      <c r="W67" s="3"/>
      <c r="X67" s="3"/>
      <c r="Y67" s="3"/>
      <c r="Z67" s="3"/>
      <c r="AA67" s="3"/>
      <c r="AB67" s="3"/>
    </row>
    <row r="68" spans="19:35">
      <c r="S68" s="3"/>
      <c r="T68" s="3"/>
      <c r="U68" s="3"/>
      <c r="V68" s="3"/>
      <c r="W68" s="3"/>
      <c r="X68" s="3"/>
      <c r="Y68" s="3"/>
      <c r="Z68" s="3"/>
      <c r="AA68" s="3"/>
      <c r="AB68" s="3"/>
    </row>
    <row r="69" spans="19:35">
      <c r="S69" s="3"/>
      <c r="T69" s="3"/>
      <c r="U69" s="3"/>
      <c r="V69" s="3"/>
      <c r="W69" s="3"/>
      <c r="X69" s="3"/>
      <c r="Y69" s="3"/>
      <c r="Z69" s="3"/>
      <c r="AA69" s="3"/>
      <c r="AB69" s="3"/>
    </row>
    <row r="70" spans="19:35">
      <c r="S70" s="3"/>
      <c r="T70" s="3"/>
      <c r="U70" s="3"/>
      <c r="V70" s="3"/>
      <c r="W70" s="3"/>
      <c r="X70" s="3"/>
      <c r="Y70" s="3"/>
      <c r="Z70" s="3"/>
      <c r="AA70" s="3"/>
      <c r="AB70" s="3"/>
    </row>
    <row r="71" spans="19:35">
      <c r="S71" s="3"/>
      <c r="T71" s="3"/>
      <c r="U71" s="3"/>
      <c r="V71" s="3"/>
      <c r="W71" s="3"/>
      <c r="X71" s="3"/>
      <c r="Y71" s="3"/>
      <c r="Z71" s="3"/>
      <c r="AA71" s="3"/>
      <c r="AB71" s="3"/>
    </row>
  </sheetData>
  <mergeCells count="94">
    <mergeCell ref="C36:E36"/>
    <mergeCell ref="G36:K36"/>
    <mergeCell ref="L32:Q32"/>
    <mergeCell ref="F34:M34"/>
    <mergeCell ref="M36:Q36"/>
    <mergeCell ref="B33:D33"/>
    <mergeCell ref="G33:K33"/>
    <mergeCell ref="L33:Q33"/>
    <mergeCell ref="G32:K32"/>
    <mergeCell ref="B32:D32"/>
    <mergeCell ref="L48:Q48"/>
    <mergeCell ref="L54:Q54"/>
    <mergeCell ref="G49:K49"/>
    <mergeCell ref="C3:D3"/>
    <mergeCell ref="E4:L4"/>
    <mergeCell ref="B35:E35"/>
    <mergeCell ref="F35:K35"/>
    <mergeCell ref="I21:J21"/>
    <mergeCell ref="L21:Q21"/>
    <mergeCell ref="B22:D22"/>
    <mergeCell ref="G22:K22"/>
    <mergeCell ref="L22:Q22"/>
    <mergeCell ref="B23:D23"/>
    <mergeCell ref="G23:K23"/>
    <mergeCell ref="L23:Q23"/>
    <mergeCell ref="L28:Q28"/>
    <mergeCell ref="G50:K50"/>
    <mergeCell ref="B51:D51"/>
    <mergeCell ref="B50:D50"/>
    <mergeCell ref="G51:K51"/>
    <mergeCell ref="B52:D52"/>
    <mergeCell ref="G52:K52"/>
    <mergeCell ref="G48:H48"/>
    <mergeCell ref="I48:J48"/>
    <mergeCell ref="E47:K47"/>
    <mergeCell ref="B48:D48"/>
    <mergeCell ref="B49:D49"/>
    <mergeCell ref="L56:P56"/>
    <mergeCell ref="L49:Q49"/>
    <mergeCell ref="L50:Q50"/>
    <mergeCell ref="L51:Q51"/>
    <mergeCell ref="L55:P55"/>
    <mergeCell ref="L53:Q53"/>
    <mergeCell ref="L52:Q52"/>
    <mergeCell ref="B58:D59"/>
    <mergeCell ref="E58:G59"/>
    <mergeCell ref="H58:K59"/>
    <mergeCell ref="B53:D53"/>
    <mergeCell ref="G53:K53"/>
    <mergeCell ref="G54:K54"/>
    <mergeCell ref="B56:E56"/>
    <mergeCell ref="F56:K56"/>
    <mergeCell ref="F55:K55"/>
    <mergeCell ref="B55:E55"/>
    <mergeCell ref="B54:D54"/>
    <mergeCell ref="G29:K29"/>
    <mergeCell ref="B30:D30"/>
    <mergeCell ref="G31:K31"/>
    <mergeCell ref="G28:K28"/>
    <mergeCell ref="L27:Q27"/>
    <mergeCell ref="B28:D28"/>
    <mergeCell ref="B27:D27"/>
    <mergeCell ref="G27:K27"/>
    <mergeCell ref="L29:Q29"/>
    <mergeCell ref="G30:K30"/>
    <mergeCell ref="B29:D29"/>
    <mergeCell ref="L30:Q30"/>
    <mergeCell ref="B31:D31"/>
    <mergeCell ref="L31:Q31"/>
    <mergeCell ref="B25:D25"/>
    <mergeCell ref="G21:H21"/>
    <mergeCell ref="G25:K25"/>
    <mergeCell ref="L25:Q25"/>
    <mergeCell ref="B26:D26"/>
    <mergeCell ref="G26:K26"/>
    <mergeCell ref="L26:Q26"/>
    <mergeCell ref="G24:K24"/>
    <mergeCell ref="L24:Q24"/>
    <mergeCell ref="B2:Q2"/>
    <mergeCell ref="O3:P3"/>
    <mergeCell ref="D5:N5"/>
    <mergeCell ref="L35:Q35"/>
    <mergeCell ref="E3:K3"/>
    <mergeCell ref="C4:D4"/>
    <mergeCell ref="E6:L6"/>
    <mergeCell ref="B8:E8"/>
    <mergeCell ref="F8:K8"/>
    <mergeCell ref="L8:Q8"/>
    <mergeCell ref="C9:E9"/>
    <mergeCell ref="G9:K9"/>
    <mergeCell ref="M9:Q9"/>
    <mergeCell ref="E20:K20"/>
    <mergeCell ref="B24:D24"/>
    <mergeCell ref="B21:D21"/>
  </mergeCells>
  <phoneticPr fontId="30" type="noConversion"/>
  <conditionalFormatting sqref="C4:D4">
    <cfRule type="cellIs" dxfId="47" priority="260" stopIfTrue="1" operator="equal">
      <formula>"C"</formula>
    </cfRule>
    <cfRule type="cellIs" dxfId="46" priority="261" stopIfTrue="1" operator="equal">
      <formula>"B2"</formula>
    </cfRule>
    <cfRule type="cellIs" dxfId="45" priority="262" stopIfTrue="1" operator="equal">
      <formula>"B1"</formula>
    </cfRule>
  </conditionalFormatting>
  <conditionalFormatting sqref="G49:G54">
    <cfRule type="cellIs" dxfId="44" priority="82" stopIfTrue="1" operator="between">
      <formula>0</formula>
      <formula>0.599</formula>
    </cfRule>
    <cfRule type="cellIs" dxfId="43" priority="83" stopIfTrue="1" operator="between">
      <formula>0.6</formula>
      <formula>0.899</formula>
    </cfRule>
    <cfRule type="cellIs" dxfId="42" priority="84" stopIfTrue="1" operator="greaterThanOrEqual">
      <formula>0.9</formula>
    </cfRule>
  </conditionalFormatting>
  <conditionalFormatting sqref="G49:K54">
    <cfRule type="cellIs" dxfId="41" priority="79" stopIfTrue="1" operator="greaterThan">
      <formula>0.9</formula>
    </cfRule>
    <cfRule type="cellIs" dxfId="40" priority="80" stopIfTrue="1" operator="between">
      <formula>0.6</formula>
      <formula>0.89</formula>
    </cfRule>
    <cfRule type="cellIs" dxfId="39" priority="81" stopIfTrue="1" operator="lessThan">
      <formula>0.59</formula>
    </cfRule>
  </conditionalFormatting>
  <conditionalFormatting sqref="G22 G25">
    <cfRule type="cellIs" dxfId="38" priority="76" stopIfTrue="1" operator="between">
      <formula>0</formula>
      <formula>0.599</formula>
    </cfRule>
    <cfRule type="cellIs" dxfId="37" priority="77" stopIfTrue="1" operator="between">
      <formula>0.6</formula>
      <formula>0.899</formula>
    </cfRule>
    <cfRule type="cellIs" dxfId="36" priority="78" stopIfTrue="1" operator="greaterThanOrEqual">
      <formula>0.9</formula>
    </cfRule>
  </conditionalFormatting>
  <conditionalFormatting sqref="G33">
    <cfRule type="cellIs" dxfId="35" priority="73" stopIfTrue="1" operator="between">
      <formula>0</formula>
      <formula>0.599</formula>
    </cfRule>
    <cfRule type="cellIs" dxfId="34" priority="74" stopIfTrue="1" operator="between">
      <formula>0.6</formula>
      <formula>0.899</formula>
    </cfRule>
    <cfRule type="cellIs" dxfId="33" priority="75" stopIfTrue="1" operator="greaterThanOrEqual">
      <formula>0.9</formula>
    </cfRule>
  </conditionalFormatting>
  <conditionalFormatting sqref="G26">
    <cfRule type="cellIs" dxfId="32" priority="61" stopIfTrue="1" operator="between">
      <formula>0</formula>
      <formula>0.599</formula>
    </cfRule>
    <cfRule type="cellIs" dxfId="31" priority="62" stopIfTrue="1" operator="between">
      <formula>0.6</formula>
      <formula>0.899</formula>
    </cfRule>
    <cfRule type="cellIs" dxfId="30" priority="63" stopIfTrue="1" operator="greaterThanOrEqual">
      <formula>0.9</formula>
    </cfRule>
  </conditionalFormatting>
  <conditionalFormatting sqref="G27">
    <cfRule type="cellIs" dxfId="29" priority="58" stopIfTrue="1" operator="between">
      <formula>0</formula>
      <formula>0.599</formula>
    </cfRule>
    <cfRule type="cellIs" dxfId="28" priority="59" stopIfTrue="1" operator="between">
      <formula>0.6</formula>
      <formula>0.899</formula>
    </cfRule>
    <cfRule type="cellIs" dxfId="27" priority="60" stopIfTrue="1" operator="greaterThanOrEqual">
      <formula>0.9</formula>
    </cfRule>
  </conditionalFormatting>
  <conditionalFormatting sqref="G28">
    <cfRule type="cellIs" dxfId="26" priority="55" stopIfTrue="1" operator="between">
      <formula>0</formula>
      <formula>0.599</formula>
    </cfRule>
    <cfRule type="cellIs" dxfId="25" priority="56" stopIfTrue="1" operator="between">
      <formula>0.6</formula>
      <formula>0.899</formula>
    </cfRule>
    <cfRule type="cellIs" dxfId="24" priority="57" stopIfTrue="1" operator="greaterThanOrEqual">
      <formula>0.9</formula>
    </cfRule>
  </conditionalFormatting>
  <conditionalFormatting sqref="G29">
    <cfRule type="cellIs" dxfId="23" priority="52" stopIfTrue="1" operator="between">
      <formula>0</formula>
      <formula>0.599</formula>
    </cfRule>
    <cfRule type="cellIs" dxfId="22" priority="53" stopIfTrue="1" operator="between">
      <formula>0.6</formula>
      <formula>0.899</formula>
    </cfRule>
    <cfRule type="cellIs" dxfId="21" priority="54" stopIfTrue="1" operator="greaterThanOrEqual">
      <formula>0.9</formula>
    </cfRule>
  </conditionalFormatting>
  <conditionalFormatting sqref="G31">
    <cfRule type="cellIs" dxfId="20" priority="49" stopIfTrue="1" operator="between">
      <formula>0</formula>
      <formula>0.599</formula>
    </cfRule>
    <cfRule type="cellIs" dxfId="19" priority="50" stopIfTrue="1" operator="between">
      <formula>0.6</formula>
      <formula>0.899</formula>
    </cfRule>
    <cfRule type="cellIs" dxfId="18" priority="51" stopIfTrue="1" operator="greaterThanOrEqual">
      <formula>0.9</formula>
    </cfRule>
  </conditionalFormatting>
  <conditionalFormatting sqref="G32">
    <cfRule type="cellIs" dxfId="17" priority="46" stopIfTrue="1" operator="between">
      <formula>0</formula>
      <formula>0.599</formula>
    </cfRule>
    <cfRule type="cellIs" dxfId="16" priority="47" stopIfTrue="1" operator="between">
      <formula>0.6</formula>
      <formula>0.899</formula>
    </cfRule>
    <cfRule type="cellIs" dxfId="15" priority="48" stopIfTrue="1" operator="greaterThanOrEqual">
      <formula>0.9</formula>
    </cfRule>
  </conditionalFormatting>
  <conditionalFormatting sqref="G30">
    <cfRule type="cellIs" dxfId="14" priority="40" stopIfTrue="1" operator="between">
      <formula>0</formula>
      <formula>0.599</formula>
    </cfRule>
    <cfRule type="cellIs" dxfId="13" priority="41" stopIfTrue="1" operator="between">
      <formula>0.6</formula>
      <formula>0.899</formula>
    </cfRule>
    <cfRule type="cellIs" dxfId="12" priority="42" stopIfTrue="1" operator="greaterThanOrEqual">
      <formula>0.9</formula>
    </cfRule>
  </conditionalFormatting>
  <conditionalFormatting sqref="G23">
    <cfRule type="cellIs" dxfId="11" priority="7" stopIfTrue="1" operator="between">
      <formula>0</formula>
      <formula>0.599</formula>
    </cfRule>
    <cfRule type="cellIs" dxfId="10" priority="8" stopIfTrue="1" operator="between">
      <formula>0.6</formula>
      <formula>0.899</formula>
    </cfRule>
    <cfRule type="cellIs" dxfId="9" priority="9" stopIfTrue="1" operator="greaterThanOrEqual">
      <formula>0.9</formula>
    </cfRule>
  </conditionalFormatting>
  <conditionalFormatting sqref="G24">
    <cfRule type="cellIs" dxfId="8" priority="4" stopIfTrue="1" operator="between">
      <formula>0</formula>
      <formula>0.599</formula>
    </cfRule>
    <cfRule type="cellIs" dxfId="7" priority="5" stopIfTrue="1" operator="between">
      <formula>0.6</formula>
      <formula>0.899</formula>
    </cfRule>
    <cfRule type="cellIs" dxfId="6" priority="6" stopIfTrue="1" operator="greaterThanOrEqual">
      <formula>0.9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topLeftCell="B1" zoomScaleNormal="110" zoomScaleSheetLayoutView="100" workbookViewId="0">
      <selection activeCell="N14" sqref="N14"/>
    </sheetView>
  </sheetViews>
  <sheetFormatPr defaultColWidth="11" defaultRowHeight="15"/>
  <cols>
    <col min="1" max="1" width="8.8554687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40" t="str">
        <f>+"Панель показателей:  "&amp;"  "&amp;IF(+'Ввод данных'!B4="Выберите","",'Ввод данных'!B4&amp;" - ")&amp;IF('Ввод данных'!F6="Выберите","",'Ввод данных'!F6)</f>
        <v>Панель показателей:    Кыргызстан - ВИЧ/СПИД/ТБ</v>
      </c>
      <c r="C2" s="840"/>
      <c r="D2" s="840"/>
      <c r="E2" s="840"/>
      <c r="F2" s="840"/>
      <c r="G2" s="840"/>
      <c r="H2" s="840"/>
      <c r="I2" s="840"/>
      <c r="J2" s="840"/>
      <c r="K2" s="840"/>
      <c r="L2" s="840"/>
    </row>
    <row r="3" spans="1:13">
      <c r="B3" s="90">
        <f>+IF('Ввод данных'!F8="Выберите","",'Ввод данных'!F8)</f>
        <v>0</v>
      </c>
      <c r="C3" s="845"/>
      <c r="D3" s="845"/>
      <c r="E3" s="844"/>
      <c r="F3" s="844"/>
      <c r="G3" s="844"/>
      <c r="H3" s="844"/>
      <c r="I3" s="844"/>
      <c r="J3" s="842" t="str">
        <f>+'Ввод данных'!A16</f>
        <v>Отчетный период</v>
      </c>
      <c r="K3" s="842"/>
      <c r="L3" s="140" t="str">
        <f>+'Ввод данных'!B16</f>
        <v>P1</v>
      </c>
      <c r="M3" s="60"/>
    </row>
    <row r="4" spans="1:13">
      <c r="B4" s="266" t="str">
        <f>+'Ввод данных'!A12</f>
        <v>Последняя оценка:</v>
      </c>
      <c r="C4" s="1030" t="str">
        <f>+IF('Ввод данных'!B12="Выберите","",'Ввод данных'!B12)</f>
        <v>Пожалуйста выберите</v>
      </c>
      <c r="D4" s="1030"/>
      <c r="E4" s="844" t="str">
        <f>+'Ввод данных'!B8</f>
        <v>ПРООН</v>
      </c>
      <c r="F4" s="844"/>
      <c r="G4" s="844"/>
      <c r="H4" s="844"/>
      <c r="I4" s="844"/>
      <c r="J4" s="842" t="str">
        <f>+'Ввод данных'!C16</f>
        <v>с:</v>
      </c>
      <c r="K4" s="843"/>
      <c r="L4" s="141">
        <f>+IF(ISBLANK('Ввод данных'!D16),"",'Ввод данных'!D16)</f>
        <v>44197</v>
      </c>
    </row>
    <row r="5" spans="1:13" ht="18.75" customHeight="1">
      <c r="B5" s="90"/>
      <c r="C5" s="90"/>
      <c r="D5" s="844"/>
      <c r="E5" s="844"/>
      <c r="F5" s="844"/>
      <c r="G5" s="844"/>
      <c r="H5" s="844"/>
      <c r="I5" s="844"/>
      <c r="J5" s="844"/>
      <c r="K5" s="90" t="str">
        <f>+'Ввод данных'!E16</f>
        <v>до:</v>
      </c>
      <c r="L5" s="141">
        <f>+IF(ISBLANK('Ввод данных'!F16),"",'Ввод данных'!F16)</f>
        <v>44561</v>
      </c>
    </row>
    <row r="6" spans="1:13" ht="18.75">
      <c r="B6" s="15"/>
      <c r="C6" s="90"/>
      <c r="D6" s="16"/>
      <c r="E6" s="847" t="s">
        <v>441</v>
      </c>
      <c r="F6" s="847"/>
      <c r="G6" s="847"/>
      <c r="H6" s="847"/>
      <c r="I6" s="847"/>
    </row>
    <row r="7" spans="1:13" ht="18.75">
      <c r="E7" s="480"/>
      <c r="F7" s="480"/>
      <c r="G7" s="480"/>
      <c r="H7" s="480"/>
      <c r="I7" s="480"/>
    </row>
    <row r="8" spans="1:13" s="20" customFormat="1" ht="21" customHeight="1" thickBot="1">
      <c r="B8" s="52" t="s">
        <v>442</v>
      </c>
      <c r="C8" s="52"/>
      <c r="D8" s="52"/>
      <c r="E8" s="52"/>
      <c r="F8" s="52"/>
      <c r="G8" s="52"/>
      <c r="H8" s="52"/>
      <c r="I8" s="52"/>
      <c r="J8" s="52"/>
      <c r="K8" s="52"/>
      <c r="L8" s="52"/>
    </row>
    <row r="9" spans="1:13" ht="6" customHeight="1">
      <c r="B9" s="51"/>
    </row>
    <row r="10" spans="1:13">
      <c r="B10" s="1033"/>
      <c r="C10" s="1034"/>
      <c r="D10" s="1034"/>
      <c r="E10" s="1034"/>
      <c r="F10" s="1034"/>
      <c r="G10" s="1034"/>
      <c r="H10" s="1034"/>
      <c r="I10" s="1034"/>
      <c r="J10" s="1034"/>
      <c r="K10" s="1034"/>
      <c r="L10" s="1035"/>
    </row>
    <row r="11" spans="1:13">
      <c r="B11" s="1036"/>
      <c r="C11" s="1037"/>
      <c r="D11" s="1037"/>
      <c r="E11" s="1037"/>
      <c r="F11" s="1037"/>
      <c r="G11" s="1037"/>
      <c r="H11" s="1037"/>
      <c r="I11" s="1037"/>
      <c r="J11" s="1037"/>
      <c r="K11" s="1037"/>
      <c r="L11" s="1038"/>
    </row>
    <row r="12" spans="1:13" ht="15.75" thickBot="1"/>
    <row r="13" spans="1:13" ht="26.25" customHeight="1" thickBot="1">
      <c r="B13" s="987" t="s">
        <v>443</v>
      </c>
      <c r="C13" s="988"/>
      <c r="D13" s="988"/>
      <c r="E13" s="990"/>
      <c r="F13" s="53"/>
      <c r="G13" s="974" t="s">
        <v>444</v>
      </c>
      <c r="H13" s="975"/>
      <c r="I13" s="975"/>
      <c r="J13" s="479" t="s">
        <v>445</v>
      </c>
      <c r="K13" s="975" t="s">
        <v>446</v>
      </c>
      <c r="L13" s="1039"/>
    </row>
    <row r="14" spans="1:13">
      <c r="A14" s="1021" t="s">
        <v>108</v>
      </c>
      <c r="B14" s="1014"/>
      <c r="C14" s="1014"/>
      <c r="D14" s="1014"/>
      <c r="E14" s="1015"/>
      <c r="F14" s="31"/>
      <c r="G14" s="1024"/>
      <c r="H14" s="979"/>
      <c r="I14" s="979"/>
      <c r="J14" s="983"/>
      <c r="K14" s="1031"/>
      <c r="L14" s="1032"/>
    </row>
    <row r="15" spans="1:13" ht="32.25" customHeight="1">
      <c r="A15" s="1022"/>
      <c r="B15" s="1014"/>
      <c r="C15" s="1014"/>
      <c r="D15" s="1014"/>
      <c r="E15" s="1015"/>
      <c r="F15" s="31"/>
      <c r="G15" s="980"/>
      <c r="H15" s="981"/>
      <c r="I15" s="981"/>
      <c r="J15" s="976"/>
      <c r="K15" s="966"/>
      <c r="L15" s="967"/>
    </row>
    <row r="16" spans="1:13">
      <c r="A16" s="1022"/>
      <c r="B16" s="1014"/>
      <c r="C16" s="1014"/>
      <c r="D16" s="1014"/>
      <c r="E16" s="1015"/>
      <c r="F16" s="31"/>
      <c r="G16" s="980"/>
      <c r="H16" s="981"/>
      <c r="I16" s="981"/>
      <c r="J16" s="982"/>
      <c r="K16" s="964"/>
      <c r="L16" s="965"/>
    </row>
    <row r="17" spans="1:12" ht="78.75" customHeight="1">
      <c r="A17" s="1022"/>
      <c r="B17" s="1014"/>
      <c r="C17" s="1014"/>
      <c r="D17" s="1014"/>
      <c r="E17" s="1015"/>
      <c r="F17" s="31"/>
      <c r="G17" s="980"/>
      <c r="H17" s="981"/>
      <c r="I17" s="981"/>
      <c r="J17" s="976"/>
      <c r="K17" s="966"/>
      <c r="L17" s="967"/>
    </row>
    <row r="18" spans="1:12">
      <c r="A18" s="1022"/>
      <c r="B18" s="1014"/>
      <c r="C18" s="1014"/>
      <c r="D18" s="1014"/>
      <c r="E18" s="1015"/>
      <c r="F18" s="31"/>
      <c r="G18" s="968"/>
      <c r="H18" s="969"/>
      <c r="I18" s="970"/>
      <c r="J18" s="982"/>
      <c r="K18" s="964"/>
      <c r="L18" s="965"/>
    </row>
    <row r="19" spans="1:12" ht="30.75" customHeight="1">
      <c r="A19" s="1022"/>
      <c r="B19" s="1014"/>
      <c r="C19" s="1014"/>
      <c r="D19" s="1014"/>
      <c r="E19" s="1015"/>
      <c r="F19" s="31"/>
      <c r="G19" s="971"/>
      <c r="H19" s="972"/>
      <c r="I19" s="973"/>
      <c r="J19" s="976"/>
      <c r="K19" s="966"/>
      <c r="L19" s="967"/>
    </row>
    <row r="20" spans="1:12">
      <c r="A20" s="1022"/>
      <c r="B20" s="1014"/>
      <c r="C20" s="1014"/>
      <c r="D20" s="1014"/>
      <c r="E20" s="1015"/>
      <c r="F20" s="31"/>
      <c r="G20" s="980"/>
      <c r="H20" s="981"/>
      <c r="I20" s="981"/>
      <c r="J20" s="982"/>
      <c r="K20" s="964"/>
      <c r="L20" s="965"/>
    </row>
    <row r="21" spans="1:12" ht="45.75" customHeight="1">
      <c r="A21" s="1022"/>
      <c r="B21" s="1014"/>
      <c r="C21" s="1014"/>
      <c r="D21" s="1014"/>
      <c r="E21" s="1015"/>
      <c r="F21" s="31"/>
      <c r="G21" s="980"/>
      <c r="H21" s="981"/>
      <c r="I21" s="981"/>
      <c r="J21" s="976"/>
      <c r="K21" s="966"/>
      <c r="L21" s="967"/>
    </row>
    <row r="22" spans="1:12">
      <c r="A22" s="1022"/>
      <c r="B22" s="1014"/>
      <c r="C22" s="1014"/>
      <c r="D22" s="1014"/>
      <c r="E22" s="1015"/>
      <c r="F22" s="31"/>
      <c r="G22" s="980"/>
      <c r="H22" s="981"/>
      <c r="I22" s="981"/>
      <c r="J22" s="978"/>
      <c r="K22" s="976"/>
      <c r="L22" s="977"/>
    </row>
    <row r="23" spans="1:12" ht="34.5" customHeight="1">
      <c r="A23" s="1022"/>
      <c r="B23" s="1014"/>
      <c r="C23" s="1014"/>
      <c r="D23" s="1014"/>
      <c r="E23" s="1015"/>
      <c r="F23" s="31"/>
      <c r="G23" s="980"/>
      <c r="H23" s="981"/>
      <c r="I23" s="981"/>
      <c r="J23" s="979"/>
      <c r="K23" s="976"/>
      <c r="L23" s="977"/>
    </row>
    <row r="24" spans="1:12" ht="15" customHeight="1">
      <c r="A24" s="1022"/>
      <c r="B24" s="1014"/>
      <c r="C24" s="1014"/>
      <c r="D24" s="1014"/>
      <c r="E24" s="1015"/>
      <c r="F24" s="31"/>
      <c r="G24" s="980"/>
      <c r="H24" s="981"/>
      <c r="I24" s="981"/>
      <c r="J24" s="982"/>
      <c r="K24" s="1043"/>
      <c r="L24" s="1003"/>
    </row>
    <row r="25" spans="1:12" ht="30" customHeight="1" thickBot="1">
      <c r="A25" s="1023"/>
      <c r="B25" s="1016"/>
      <c r="C25" s="1016"/>
      <c r="D25" s="1016"/>
      <c r="E25" s="1017"/>
      <c r="F25" s="31"/>
      <c r="G25" s="991"/>
      <c r="H25" s="992"/>
      <c r="I25" s="992"/>
      <c r="J25" s="1029"/>
      <c r="K25" s="1044"/>
      <c r="L25" s="1006"/>
    </row>
    <row r="27" spans="1:12" ht="18.75" customHeight="1">
      <c r="E27" s="261" t="s">
        <v>447</v>
      </c>
      <c r="F27" s="261"/>
      <c r="G27" s="261"/>
      <c r="H27" s="261"/>
      <c r="I27" s="261"/>
    </row>
    <row r="28" spans="1:12" ht="6" customHeight="1">
      <c r="E28" s="480"/>
      <c r="F28" s="480"/>
      <c r="G28" s="480"/>
      <c r="H28" s="480"/>
      <c r="I28" s="480"/>
    </row>
    <row r="29" spans="1:12" s="20" customFormat="1" ht="21" customHeight="1" thickBot="1">
      <c r="B29" s="52" t="s">
        <v>448</v>
      </c>
      <c r="C29" s="52"/>
      <c r="D29" s="52"/>
      <c r="E29" s="52"/>
      <c r="F29" s="52"/>
      <c r="G29" s="52"/>
      <c r="H29" s="52"/>
      <c r="I29" s="52"/>
      <c r="J29" s="52"/>
      <c r="K29" s="52"/>
      <c r="L29" s="52"/>
    </row>
    <row r="30" spans="1:12" ht="6" customHeight="1" thickBot="1">
      <c r="B30" s="51"/>
    </row>
    <row r="31" spans="1:12" ht="21.75" customHeight="1" thickBot="1">
      <c r="B31" s="987" t="s">
        <v>444</v>
      </c>
      <c r="C31" s="988"/>
      <c r="D31" s="988"/>
      <c r="E31" s="990"/>
      <c r="F31" s="53"/>
      <c r="G31" s="987" t="s">
        <v>449</v>
      </c>
      <c r="H31" s="988"/>
      <c r="I31" s="989"/>
      <c r="J31" s="479" t="s">
        <v>450</v>
      </c>
      <c r="K31" s="1042" t="s">
        <v>446</v>
      </c>
      <c r="L31" s="990"/>
    </row>
    <row r="32" spans="1:12" ht="14.25" customHeight="1">
      <c r="A32" s="984" t="s">
        <v>451</v>
      </c>
      <c r="B32" s="999"/>
      <c r="C32" s="1000"/>
      <c r="D32" s="1000"/>
      <c r="E32" s="1001"/>
      <c r="F32" s="31"/>
      <c r="G32" s="1018"/>
      <c r="H32" s="1019"/>
      <c r="I32" s="1020"/>
      <c r="J32" s="1041"/>
      <c r="K32" s="1031"/>
      <c r="L32" s="1032"/>
    </row>
    <row r="33" spans="1:12" ht="30" customHeight="1">
      <c r="A33" s="985"/>
      <c r="B33" s="971"/>
      <c r="C33" s="972"/>
      <c r="D33" s="972"/>
      <c r="E33" s="1002"/>
      <c r="F33" s="31"/>
      <c r="G33" s="1011"/>
      <c r="H33" s="1012"/>
      <c r="I33" s="1013"/>
      <c r="J33" s="1027"/>
      <c r="K33" s="966"/>
      <c r="L33" s="967"/>
    </row>
    <row r="34" spans="1:12">
      <c r="A34" s="985"/>
      <c r="B34" s="1008"/>
      <c r="C34" s="1009"/>
      <c r="D34" s="1009"/>
      <c r="E34" s="965"/>
      <c r="F34" s="31"/>
      <c r="G34" s="1008"/>
      <c r="H34" s="1009"/>
      <c r="I34" s="1010"/>
      <c r="J34" s="1028"/>
      <c r="K34" s="964"/>
      <c r="L34" s="965"/>
    </row>
    <row r="35" spans="1:12" ht="30" customHeight="1">
      <c r="A35" s="985"/>
      <c r="B35" s="1011"/>
      <c r="C35" s="1012"/>
      <c r="D35" s="1012"/>
      <c r="E35" s="967"/>
      <c r="F35" s="31"/>
      <c r="G35" s="1011"/>
      <c r="H35" s="1012"/>
      <c r="I35" s="1013"/>
      <c r="J35" s="1027"/>
      <c r="K35" s="966"/>
      <c r="L35" s="967"/>
    </row>
    <row r="36" spans="1:12">
      <c r="A36" s="985"/>
      <c r="B36" s="993"/>
      <c r="C36" s="994"/>
      <c r="D36" s="994"/>
      <c r="E36" s="1003"/>
      <c r="F36" s="31"/>
      <c r="G36" s="1008"/>
      <c r="H36" s="1009"/>
      <c r="I36" s="1010"/>
      <c r="J36" s="1026"/>
      <c r="K36" s="964"/>
      <c r="L36" s="965"/>
    </row>
    <row r="37" spans="1:12" ht="45" customHeight="1">
      <c r="A37" s="985"/>
      <c r="B37" s="996"/>
      <c r="C37" s="997"/>
      <c r="D37" s="997"/>
      <c r="E37" s="1025"/>
      <c r="F37" s="31"/>
      <c r="G37" s="1011"/>
      <c r="H37" s="1012"/>
      <c r="I37" s="1013"/>
      <c r="J37" s="1027"/>
      <c r="K37" s="966"/>
      <c r="L37" s="967"/>
    </row>
    <row r="38" spans="1:12">
      <c r="A38" s="985"/>
      <c r="B38" s="993"/>
      <c r="C38" s="994"/>
      <c r="D38" s="994"/>
      <c r="E38" s="1003"/>
      <c r="F38" s="31"/>
      <c r="G38" s="993"/>
      <c r="H38" s="994"/>
      <c r="I38" s="995"/>
      <c r="J38" s="1026"/>
      <c r="K38" s="1043"/>
      <c r="L38" s="1003"/>
    </row>
    <row r="39" spans="1:12">
      <c r="A39" s="985"/>
      <c r="B39" s="996"/>
      <c r="C39" s="997"/>
      <c r="D39" s="997"/>
      <c r="E39" s="1025"/>
      <c r="F39" s="31"/>
      <c r="G39" s="996"/>
      <c r="H39" s="997"/>
      <c r="I39" s="998"/>
      <c r="J39" s="1027"/>
      <c r="K39" s="1045"/>
      <c r="L39" s="1025"/>
    </row>
    <row r="40" spans="1:12">
      <c r="A40" s="985"/>
      <c r="B40" s="993"/>
      <c r="C40" s="994"/>
      <c r="D40" s="994"/>
      <c r="E40" s="1003"/>
      <c r="F40" s="31"/>
      <c r="G40" s="993"/>
      <c r="H40" s="994"/>
      <c r="I40" s="995"/>
      <c r="J40" s="1026"/>
      <c r="K40" s="1043"/>
      <c r="L40" s="1003"/>
    </row>
    <row r="41" spans="1:12">
      <c r="A41" s="985"/>
      <c r="B41" s="996"/>
      <c r="C41" s="997"/>
      <c r="D41" s="997"/>
      <c r="E41" s="1025"/>
      <c r="F41" s="31"/>
      <c r="G41" s="996"/>
      <c r="H41" s="997"/>
      <c r="I41" s="998"/>
      <c r="J41" s="1027"/>
      <c r="K41" s="1045"/>
      <c r="L41" s="1025"/>
    </row>
    <row r="42" spans="1:12">
      <c r="A42" s="985"/>
      <c r="B42" s="993"/>
      <c r="C42" s="994"/>
      <c r="D42" s="994"/>
      <c r="E42" s="1003"/>
      <c r="F42" s="31"/>
      <c r="G42" s="993"/>
      <c r="H42" s="994"/>
      <c r="I42" s="995"/>
      <c r="J42" s="1026"/>
      <c r="K42" s="1043"/>
      <c r="L42" s="1003"/>
    </row>
    <row r="43" spans="1:12" ht="15.75" thickBot="1">
      <c r="A43" s="986"/>
      <c r="B43" s="1004"/>
      <c r="C43" s="1005"/>
      <c r="D43" s="1005"/>
      <c r="E43" s="1006"/>
      <c r="F43" s="31"/>
      <c r="G43" s="1004"/>
      <c r="H43" s="1005"/>
      <c r="I43" s="1007"/>
      <c r="J43" s="1040"/>
      <c r="K43" s="1044"/>
      <c r="L43" s="1006"/>
    </row>
  </sheetData>
  <sheetProtection password="CFC9" sheet="1"/>
  <mergeCells count="66">
    <mergeCell ref="J42:J43"/>
    <mergeCell ref="J32:J33"/>
    <mergeCell ref="K31:L31"/>
    <mergeCell ref="K24:L25"/>
    <mergeCell ref="K34:L35"/>
    <mergeCell ref="K40:L41"/>
    <mergeCell ref="K42:L43"/>
    <mergeCell ref="K36:L37"/>
    <mergeCell ref="K38:L39"/>
    <mergeCell ref="K32:L33"/>
    <mergeCell ref="B2:L2"/>
    <mergeCell ref="C4:D4"/>
    <mergeCell ref="K14:L15"/>
    <mergeCell ref="K16:L17"/>
    <mergeCell ref="E3:I3"/>
    <mergeCell ref="J3:K3"/>
    <mergeCell ref="E4:I4"/>
    <mergeCell ref="J4:K4"/>
    <mergeCell ref="E6:I6"/>
    <mergeCell ref="C3:D3"/>
    <mergeCell ref="D5:J5"/>
    <mergeCell ref="B13:E13"/>
    <mergeCell ref="B14:E15"/>
    <mergeCell ref="B10:L11"/>
    <mergeCell ref="K13:L13"/>
    <mergeCell ref="B18:E19"/>
    <mergeCell ref="B22:E23"/>
    <mergeCell ref="B20:E21"/>
    <mergeCell ref="J20:J21"/>
    <mergeCell ref="G40:I41"/>
    <mergeCell ref="J18:J19"/>
    <mergeCell ref="B38:E39"/>
    <mergeCell ref="B40:E41"/>
    <mergeCell ref="J40:J41"/>
    <mergeCell ref="J38:J39"/>
    <mergeCell ref="B34:E35"/>
    <mergeCell ref="G34:I35"/>
    <mergeCell ref="J34:J35"/>
    <mergeCell ref="B36:E37"/>
    <mergeCell ref="J24:J25"/>
    <mergeCell ref="J36:J37"/>
    <mergeCell ref="A32:A43"/>
    <mergeCell ref="G31:I31"/>
    <mergeCell ref="G20:I21"/>
    <mergeCell ref="G22:I23"/>
    <mergeCell ref="B31:E31"/>
    <mergeCell ref="G24:I25"/>
    <mergeCell ref="G38:I39"/>
    <mergeCell ref="B32:E33"/>
    <mergeCell ref="B42:E43"/>
    <mergeCell ref="G42:I43"/>
    <mergeCell ref="G36:I37"/>
    <mergeCell ref="B24:E25"/>
    <mergeCell ref="G32:I33"/>
    <mergeCell ref="A14:A25"/>
    <mergeCell ref="B16:E17"/>
    <mergeCell ref="G14:I15"/>
    <mergeCell ref="K18:L19"/>
    <mergeCell ref="G18:I19"/>
    <mergeCell ref="G13:I13"/>
    <mergeCell ref="K22:L23"/>
    <mergeCell ref="K20:L21"/>
    <mergeCell ref="J22:J23"/>
    <mergeCell ref="G16:I17"/>
    <mergeCell ref="J16:J17"/>
    <mergeCell ref="J14:J15"/>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70" orientation="landscape" r:id="rId1"/>
  <headerFooter alignWithMargins="0">
    <oddFooter>&amp;L&amp;F&amp;C&amp;A&amp;RV1.0          &amp;D</oddFooter>
  </headerFooter>
  <ignoredErrors>
    <ignoredError sqref="C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B1:Q42"/>
  <sheetViews>
    <sheetView showGridLines="0" topLeftCell="A21" zoomScale="90" zoomScaleNormal="90" workbookViewId="0">
      <selection activeCell="D29" sqref="D29:G29"/>
    </sheetView>
  </sheetViews>
  <sheetFormatPr defaultColWidth="9.140625" defaultRowHeight="11.25"/>
  <cols>
    <col min="1" max="1" width="1.140625" style="20" customWidth="1"/>
    <col min="2" max="2" width="19.28515625" style="20" customWidth="1"/>
    <col min="3" max="3" width="1.140625" style="20" customWidth="1"/>
    <col min="4" max="4" width="17.140625" style="20" customWidth="1"/>
    <col min="5" max="5" width="17.5703125" style="20" customWidth="1"/>
    <col min="6" max="6" width="9.7109375" style="20" customWidth="1"/>
    <col min="7" max="7" width="13" style="20" customWidth="1"/>
    <col min="8" max="8" width="4.28515625" style="20" customWidth="1"/>
    <col min="9" max="9" width="15.85546875" style="20" customWidth="1"/>
    <col min="10" max="10" width="3.5703125" style="20" customWidth="1"/>
    <col min="11" max="11" width="7.5703125" style="21" customWidth="1"/>
    <col min="12" max="12" width="16.7109375" style="20" customWidth="1"/>
    <col min="13" max="13" width="12" style="20" customWidth="1"/>
    <col min="14" max="14" width="5.42578125" style="20" customWidth="1"/>
    <col min="15" max="15" width="2.5703125" style="20" customWidth="1"/>
    <col min="16" max="16384" width="9.140625" style="20"/>
  </cols>
  <sheetData>
    <row r="1" spans="2:17" ht="38.25" customHeight="1"/>
    <row r="2" spans="2:17" customFormat="1" ht="27.75" customHeight="1">
      <c r="B2" s="840" t="str">
        <f>+"Панель показателей:  "&amp;"  "&amp;IF(+'Ввод данных'!B4="Выберите","",'Ввод данных'!B4&amp;" - ")&amp;IF('Ввод данных'!F6="Выберите","",'Ввод данных'!F6)</f>
        <v>Панель показателей:    Кыргызстан - ВИЧ/СПИД/ТБ</v>
      </c>
      <c r="C2" s="840"/>
      <c r="D2" s="840"/>
      <c r="E2" s="840"/>
      <c r="F2" s="840"/>
      <c r="G2" s="840"/>
      <c r="H2" s="840"/>
      <c r="I2" s="840"/>
      <c r="J2" s="840"/>
      <c r="K2" s="840"/>
      <c r="L2" s="840"/>
      <c r="M2" s="840"/>
      <c r="N2" s="840"/>
      <c r="O2" s="840"/>
      <c r="P2" s="840"/>
      <c r="Q2" s="840"/>
    </row>
    <row r="3" spans="2:17" customFormat="1" ht="18.75">
      <c r="B3" s="90">
        <f>+IF('Ввод данных'!F8="Выберите","",'Ввод данных'!F8)</f>
        <v>0</v>
      </c>
      <c r="C3" s="845"/>
      <c r="D3" s="845"/>
      <c r="E3" s="596"/>
      <c r="F3" s="596"/>
      <c r="G3" s="596"/>
      <c r="H3" s="596"/>
      <c r="I3" s="596"/>
      <c r="J3" s="596"/>
      <c r="K3" s="596"/>
      <c r="L3" s="90" t="str">
        <f>+'Ввод данных'!A16</f>
        <v>Отчетный период</v>
      </c>
      <c r="M3" s="140" t="str">
        <f>+'Ввод данных'!B16</f>
        <v>P1</v>
      </c>
      <c r="N3" s="140"/>
      <c r="O3" s="20"/>
    </row>
    <row r="4" spans="2:17" customFormat="1" ht="15">
      <c r="B4" s="266" t="str">
        <f>+'Ввод данных'!A12</f>
        <v>Последняя оценка:</v>
      </c>
      <c r="C4" s="873" t="str">
        <f>+IF('Ввод данных'!B12="Выберите","",'Ввод данных'!B12)</f>
        <v>Пожалуйста выберите</v>
      </c>
      <c r="D4" s="873"/>
      <c r="E4" s="844" t="str">
        <f>+'Ввод данных'!B8</f>
        <v>ПРООН</v>
      </c>
      <c r="F4" s="844"/>
      <c r="G4" s="844"/>
      <c r="H4" s="844"/>
      <c r="I4" s="844"/>
      <c r="J4" s="844"/>
      <c r="K4" s="844"/>
      <c r="L4" s="90" t="str">
        <f>+'Ввод данных'!C16</f>
        <v>с:</v>
      </c>
      <c r="M4" s="141">
        <f>+IF(ISBLANK('Ввод данных'!D16),"",'Ввод данных'!D16)</f>
        <v>44197</v>
      </c>
      <c r="N4" s="141"/>
      <c r="O4" s="20"/>
    </row>
    <row r="5" spans="2:17" customFormat="1" ht="18.75" customHeight="1">
      <c r="B5" s="90"/>
      <c r="C5" s="90"/>
      <c r="D5" s="88"/>
      <c r="E5" s="844"/>
      <c r="F5" s="844"/>
      <c r="G5" s="844"/>
      <c r="H5" s="844"/>
      <c r="I5" s="844"/>
      <c r="J5" s="844"/>
      <c r="K5" s="844"/>
      <c r="L5" s="90" t="str">
        <f>+'Ввод данных'!E16</f>
        <v>до:</v>
      </c>
      <c r="M5" s="141">
        <f>+IF(ISBLANK('Ввод данных'!F16),"",'Ввод данных'!F16)</f>
        <v>44561</v>
      </c>
      <c r="N5" s="141"/>
    </row>
    <row r="6" spans="2:17" customFormat="1" ht="22.5" customHeight="1">
      <c r="B6" s="15"/>
      <c r="C6" s="90"/>
      <c r="D6" s="91"/>
      <c r="E6" s="847" t="s">
        <v>452</v>
      </c>
      <c r="F6" s="847"/>
      <c r="G6" s="847"/>
      <c r="H6" s="847"/>
      <c r="I6" s="847"/>
      <c r="J6" s="847"/>
      <c r="K6" s="847"/>
    </row>
    <row r="7" spans="2:17" ht="4.5" customHeight="1">
      <c r="B7" s="97"/>
      <c r="C7" s="97"/>
      <c r="D7" s="97"/>
      <c r="E7" s="97"/>
      <c r="F7" s="97"/>
      <c r="G7" s="97"/>
      <c r="H7" s="97"/>
      <c r="I7" s="97"/>
      <c r="J7" s="97"/>
      <c r="K7" s="97"/>
      <c r="L7" s="98"/>
      <c r="M7" s="98"/>
      <c r="N7" s="99"/>
    </row>
    <row r="8" spans="2:17" ht="21" customHeight="1" thickBot="1">
      <c r="B8" s="1077" t="s">
        <v>453</v>
      </c>
      <c r="C8" s="1077"/>
      <c r="D8" s="1077"/>
      <c r="E8" s="1077"/>
      <c r="F8" s="1077"/>
      <c r="G8" s="1077"/>
      <c r="H8" s="1077"/>
      <c r="I8" s="1077"/>
      <c r="J8" s="1077"/>
      <c r="K8" s="1077"/>
      <c r="L8" s="1077"/>
      <c r="M8" s="1077"/>
      <c r="N8" s="1077"/>
    </row>
    <row r="9" spans="2:17" ht="3.75" customHeight="1" thickBot="1">
      <c r="B9" s="97"/>
      <c r="C9" s="97"/>
      <c r="D9" s="97"/>
      <c r="E9" s="97"/>
      <c r="F9" s="97"/>
      <c r="G9" s="97"/>
      <c r="H9" s="97"/>
      <c r="I9" s="97"/>
      <c r="J9" s="97"/>
      <c r="K9" s="97"/>
      <c r="L9" s="98"/>
      <c r="M9" s="98"/>
      <c r="N9" s="99"/>
    </row>
    <row r="10" spans="2:17" s="22" customFormat="1" ht="25.5" customHeight="1" thickBot="1">
      <c r="B10" s="1089" t="s">
        <v>259</v>
      </c>
      <c r="C10" s="1090"/>
      <c r="D10" s="1078" t="s">
        <v>454</v>
      </c>
      <c r="E10" s="1079"/>
      <c r="F10" s="1079"/>
      <c r="G10" s="1080"/>
      <c r="H10" s="102"/>
      <c r="I10" s="1078" t="s">
        <v>452</v>
      </c>
      <c r="J10" s="1079"/>
      <c r="K10" s="1079"/>
      <c r="L10" s="1079"/>
      <c r="M10" s="1079"/>
      <c r="N10" s="1080"/>
    </row>
    <row r="11" spans="2:17" s="22" customFormat="1" ht="28.5" customHeight="1">
      <c r="B11" s="238" t="s">
        <v>455</v>
      </c>
      <c r="C11" s="119"/>
      <c r="D11" s="1083" t="str">
        <f>IF(ISBLANK(Финансирование!C9),"",(Финансирование!C9))</f>
        <v xml:space="preserve">ГФ в отчетном периоде произвел выплату двумя траншами на общую сумму 18 761 018$.  Данная сумма включает в себя выплату на буферный период январь-июнь 2022 г в размере бюджета 8 029 062$. Итого, ГФ выплатил 55% от кумулятивного бюджета </v>
      </c>
      <c r="E11" s="1084"/>
      <c r="F11" s="1084"/>
      <c r="G11" s="1085"/>
      <c r="H11" s="125"/>
      <c r="I11" s="1091"/>
      <c r="J11" s="1092"/>
      <c r="K11" s="1092"/>
      <c r="L11" s="1092"/>
      <c r="M11" s="1092"/>
      <c r="N11" s="1093"/>
    </row>
    <row r="12" spans="2:17" s="22" customFormat="1" ht="27.75" customHeight="1">
      <c r="B12" s="239" t="s">
        <v>456</v>
      </c>
      <c r="C12" s="120"/>
      <c r="D12" s="1055" t="str">
        <f>IF(ISBLANK(Финансирование!C23),"",(Финансирование!C23))</f>
        <v xml:space="preserve">Расходы  связаны с обеспечением всех направлений деятельности программы по задачам. За отчетный период было израсходовано  53% выделенного бюджета согласно фактическим потребностям. При этом на конец отчетного периода имеются финансовые обязательства на 2 946 982$, с учетом которых освоение будет 80%. </v>
      </c>
      <c r="E12" s="1055"/>
      <c r="F12" s="1055"/>
      <c r="G12" s="1056"/>
      <c r="H12" s="125"/>
      <c r="I12" s="1052"/>
      <c r="J12" s="1053"/>
      <c r="K12" s="1053"/>
      <c r="L12" s="1053"/>
      <c r="M12" s="1053"/>
      <c r="N12" s="1054"/>
    </row>
    <row r="13" spans="2:17" s="22" customFormat="1" ht="26.25" customHeight="1">
      <c r="B13" s="239" t="s">
        <v>457</v>
      </c>
      <c r="C13" s="120"/>
      <c r="D13" s="1049" t="str">
        <f>IF(ISBLANK(Финансирование!K9),"",(Финансирование!K9))</f>
        <v xml:space="preserve">В отчетном периоде ГФ произвел выплату согласно утвержденного годового графика выплат.
Расходы ОП составили 3 823 162$. При этом имеются финансовые обязательства, в основном, по закупкам товаров медицинского назначения и медицинского оборудования, лекарственных средств и фармацевтических препаратов, GMS  на 31 декабря 2021 в 2 946 982$. Итого за текущий период с учетом обязательств освоено 80% выделенных средств на ОП. В текущем периоде ПРООН произвел выплаты 24 СП на общую сумму в 1 971 063$ по запросу от СП в рамках 38 подписанных Соглашений и бюджетов. </v>
      </c>
      <c r="E13" s="1050"/>
      <c r="F13" s="1050"/>
      <c r="G13" s="1051"/>
      <c r="H13" s="125"/>
      <c r="I13" s="1052"/>
      <c r="J13" s="1053"/>
      <c r="K13" s="1053"/>
      <c r="L13" s="1053"/>
      <c r="M13" s="1053"/>
      <c r="N13" s="1054"/>
    </row>
    <row r="14" spans="2:17" s="22" customFormat="1" ht="28.5" customHeight="1" thickBot="1">
      <c r="B14" s="240" t="s">
        <v>458</v>
      </c>
      <c r="C14" s="121"/>
      <c r="D14" s="1081" t="str">
        <f>IF(ISBLANK(Финансирование!K23),"",(Финансирование!K23))</f>
        <v>В отчетном периоде, в виду изменений в отчетности в ГФ, а также внедрения сдачи отчета через Портал ГФ, дата предоставления отчета была установлена 26 апреля 2022г. ОП предоставил отчет в ГФ в установленные сроки, 26 апреля 2022 г.</v>
      </c>
      <c r="E14" s="1081"/>
      <c r="F14" s="1081"/>
      <c r="G14" s="1082"/>
      <c r="H14" s="125"/>
      <c r="I14" s="1086"/>
      <c r="J14" s="1087"/>
      <c r="K14" s="1087"/>
      <c r="L14" s="1087"/>
      <c r="M14" s="1087"/>
      <c r="N14" s="1088"/>
    </row>
    <row r="15" spans="2:17" s="22" customFormat="1" ht="4.5" customHeight="1">
      <c r="B15" s="122"/>
      <c r="C15" s="123"/>
      <c r="D15" s="124"/>
      <c r="E15" s="124"/>
      <c r="F15" s="124"/>
      <c r="G15" s="124"/>
      <c r="H15" s="125"/>
      <c r="I15" s="126"/>
      <c r="J15" s="126"/>
      <c r="K15" s="126"/>
      <c r="L15" s="126"/>
      <c r="M15" s="126"/>
      <c r="N15" s="126"/>
    </row>
    <row r="16" spans="2:17" ht="21" customHeight="1" thickBot="1">
      <c r="B16" s="1077" t="s">
        <v>459</v>
      </c>
      <c r="C16" s="1077"/>
      <c r="D16" s="1077"/>
      <c r="E16" s="1077"/>
      <c r="F16" s="1077"/>
      <c r="G16" s="1077"/>
      <c r="H16" s="1077"/>
      <c r="I16" s="1077"/>
      <c r="J16" s="1077"/>
      <c r="K16" s="1077"/>
      <c r="L16" s="1077"/>
      <c r="M16" s="1077"/>
      <c r="N16" s="1077"/>
    </row>
    <row r="17" spans="2:14" s="22" customFormat="1" ht="3.75" customHeight="1" thickBot="1">
      <c r="B17" s="108"/>
      <c r="C17" s="109"/>
      <c r="D17" s="110"/>
      <c r="E17" s="111"/>
      <c r="F17" s="112"/>
      <c r="G17" s="112"/>
      <c r="H17" s="113"/>
      <c r="I17" s="114"/>
      <c r="J17" s="115"/>
      <c r="K17" s="104"/>
      <c r="L17" s="105"/>
      <c r="M17" s="106"/>
      <c r="N17" s="107"/>
    </row>
    <row r="18" spans="2:14" s="22" customFormat="1" ht="22.5" customHeight="1" thickBot="1">
      <c r="B18" s="1090" t="s">
        <v>275</v>
      </c>
      <c r="C18" s="1094"/>
      <c r="D18" s="1061" t="s">
        <v>454</v>
      </c>
      <c r="E18" s="1062"/>
      <c r="F18" s="1062"/>
      <c r="G18" s="1063"/>
      <c r="H18" s="102"/>
      <c r="I18" s="1057" t="s">
        <v>452</v>
      </c>
      <c r="J18" s="1058"/>
      <c r="K18" s="1058"/>
      <c r="L18" s="1058"/>
      <c r="M18" s="1059"/>
      <c r="N18" s="1060"/>
    </row>
    <row r="19" spans="2:14" s="22" customFormat="1" ht="48.75" customHeight="1">
      <c r="B19" s="241" t="s">
        <v>460</v>
      </c>
      <c r="C19" s="127"/>
      <c r="D19" s="1067" t="str">
        <f>IF(ISBLANK(Управление!C8),"",(Управление!C8))</f>
        <v xml:space="preserve">По обоим компонентам предварительных условий (ПУ) нет </v>
      </c>
      <c r="E19" s="1068"/>
      <c r="F19" s="1068"/>
      <c r="G19" s="1069"/>
      <c r="H19" s="128"/>
      <c r="I19" s="1071"/>
      <c r="J19" s="1072"/>
      <c r="K19" s="1072"/>
      <c r="L19" s="1072"/>
      <c r="M19" s="1072"/>
      <c r="N19" s="1073"/>
    </row>
    <row r="20" spans="2:14" ht="30.75" customHeight="1">
      <c r="B20" s="242" t="s">
        <v>461</v>
      </c>
      <c r="C20" s="129"/>
      <c r="D20" s="1049" t="str">
        <f>IF(ISBLANK(Управление!J8),"",(Управление!J8))</f>
        <v xml:space="preserve">По ВИЧ\ТБ  гранту всего 24  штатные позиции, из них 5 - по компоненту ВИЧ,  2 - по компоненту ТБ.,  оставшиеся  17   относятся к обоим компонентам,  23 штатные позиции было заполнено, 1 вакантно (Специалист по МиО ВИЧ) </v>
      </c>
      <c r="E20" s="1050"/>
      <c r="F20" s="1050"/>
      <c r="G20" s="1070"/>
      <c r="H20" s="128"/>
      <c r="I20" s="1064"/>
      <c r="J20" s="1065"/>
      <c r="K20" s="1065"/>
      <c r="L20" s="1065"/>
      <c r="M20" s="1065"/>
      <c r="N20" s="1066"/>
    </row>
    <row r="21" spans="2:14" ht="31.5" customHeight="1">
      <c r="B21" s="243" t="s">
        <v>462</v>
      </c>
      <c r="C21" s="129"/>
      <c r="D21" s="1049" t="e">
        <f>IF(ISBLANK(Управление!#REF!),"",(Управление!#REF!))</f>
        <v>#REF!</v>
      </c>
      <c r="E21" s="1050"/>
      <c r="F21" s="1050"/>
      <c r="G21" s="1070"/>
      <c r="H21" s="128"/>
      <c r="I21" s="1064"/>
      <c r="J21" s="1065"/>
      <c r="K21" s="1065"/>
      <c r="L21" s="1065"/>
      <c r="M21" s="1065"/>
      <c r="N21" s="1066"/>
    </row>
    <row r="22" spans="2:14" ht="34.5" customHeight="1">
      <c r="B22" s="243" t="s">
        <v>463</v>
      </c>
      <c r="C22" s="129"/>
      <c r="D22" s="1049" t="e">
        <f>IF(ISBLANK(Управление!#REF!),"",(Управление!#REF!))</f>
        <v>#REF!</v>
      </c>
      <c r="E22" s="1050"/>
      <c r="F22" s="1050"/>
      <c r="G22" s="1070"/>
      <c r="H22" s="128"/>
      <c r="I22" s="1064"/>
      <c r="J22" s="1065"/>
      <c r="K22" s="1065"/>
      <c r="L22" s="1065"/>
      <c r="M22" s="1065"/>
      <c r="N22" s="1066"/>
    </row>
    <row r="23" spans="2:14" ht="33.75" customHeight="1">
      <c r="B23" s="243" t="s">
        <v>464</v>
      </c>
      <c r="C23" s="129"/>
      <c r="D23" s="1049" t="str">
        <f>IF(ISBLANK(Управление!C29),"",(Управление!C29))</f>
        <v>Медикаменты и ИМН закуплены согласно потребности на 2020 год. В расчетах потребности учтены текущий запас, ожидаемые поставки и наличие бюджета</v>
      </c>
      <c r="E23" s="1050"/>
      <c r="F23" s="1050"/>
      <c r="G23" s="1070"/>
      <c r="H23" s="128"/>
      <c r="I23" s="1064"/>
      <c r="J23" s="1065"/>
      <c r="K23" s="1065"/>
      <c r="L23" s="1065"/>
      <c r="M23" s="1065"/>
      <c r="N23" s="1066"/>
    </row>
    <row r="24" spans="2:14" ht="39.75" customHeight="1" thickBot="1">
      <c r="B24" s="244" t="s">
        <v>465</v>
      </c>
      <c r="C24" s="130"/>
      <c r="D24" s="1102" t="str">
        <f>IF(ISBLANK(Управление!J29),"",(Управление!J29))</f>
        <v xml:space="preserve">Запас  имеющихся  ПТП для лечения ЛУ-ТБ составляет от 9 до 48 месяцев. Большие запасы и запасы менее 12 месяцев относятся к препаратам группы "С" (по новой классификации ВОЗ), запас пиразинамида - 48 мес, данный препарат был закуплен до выхода новых рекомендаций ВОЗ об изменениях режимов лечения ЛУ-ТБ больных, в связи с чем его использование в индивидуальных режимах лечения ЛУ-ТБ снизилось, более того, прогнозируется еще большее снижение использования препартов группы "С" после  рекомендаций миссии GLC/ВОЗ проведенного в 2021 году.  Имеющийся запас препарата будет использован и ПРООН его не будет закупать, но поскольку невысокая необходимость в препаратах группы "С" будет оставаться, в дальнейшем  их закупка будет покрываться за счет гос.бюджета.  Во избежание возникновения ситуации истечения срока годности до полного использования препарата, пиразинамид будет использоваться для лечения чувствительного туберкулеза, так как входит в схему лечения чувствительного ТБ. Проблема потери протионамида, связанная с истечением срока годности до момента полного использования препарата все еще остается  и более того увеличивается количество к возможной потере, т.к. миссия  GLC, проходившая в 2021, категорически не рекомендовала его использование в схемах лечения согласно  рекомендациям ВОЗ ( очень низкая степень предполагаемого эффекта,  не включается в схемы лечения в сочетании с новыми ПТП (Bdq, Cfz, Lnz),  очень частые НЯ). Протионамид со сроком годности 31.10.2021 истек в количестве 3300 уп и есть риск истечения  со сроком годности. 31.07.2022 г, при текущем его расходе остается 8,5 месячный запас, что составляет 2100 уп.  Запас имеющегося имипенема составляет 9 месяцев, однако, вместе с ожидаемой поставкой составляет 25 месяцев, рисков перерыва в поставках нет, так как срок поставкив май 2022 года. Ситуация по запасам "новых" ПТП составляет 13-24 месяцев, за исключением претоманида, препарат поступил в конце июля 2021, набор пациентов на BPal режим начали с сентября,  расход препарата с каждым месяцем будет увеличиваться и запасы в месяцах будут меняться,  сроки годности соответствует срокам использования препаратов. Как говорилось ранее,  в период пандемии коронавирусной инфекции количество ЛУ ТБ больных, находящихся на лечении снизилось на 40-43%, соответсвенно, снизился  и расход ПТП, на основании проведенного анализа остатков были осуществлены изменения дат поставок некоторых ПТП. Запасы Genexpert картриджей составляют  при среднемесячном расходе 14 месяцев. ПАСК также относится к группе "С". Инъекционные препараты (капреомицин, канамицин, амикацин) выбыли из схем лечения. </v>
      </c>
      <c r="E24" s="1103"/>
      <c r="F24" s="1103"/>
      <c r="G24" s="1104"/>
      <c r="H24" s="128"/>
      <c r="I24" s="1095"/>
      <c r="J24" s="1096"/>
      <c r="K24" s="1096"/>
      <c r="L24" s="1096"/>
      <c r="M24" s="1096"/>
      <c r="N24" s="1097"/>
    </row>
    <row r="25" spans="2:14" ht="4.5" customHeight="1">
      <c r="B25" s="100"/>
      <c r="C25" s="101"/>
      <c r="D25" s="116"/>
      <c r="E25" s="117"/>
      <c r="F25" s="118"/>
      <c r="G25" s="118"/>
      <c r="H25" s="102"/>
      <c r="I25" s="117"/>
      <c r="J25" s="103"/>
      <c r="K25" s="104"/>
      <c r="L25" s="105"/>
      <c r="M25" s="106"/>
      <c r="N25" s="107"/>
    </row>
    <row r="26" spans="2:14" ht="21" customHeight="1" thickBot="1">
      <c r="B26" s="1077" t="s">
        <v>466</v>
      </c>
      <c r="C26" s="1077"/>
      <c r="D26" s="1077"/>
      <c r="E26" s="1077"/>
      <c r="F26" s="1077"/>
      <c r="G26" s="1077"/>
      <c r="H26" s="1077"/>
      <c r="I26" s="1077"/>
      <c r="J26" s="1077"/>
      <c r="K26" s="1077"/>
      <c r="L26" s="1077"/>
      <c r="M26" s="1077"/>
      <c r="N26" s="1077"/>
    </row>
    <row r="27" spans="2:14" ht="3.75" customHeight="1" thickBot="1">
      <c r="B27" s="100"/>
      <c r="C27" s="101"/>
      <c r="D27" s="116"/>
      <c r="E27" s="117"/>
      <c r="F27" s="118"/>
      <c r="G27" s="118"/>
      <c r="H27" s="102"/>
      <c r="I27" s="117"/>
      <c r="J27" s="103"/>
      <c r="K27" s="104"/>
      <c r="L27" s="105"/>
      <c r="M27" s="106"/>
      <c r="N27" s="107"/>
    </row>
    <row r="28" spans="2:14" ht="21.75" customHeight="1" thickBot="1">
      <c r="B28" s="1089" t="s">
        <v>467</v>
      </c>
      <c r="C28" s="1094"/>
      <c r="D28" s="1108" t="s">
        <v>454</v>
      </c>
      <c r="E28" s="1109"/>
      <c r="F28" s="1109"/>
      <c r="G28" s="1110"/>
      <c r="H28" s="102"/>
      <c r="I28" s="1108" t="s">
        <v>452</v>
      </c>
      <c r="J28" s="1109"/>
      <c r="K28" s="1109"/>
      <c r="L28" s="1109"/>
      <c r="M28" s="1109"/>
      <c r="N28" s="1110"/>
    </row>
    <row r="29" spans="2:14" ht="29.25" customHeight="1">
      <c r="B29" s="245" t="s">
        <v>468</v>
      </c>
      <c r="C29" s="131"/>
      <c r="D29" s="1111" t="str">
        <f>IF(ISBLANK(Программа!C36),"",(Программа!C36))</f>
        <v xml:space="preserve"> Основными причинами, по которым индикатор не достигнут, являются неаккуратность переноса данных в регистрационные формы и % ошибок при проведении GenExpert выше нормального показателя. </v>
      </c>
      <c r="E29" s="1112"/>
      <c r="F29" s="1112"/>
      <c r="G29" s="1113"/>
      <c r="H29" s="128"/>
      <c r="I29" s="1098"/>
      <c r="J29" s="1099"/>
      <c r="K29" s="1099"/>
      <c r="L29" s="1099"/>
      <c r="M29" s="1099"/>
      <c r="N29" s="1100"/>
    </row>
    <row r="30" spans="2:14" ht="21.95" customHeight="1">
      <c r="B30" s="246" t="s">
        <v>469</v>
      </c>
      <c r="C30" s="132"/>
      <c r="D30" s="1101" t="str">
        <f>IF(ISBLANK(Программа!G36),"",(Программа!G36))</f>
        <v xml:space="preserve">Снижение в выявлении РУ/МЛУ случаев, в первую очередь, связано с общей тенденцией в снижении выявления случаев ТБ: по сравнению с доковидным периодом, кол-во зарегистрированных РУ/МЛУ ТБ случаев снизилось на 30%. Основной причиной по-прежнему остается влияние пандемии как на работу системы здравоохранения, так и на установки и практики людей в отношении профилактики и обращения за медицинской помощью. </v>
      </c>
      <c r="E30" s="1075"/>
      <c r="F30" s="1075"/>
      <c r="G30" s="1076"/>
      <c r="H30" s="128"/>
      <c r="I30" s="1046"/>
      <c r="J30" s="1047"/>
      <c r="K30" s="1047"/>
      <c r="L30" s="1047"/>
      <c r="M30" s="1047"/>
      <c r="N30" s="1048"/>
    </row>
    <row r="31" spans="2:14" ht="21.95" customHeight="1">
      <c r="B31" s="246" t="s">
        <v>470</v>
      </c>
      <c r="C31" s="132"/>
      <c r="D31" s="1101" t="str">
        <f>IF(ISBLANK(Программа!M36),"",(Программа!M36))</f>
        <v xml:space="preserve"> Ключевыми факторами, внесшими вклад в достижение этого индикатора, являются улучшение системы передачи  лабораторных данных и функционирование системы транпортировки мокроты. </v>
      </c>
      <c r="E31" s="1075"/>
      <c r="F31" s="1075"/>
      <c r="G31" s="1076"/>
      <c r="H31" s="128"/>
      <c r="I31" s="1046"/>
      <c r="J31" s="1047"/>
      <c r="K31" s="1047"/>
      <c r="L31" s="1047"/>
      <c r="M31" s="1047"/>
      <c r="N31" s="1048"/>
    </row>
    <row r="32" spans="2:14" ht="21.95" customHeight="1">
      <c r="B32" s="247" t="s">
        <v>25</v>
      </c>
      <c r="C32" s="132"/>
      <c r="D32" s="1074" t="str">
        <f>IF(ISBLANK(Программа!L49),"",(Программа!L49))</f>
        <v>Из 2910 бактериологически подтвержденных ТБ случаев, зарегистрированных в отчетный период, 2737 имеют результат ТЛЧ как минимум к рифампицину (94%). 2211 из них имеют результат LPA (Хайн-теста) или стандартный ТЛЧ (МЖИТ и/или Л-Й), и 526 имеют только результат GeneXpert. Цель достигнута на 97%. Если сравнивать с предыдущим отчетным периодом, охват методом GeneXpert постоянно улучшается: 80% случаев легочного туберкулеза в 2018 были обследованы методом GeneXpert, и 90% - в 2019 году. Забор мокроты для обследования на GeneXpert осуществляется у всех легочных случаев ТБ. Мониторинговые визиты, проведенные в 2021 году, показали, что в некоторых случаях тест GeneXpert  был проведен, но результат не внесен в электронную БД, ТБ регистры и карты пациентов. Это в большей степени касается тех пациентов, которые проходили обследование в маленьких ТБ стационарах на юге КР. Проблема была обсуждена с НЦФ и областными центрами по борьбе с ТБ в декабре 2021 года. Доля нерезультативных тестов на GeneXpert составила 7% (цель – менее 5%); для того, чтобы улучшить ситуацию областные координаторы по системе транспортировки проводят регулярный мониторинг и тренинги на рабочем месте для персонала ПМСП.</v>
      </c>
      <c r="E32" s="1075"/>
      <c r="F32" s="1075"/>
      <c r="G32" s="1076"/>
      <c r="H32" s="128"/>
      <c r="I32" s="1046"/>
      <c r="J32" s="1047"/>
      <c r="K32" s="1047"/>
      <c r="L32" s="1047"/>
      <c r="M32" s="1047"/>
      <c r="N32" s="1048"/>
    </row>
    <row r="33" spans="2:14" ht="42.75" customHeight="1">
      <c r="B33" s="247" t="s">
        <v>40</v>
      </c>
      <c r="C33" s="132"/>
      <c r="D33" s="1074" t="str">
        <f>IF(ISBLANK(Программа!L50),"",(Программа!L50))</f>
        <v>В течение отчетного периода 4 кв 2020 – 3 кв 2021 года было зарегистрировано 914 бактериологически-подтвержденных РУ/МЛУ/ШЛУ ТБ, в то время как цель составляла 1697 случаев. Количество РУ/МЛУ ТБ случаев снизилось на 30% по сравнению в пре-КОВИДным периодом. Снижение в регистрации РУ-ТБ случаев отражает продолжающееся снижение в регистрации числа случаев туберкулеза, которое в большей степени связано с отношением и поведенческими практиками населения в обращении за медицинской помощью, которое сформировалось во время пандемии, и усиливающейся низкой настороженностью системы здравоохранения к выявлению ТБ случаев (Нет системы активного выявления случаев, слабая система обследования контактов).  В 2021 году ОР провел серию встреч с командой Национального Центра Фтизиатрии и с руководителями южных областных центров по борьбе с туберкулезом, чтобы обсудить меры по улучшению выявления туберкулеза среди населения. Новая Национальная Программа по ТБ, находящаяся в процессе разработки, включает активности по активному выявлению случаев.</v>
      </c>
      <c r="E33" s="1075"/>
      <c r="F33" s="1075"/>
      <c r="G33" s="1076"/>
      <c r="H33" s="128"/>
      <c r="I33" s="1117"/>
      <c r="J33" s="1118"/>
      <c r="K33" s="1118"/>
      <c r="L33" s="1118"/>
      <c r="M33" s="1118"/>
      <c r="N33" s="1119"/>
    </row>
    <row r="34" spans="2:14" ht="21.95" customHeight="1">
      <c r="B34" s="247" t="s">
        <v>41</v>
      </c>
      <c r="C34" s="132"/>
      <c r="D34" s="1074" t="str">
        <f>IF(ISBLANK(Программа!L51),"",(Программа!L51))</f>
        <v>976 РУ/МЛУ/ШЛУ ТБ случаев были диагностированы в отчетный период, 934 из низ были взяты на лечение препаратами второго ряда. Т.к. число зарегистрированных РУ/МЛУ/ШЛУ ТБ случаев существенно сократилось в 2020-2021 году, целевой показатель по этому индикатору не был достигнут. Среди взятых на лечение 871 случай – бактериологически подтвержденные, и 63 – клинически диагностированные (Риф-устойчивость была определена в предыдущем эпизоде). Охват лечением был улучшен: 96% диагностированных РУ/МЛУ/ШЛУ ТБ случаев начали лечение. Все схемы лечения основываются на последних рекомендациях ВОЗ: 755 (81%) пациентов были взяты на лечение с Бедаквилином, 139 (15%) взяты на короткие схемы лечения.  BPAL и модифицированные краткосрочные режимы были внедрены в рамках операционных исследований в 2021 году, 5 пациентов были взяты на лечение BPAL, и 39 – на модифицированные КР в 1-3 кв 2021 года.</v>
      </c>
      <c r="E34" s="1075"/>
      <c r="F34" s="1075"/>
      <c r="G34" s="1076"/>
      <c r="H34" s="128"/>
      <c r="I34" s="1046"/>
      <c r="J34" s="1047"/>
      <c r="K34" s="1047"/>
      <c r="L34" s="1047"/>
      <c r="M34" s="1047"/>
      <c r="N34" s="1048"/>
    </row>
    <row r="35" spans="2:14" ht="27.75" customHeight="1">
      <c r="B35" s="247" t="s">
        <v>42</v>
      </c>
      <c r="C35" s="162"/>
      <c r="D35" s="1074" t="e">
        <f>IF(ISBLANK(Программа!#REF!),"",(Программа!#REF!))</f>
        <v>#REF!</v>
      </c>
      <c r="E35" s="1075"/>
      <c r="F35" s="1075"/>
      <c r="G35" s="1076"/>
      <c r="H35" s="128"/>
      <c r="I35" s="1046"/>
      <c r="J35" s="1047"/>
      <c r="K35" s="1047"/>
      <c r="L35" s="1047"/>
      <c r="M35" s="1047"/>
      <c r="N35" s="1048"/>
    </row>
    <row r="36" spans="2:14" ht="21.95" customHeight="1">
      <c r="B36" s="247" t="s">
        <v>43</v>
      </c>
      <c r="C36" s="162"/>
      <c r="D36" s="1074" t="str">
        <f>IF(ISBLANK(Программа!L53),"",(Программа!L53))</f>
        <v xml:space="preserve">ОР инициировал дискуссию по обсуждению комментариев Технической обзорной панели (ТОП) на встрече СКК 26 октября 2021 года; результатом встречи стало решение направить письмо в МЗ КР с запросом организовать рабочую группу, МЗ КР номинировал ответственных сотрудников для реализации дальнейших мероприятий, но по факту рабочая группа так и не начала работу. Тем не менее, несколько мероприятий были выполнены с целью реализации Плана Перехода на амбулаторное лечение:   
• Постепенный переход по расширению амбулаторной помощи для ТБ пациентов: снижение количества ТБ стационаров с 25 в 2013 году 15 в 2021 (5 стационаров были закрыты в 2021 году); 
• Снижение общего количества: сокращение 450 коек в 2021 году, фактически кол-во коек в конце 2021 года составило 1 845 в сравнении с плановым показателем для 2021 года в 2100 коек. 
•Продвижение амбулаторного лечения: В 1-3 квартале 2021 года было зарегистрировано 3901 ТБ случаев, 3838 из них начали лечение, в т.ч. 689 из них – на амбулаторном уровне (17.9%).  Согласно процедурам МиО НЦФ, этот индикатор включает все ТБ случаи, которые начали лечение и провели в стационаре менее 30 дней в течение интенсивной фазы лечения. 
Основываясь на вышеобозначенном объяснении, ОР оценил выполнение этого показателя как «В процессе».
</v>
      </c>
      <c r="E36" s="1075"/>
      <c r="F36" s="1075"/>
      <c r="G36" s="1076"/>
      <c r="H36" s="128"/>
      <c r="I36" s="1046"/>
      <c r="J36" s="1047"/>
      <c r="K36" s="1047"/>
      <c r="L36" s="1047"/>
      <c r="M36" s="1047"/>
      <c r="N36" s="1048"/>
    </row>
    <row r="37" spans="2:14" ht="21.95" customHeight="1">
      <c r="B37" s="247" t="s">
        <v>44</v>
      </c>
      <c r="C37" s="162"/>
      <c r="D37" s="1074" t="str">
        <f>IF(ISBLANK(Программа!L54),"",(Программа!L54))</f>
        <v xml:space="preserve">Учитывая официальное обязательство страны перед Глобальным фондом в виде плана по улучшению лабораторно-диагностического потенциала на юге страны, представленного в рамках процесса рассмотрения замечаний ТОП (июль 2020 г.), ОР постоянно поднимал этот вопрос перед НПТ начиная с последнего квартала 2020 года. В связи с этим с начала 2021 года НТП направила несколько писем в Минздрав КР для принятия окончательного решения по вопросу - открыть в г.Ош полноценно функционирующую лабораторию, выполняющую весь спектр необходимых тестов на лекарственную чувствительность. В связи с эпидемиологической ситуацией этот вопрос не считался приоритетным для МЗ КР, и в феврале 2021 года ОР снова инициировал обсуждение этого вопроса с новым директором НЦФ, было предложено вместо планируемой закупки лабораторного модуля для национальной референс-лаборатории в рамках гранта C19RM, закупить ее для Ошской лаборатории. 
ПРООН инициировал сотрудничество с референс-лабораторией в Гаутинге (Германия) и с GIZ с целью разработать технические спецификации, обсудить дорожную карту процесса, и определить потребности в обучении, оборудовании, со-финансировании и т.д. Спецификации должны быть готовы в мае 2022 года. 
</v>
      </c>
      <c r="E37" s="1075"/>
      <c r="F37" s="1075"/>
      <c r="G37" s="1076"/>
      <c r="H37" s="128"/>
      <c r="I37" s="1046"/>
      <c r="J37" s="1047"/>
      <c r="K37" s="1047"/>
      <c r="L37" s="1047"/>
      <c r="M37" s="1047"/>
      <c r="N37" s="1048"/>
    </row>
    <row r="38" spans="2:14" ht="21.95" customHeight="1">
      <c r="B38" s="247" t="s">
        <v>45</v>
      </c>
      <c r="C38" s="162"/>
      <c r="D38" s="1074" t="e">
        <f>IF(ISBLANK(Программа!#REF!),"",(Программа!#REF!))</f>
        <v>#REF!</v>
      </c>
      <c r="E38" s="1075"/>
      <c r="F38" s="1075"/>
      <c r="G38" s="1076"/>
      <c r="H38" s="128"/>
      <c r="I38" s="1046"/>
      <c r="J38" s="1047"/>
      <c r="K38" s="1047"/>
      <c r="L38" s="1047"/>
      <c r="M38" s="1047"/>
      <c r="N38" s="1048"/>
    </row>
    <row r="39" spans="2:14" ht="21.95" customHeight="1">
      <c r="B39" s="247" t="s">
        <v>46</v>
      </c>
      <c r="C39" s="162"/>
      <c r="D39" s="1074" t="e">
        <f>IF(ISBLANK(Программа!#REF!),"",(Программа!#REF!))</f>
        <v>#REF!</v>
      </c>
      <c r="E39" s="1075"/>
      <c r="F39" s="1075"/>
      <c r="G39" s="1076"/>
      <c r="H39" s="128"/>
      <c r="I39" s="1046"/>
      <c r="J39" s="1047"/>
      <c r="K39" s="1047"/>
      <c r="L39" s="1047"/>
      <c r="M39" s="1047"/>
      <c r="N39" s="1048"/>
    </row>
    <row r="40" spans="2:14" ht="21.95" customHeight="1">
      <c r="B40" s="247" t="s">
        <v>47</v>
      </c>
      <c r="C40" s="162"/>
      <c r="D40" s="1074" t="e">
        <f>IF(ISBLANK(Программа!#REF!),"",(Программа!#REF!))</f>
        <v>#REF!</v>
      </c>
      <c r="E40" s="1075"/>
      <c r="F40" s="1075"/>
      <c r="G40" s="1076"/>
      <c r="H40" s="128"/>
      <c r="I40" s="1046"/>
      <c r="J40" s="1047"/>
      <c r="K40" s="1047"/>
      <c r="L40" s="1047"/>
      <c r="M40" s="1047"/>
      <c r="N40" s="1048"/>
    </row>
    <row r="41" spans="2:14" ht="21.95" customHeight="1" thickBot="1">
      <c r="B41" s="274" t="s">
        <v>48</v>
      </c>
      <c r="C41" s="133"/>
      <c r="D41" s="1105" t="e">
        <f>IF(ISBLANK(Программа!#REF!),"",(Программа!#REF!))</f>
        <v>#REF!</v>
      </c>
      <c r="E41" s="1106"/>
      <c r="F41" s="1106"/>
      <c r="G41" s="1107"/>
      <c r="H41" s="128"/>
      <c r="I41" s="1114"/>
      <c r="J41" s="1115"/>
      <c r="K41" s="1115"/>
      <c r="L41" s="1115"/>
      <c r="M41" s="1115"/>
      <c r="N41" s="1116"/>
    </row>
    <row r="42" spans="2:14" ht="14.25">
      <c r="B42" s="134"/>
      <c r="C42" s="134"/>
      <c r="D42" s="135"/>
      <c r="F42" s="134"/>
      <c r="G42" s="134"/>
      <c r="I42" s="136"/>
      <c r="K42" s="137"/>
      <c r="L42" s="137"/>
      <c r="M42" s="137"/>
      <c r="N42" s="137"/>
    </row>
  </sheetData>
  <sheetProtection password="CFC9" sheet="1"/>
  <mergeCells count="65">
    <mergeCell ref="D41:G41"/>
    <mergeCell ref="I28:N28"/>
    <mergeCell ref="D40:G40"/>
    <mergeCell ref="D34:G34"/>
    <mergeCell ref="D29:G29"/>
    <mergeCell ref="D28:G28"/>
    <mergeCell ref="I34:N34"/>
    <mergeCell ref="D35:G35"/>
    <mergeCell ref="I41:N41"/>
    <mergeCell ref="I35:N35"/>
    <mergeCell ref="I36:N36"/>
    <mergeCell ref="I37:N37"/>
    <mergeCell ref="I38:N38"/>
    <mergeCell ref="I40:N40"/>
    <mergeCell ref="I33:N33"/>
    <mergeCell ref="D31:G31"/>
    <mergeCell ref="D30:G30"/>
    <mergeCell ref="D32:G32"/>
    <mergeCell ref="D24:G24"/>
    <mergeCell ref="I30:N30"/>
    <mergeCell ref="I31:N31"/>
    <mergeCell ref="B26:N26"/>
    <mergeCell ref="D23:G23"/>
    <mergeCell ref="I21:N21"/>
    <mergeCell ref="I22:N22"/>
    <mergeCell ref="I23:N23"/>
    <mergeCell ref="I29:N29"/>
    <mergeCell ref="B2:Q2"/>
    <mergeCell ref="E5:K5"/>
    <mergeCell ref="E3:K3"/>
    <mergeCell ref="C4:D4"/>
    <mergeCell ref="E4:K4"/>
    <mergeCell ref="C3:D3"/>
    <mergeCell ref="D39:G39"/>
    <mergeCell ref="E6:K6"/>
    <mergeCell ref="B8:N8"/>
    <mergeCell ref="I10:N10"/>
    <mergeCell ref="B16:N16"/>
    <mergeCell ref="D14:G14"/>
    <mergeCell ref="D11:G11"/>
    <mergeCell ref="I14:N14"/>
    <mergeCell ref="B10:C10"/>
    <mergeCell ref="D10:G10"/>
    <mergeCell ref="I11:N11"/>
    <mergeCell ref="B18:C18"/>
    <mergeCell ref="B28:C28"/>
    <mergeCell ref="I24:N24"/>
    <mergeCell ref="I32:N32"/>
    <mergeCell ref="D22:G22"/>
    <mergeCell ref="I39:N39"/>
    <mergeCell ref="D13:G13"/>
    <mergeCell ref="I12:N12"/>
    <mergeCell ref="D12:G12"/>
    <mergeCell ref="I13:N13"/>
    <mergeCell ref="I18:N18"/>
    <mergeCell ref="D18:G18"/>
    <mergeCell ref="I20:N20"/>
    <mergeCell ref="D19:G19"/>
    <mergeCell ref="D21:G21"/>
    <mergeCell ref="D20:G20"/>
    <mergeCell ref="I19:N19"/>
    <mergeCell ref="D38:G38"/>
    <mergeCell ref="D37:G37"/>
    <mergeCell ref="D36:G36"/>
    <mergeCell ref="D33:G33"/>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8" scale="57"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BAFB83A586EF4F94E7F07E84C3D94B" ma:contentTypeVersion="14" ma:contentTypeDescription="Create a new document." ma:contentTypeScope="" ma:versionID="ae0a9f6486902b669d41bed5a4277c54">
  <xsd:schema xmlns:xsd="http://www.w3.org/2001/XMLSchema" xmlns:xs="http://www.w3.org/2001/XMLSchema" xmlns:p="http://schemas.microsoft.com/office/2006/metadata/properties" xmlns:ns2="0d090553-ac12-4b9f-ace9-08ae9ba49871" xmlns:ns3="b7c0ead1-1596-430a-9f15-fe6efc5e9c7f" targetNamespace="http://schemas.microsoft.com/office/2006/metadata/properties" ma:root="true" ma:fieldsID="38fc27ee683df3850f7153a652d4d5b3" ns2:_="" ns3:_="">
    <xsd:import namespace="0d090553-ac12-4b9f-ace9-08ae9ba49871"/>
    <xsd:import namespace="b7c0ead1-1596-430a-9f15-fe6efc5e9c7f"/>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90553-ac12-4b9f-ace9-08ae9ba49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c0ead1-1596-430a-9f15-fe6efc5e9c7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0d090553-ac12-4b9f-ace9-08ae9ba49871" xsi:nil="true"/>
  </documentManagement>
</p:properties>
</file>

<file path=customXml/itemProps1.xml><?xml version="1.0" encoding="utf-8"?>
<ds:datastoreItem xmlns:ds="http://schemas.openxmlformats.org/officeDocument/2006/customXml" ds:itemID="{DD02EAF0-2AA9-4A84-A04C-8376A13F02F4}"/>
</file>

<file path=customXml/itemProps2.xml><?xml version="1.0" encoding="utf-8"?>
<ds:datastoreItem xmlns:ds="http://schemas.openxmlformats.org/officeDocument/2006/customXml" ds:itemID="{02956F74-EDCA-4822-B9FB-FC722C0FCE0A}"/>
</file>

<file path=customXml/itemProps3.xml><?xml version="1.0" encoding="utf-8"?>
<ds:datastoreItem xmlns:ds="http://schemas.openxmlformats.org/officeDocument/2006/customXml" ds:itemID="{78DFA6C9-3F96-4413-B912-D348D4E418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
  <dc:creator>Genc Kastrati</dc:creator>
  <cp:keywords/>
  <dc:description/>
  <cp:lastModifiedBy>Inga Babicheva</cp:lastModifiedBy>
  <cp:revision/>
  <dcterms:created xsi:type="dcterms:W3CDTF">2008-11-20T16:06:13Z</dcterms:created>
  <dcterms:modified xsi:type="dcterms:W3CDTF">2022-05-16T16:01:19Z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y fmtid="{D5CDD505-2E9C-101B-9397-08002B2CF9AE}" pid="28" name="ContentTypeId">
    <vt:lpwstr>0x0101004EBAFB83A586EF4F94E7F07E84C3D94B</vt:lpwstr>
  </property>
  <property fmtid="{D5CDD505-2E9C-101B-9397-08002B2CF9AE}" pid="29" name="AuthorIds_UIVersion_512">
    <vt:lpwstr>21</vt:lpwstr>
  </property>
  <property fmtid="{D5CDD505-2E9C-101B-9397-08002B2CF9AE}" pid="30" name="AuthorIds_UIVersion_1024">
    <vt:lpwstr>21</vt:lpwstr>
  </property>
  <property fmtid="{D5CDD505-2E9C-101B-9397-08002B2CF9AE}" pid="31" name="AuthorIds_UIVersion_40960">
    <vt:lpwstr>13</vt:lpwstr>
  </property>
  <property fmtid="{D5CDD505-2E9C-101B-9397-08002B2CF9AE}" pid="32" name="AuthorIds_UIVersion_41472">
    <vt:lpwstr>21</vt:lpwstr>
  </property>
  <property fmtid="{D5CDD505-2E9C-101B-9397-08002B2CF9AE}" pid="33" name="AuthorIds_UIVersion_43008">
    <vt:lpwstr>31,21</vt:lpwstr>
  </property>
</Properties>
</file>