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tables/tableSingleCells1.xml" ContentType="application/vnd.openxmlformats-officedocument.spreadsheetml.tableSingleCells+xml"/>
  <Override PartName="/xl/comments2.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style4.xml" ContentType="application/vnd.ms-office.chartstyle+xml"/>
  <Override PartName="/xl/charts/colors4.xml" ContentType="application/vnd.ms-office.chartcolorstyle+xml"/>
  <Override PartName="/xl/charts/chart8.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6.xml" ContentType="application/vnd.ms-office.chartstyle+xml"/>
  <Override PartName="/xl/charts/colors6.xml" ContentType="application/vnd.ms-office.chartcolorstyle+xml"/>
  <Override PartName="/xl/charts/chart10.xml" ContentType="application/vnd.openxmlformats-officedocument.drawingml.chart+xml"/>
  <Override PartName="/xl/charts/style7.xml" ContentType="application/vnd.ms-office.chartstyle+xml"/>
  <Override PartName="/xl/charts/colors7.xml" ContentType="application/vnd.ms-office.chartcolorstyle+xml"/>
  <Override PartName="/xl/charts/chart11.xml" ContentType="application/vnd.openxmlformats-officedocument.drawingml.chart+xml"/>
  <Override PartName="/xl/charts/style8.xml" ContentType="application/vnd.ms-office.chartstyle+xml"/>
  <Override PartName="/xl/charts/colors8.xml" ContentType="application/vnd.ms-office.chartcolorstyle+xml"/>
  <Override PartName="/xl/charts/chart12.xml" ContentType="application/vnd.openxmlformats-officedocument.drawingml.chart+xml"/>
  <Override PartName="/xl/charts/style9.xml" ContentType="application/vnd.ms-office.chartstyle+xml"/>
  <Override PartName="/xl/charts/colors9.xml" ContentType="application/vnd.ms-office.chartcolorstyle+xml"/>
  <Override PartName="/xl/charts/chart13.xml" ContentType="application/vnd.openxmlformats-officedocument.drawingml.chart+xml"/>
  <Override PartName="/xl/charts/style10.xml" ContentType="application/vnd.ms-office.chartstyle+xml"/>
  <Override PartName="/xl/charts/colors10.xml" ContentType="application/vnd.ms-office.chartcolorstyle+xml"/>
  <Override PartName="/xl/charts/chart14.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CCM\Dashboard\HIV-TB\"/>
    </mc:Choice>
  </mc:AlternateContent>
  <bookViews>
    <workbookView xWindow="-15" yWindow="1545" windowWidth="15600" windowHeight="4410"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externalReferences>
    <externalReference r:id="rId13"/>
  </externalReference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данных'!$A$76:$G$146</definedName>
    <definedName name="PrintF">Финансирование!$A$2:$M$31</definedName>
    <definedName name="PrintGD">'Сведения о гранте'!$A$2:$J$13</definedName>
    <definedName name="PrintM" localSheetId="8">Действия!$A$2:$L$6</definedName>
    <definedName name="PrintM">Управление!$A$2:$M$33</definedName>
    <definedName name="PrintP">Программа!$A$2:$P$56</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Программа!$A$1:$Q$55</definedName>
    <definedName name="_xlnm.Print_Area" localSheetId="5">Управление!$A$1:$M$33</definedName>
    <definedName name="_xlnm.Print_Area" localSheetId="4">Финансирование!$A$2:$M$31</definedName>
  </definedNames>
  <calcPr calcId="152511"/>
</workbook>
</file>

<file path=xl/calcChain.xml><?xml version="1.0" encoding="utf-8"?>
<calcChain xmlns="http://schemas.openxmlformats.org/spreadsheetml/2006/main">
  <c r="M36" i="35" l="1"/>
  <c r="M37" i="35"/>
  <c r="M38" i="35"/>
  <c r="M39" i="35"/>
  <c r="M40" i="35"/>
  <c r="M41" i="35"/>
  <c r="M42" i="35"/>
  <c r="M43" i="35"/>
  <c r="M44" i="35"/>
  <c r="M45" i="35"/>
  <c r="M46" i="35"/>
  <c r="M35" i="35"/>
  <c r="F141" i="29" l="1"/>
  <c r="H141" i="29" s="1"/>
  <c r="J141" i="29" s="1"/>
  <c r="F140" i="29"/>
  <c r="H140" i="29" s="1"/>
  <c r="J140" i="29" s="1"/>
  <c r="F139" i="29"/>
  <c r="H139" i="29" s="1"/>
  <c r="J139" i="29" s="1"/>
  <c r="F138" i="29"/>
  <c r="H138" i="29" s="1"/>
  <c r="J138" i="29" s="1"/>
  <c r="F137" i="29"/>
  <c r="H137" i="29" s="1"/>
  <c r="J137" i="29" s="1"/>
  <c r="F136" i="29"/>
  <c r="H136" i="29" s="1"/>
  <c r="J136" i="29" s="1"/>
  <c r="F135" i="29"/>
  <c r="H135" i="29" s="1"/>
  <c r="J135" i="29" s="1"/>
  <c r="F134" i="29"/>
  <c r="H134" i="29" s="1"/>
  <c r="J134" i="29" s="1"/>
  <c r="F133" i="29"/>
  <c r="H133" i="29" s="1"/>
  <c r="J133" i="29" s="1"/>
  <c r="F132" i="29"/>
  <c r="H132" i="29" s="1"/>
  <c r="J132" i="29" s="1"/>
  <c r="F131" i="29"/>
  <c r="H131" i="29" s="1"/>
  <c r="J131" i="29" s="1"/>
  <c r="F130" i="29"/>
  <c r="H130" i="29" s="1"/>
  <c r="J130" i="29" s="1"/>
  <c r="F129" i="29"/>
  <c r="H129" i="29" s="1"/>
  <c r="J129" i="29" s="1"/>
  <c r="F128" i="29"/>
  <c r="H128" i="29" s="1"/>
  <c r="J128" i="29" s="1"/>
  <c r="F127" i="29"/>
  <c r="H127" i="29" s="1"/>
  <c r="J127" i="29" s="1"/>
  <c r="F126" i="29"/>
  <c r="H126" i="29" s="1"/>
  <c r="J126" i="29" s="1"/>
  <c r="X35" i="37" l="1"/>
  <c r="W35" i="37"/>
  <c r="V35" i="37"/>
  <c r="U35" i="37"/>
  <c r="T35" i="37"/>
  <c r="X34" i="37"/>
  <c r="W34" i="37"/>
  <c r="V34" i="37"/>
  <c r="U34" i="37"/>
  <c r="T34" i="37"/>
  <c r="X33" i="37"/>
  <c r="W33" i="37"/>
  <c r="V33" i="37"/>
  <c r="U33" i="37"/>
  <c r="T33" i="37"/>
  <c r="X32" i="37"/>
  <c r="W32" i="37"/>
  <c r="V32" i="37"/>
  <c r="U32" i="37"/>
  <c r="T32" i="37"/>
  <c r="X31" i="37"/>
  <c r="W31" i="37"/>
  <c r="V31" i="37"/>
  <c r="U31" i="37"/>
  <c r="T31" i="37"/>
  <c r="X30" i="37"/>
  <c r="W30" i="37"/>
  <c r="V30" i="37"/>
  <c r="U30" i="37"/>
  <c r="T30" i="37"/>
  <c r="X27" i="37"/>
  <c r="W27" i="37"/>
  <c r="V27" i="37"/>
  <c r="U27" i="37"/>
  <c r="T27" i="37"/>
  <c r="X26" i="37"/>
  <c r="W26" i="37"/>
  <c r="V26" i="37"/>
  <c r="U26" i="37"/>
  <c r="T26" i="37"/>
  <c r="Z24" i="37"/>
  <c r="AA24" i="37" s="1"/>
  <c r="X24" i="37"/>
  <c r="W24" i="37"/>
  <c r="V24" i="37"/>
  <c r="U24" i="37"/>
  <c r="T24" i="37"/>
  <c r="Z23" i="37"/>
  <c r="AA23" i="37" s="1"/>
  <c r="X23" i="37"/>
  <c r="W23" i="37"/>
  <c r="V23" i="37"/>
  <c r="U23" i="37"/>
  <c r="T23" i="37"/>
  <c r="Z22" i="37"/>
  <c r="AA22" i="37" s="1"/>
  <c r="X22" i="37"/>
  <c r="W22" i="37"/>
  <c r="V22" i="37"/>
  <c r="U22" i="37"/>
  <c r="T22" i="37"/>
  <c r="AF21" i="37"/>
  <c r="AE21" i="37"/>
  <c r="AD21" i="37"/>
  <c r="AC21" i="37"/>
  <c r="AB21" i="37"/>
  <c r="X21" i="37"/>
  <c r="W21" i="37"/>
  <c r="V21" i="37"/>
  <c r="U21" i="37"/>
  <c r="T21" i="37"/>
  <c r="L8" i="37"/>
  <c r="F8" i="37"/>
  <c r="B8" i="37"/>
  <c r="F82" i="29"/>
  <c r="F81" i="29"/>
  <c r="D90" i="29"/>
  <c r="G185" i="29"/>
  <c r="G184" i="29"/>
  <c r="G183" i="29"/>
  <c r="G182" i="29"/>
  <c r="G181" i="29"/>
  <c r="G180" i="29"/>
  <c r="O180" i="29"/>
  <c r="P180" i="29"/>
  <c r="Q180" i="29"/>
  <c r="O181" i="29"/>
  <c r="P181" i="29"/>
  <c r="Q181" i="29"/>
  <c r="O182" i="29"/>
  <c r="P182" i="29"/>
  <c r="Q182" i="29"/>
  <c r="O183" i="29"/>
  <c r="P183" i="29"/>
  <c r="Q183" i="29"/>
  <c r="O184" i="29"/>
  <c r="P184" i="29"/>
  <c r="Q184" i="29"/>
  <c r="O185" i="29"/>
  <c r="P185" i="29"/>
  <c r="Q185" i="29"/>
  <c r="N185" i="29"/>
  <c r="M185" i="29"/>
  <c r="L185" i="29"/>
  <c r="K185" i="29"/>
  <c r="J185" i="29"/>
  <c r="I185" i="29"/>
  <c r="N184" i="29"/>
  <c r="M184" i="29"/>
  <c r="L184" i="29"/>
  <c r="K184" i="29"/>
  <c r="J184" i="29"/>
  <c r="I184" i="29"/>
  <c r="E184" i="29"/>
  <c r="D184" i="29"/>
  <c r="A184" i="29"/>
  <c r="N183" i="29"/>
  <c r="M183" i="29"/>
  <c r="L183" i="29"/>
  <c r="K183" i="29"/>
  <c r="J183" i="29"/>
  <c r="I183" i="29"/>
  <c r="N182" i="29"/>
  <c r="M182" i="29"/>
  <c r="L182" i="29"/>
  <c r="K182" i="29"/>
  <c r="J182" i="29"/>
  <c r="I182" i="29"/>
  <c r="E182" i="29"/>
  <c r="D182" i="29"/>
  <c r="A182" i="29"/>
  <c r="N181" i="29"/>
  <c r="M181" i="29"/>
  <c r="L181" i="29"/>
  <c r="K181" i="29"/>
  <c r="J181" i="29"/>
  <c r="I181" i="29"/>
  <c r="N180" i="29"/>
  <c r="M180" i="29"/>
  <c r="L180" i="29"/>
  <c r="K180" i="29"/>
  <c r="J180" i="29"/>
  <c r="I180" i="29"/>
  <c r="E180" i="29"/>
  <c r="D180" i="29"/>
  <c r="A180" i="29"/>
  <c r="H201" i="29"/>
  <c r="G221" i="29"/>
  <c r="H221" i="29"/>
  <c r="I221" i="29"/>
  <c r="J221" i="29"/>
  <c r="K221" i="29"/>
  <c r="L221" i="29"/>
  <c r="M221" i="29"/>
  <c r="N221" i="29"/>
  <c r="O221" i="29"/>
  <c r="P221" i="29"/>
  <c r="Q221" i="29"/>
  <c r="A222" i="29"/>
  <c r="D222" i="29"/>
  <c r="E222" i="29"/>
  <c r="G222" i="29"/>
  <c r="H222" i="29"/>
  <c r="I222" i="29"/>
  <c r="J222" i="29"/>
  <c r="K222" i="29"/>
  <c r="L222" i="29"/>
  <c r="M222" i="29"/>
  <c r="N222" i="29"/>
  <c r="O222" i="29"/>
  <c r="P222" i="29"/>
  <c r="Q222" i="29"/>
  <c r="G223" i="29"/>
  <c r="H223" i="29"/>
  <c r="I223" i="29"/>
  <c r="J223" i="29"/>
  <c r="K223" i="29"/>
  <c r="L223" i="29"/>
  <c r="M223" i="29"/>
  <c r="N223" i="29"/>
  <c r="O223" i="29"/>
  <c r="P223" i="29"/>
  <c r="Q223" i="29"/>
  <c r="A224" i="29"/>
  <c r="D224" i="29"/>
  <c r="E224" i="29"/>
  <c r="G224" i="29"/>
  <c r="H224" i="29"/>
  <c r="I224" i="29"/>
  <c r="J224" i="29"/>
  <c r="K224" i="29"/>
  <c r="L224" i="29"/>
  <c r="M224" i="29"/>
  <c r="N224" i="29"/>
  <c r="O224" i="29"/>
  <c r="P224" i="29"/>
  <c r="Q224" i="29"/>
  <c r="G225" i="29"/>
  <c r="H225" i="29"/>
  <c r="I225" i="29"/>
  <c r="J225" i="29"/>
  <c r="K225" i="29"/>
  <c r="L225" i="29"/>
  <c r="M225" i="29"/>
  <c r="N225" i="29"/>
  <c r="O225" i="29"/>
  <c r="P225" i="29"/>
  <c r="Q225" i="29"/>
  <c r="A226" i="29"/>
  <c r="D226" i="29"/>
  <c r="E226" i="29"/>
  <c r="G226" i="29"/>
  <c r="H226" i="29"/>
  <c r="I226" i="29"/>
  <c r="J226" i="29"/>
  <c r="K226" i="29"/>
  <c r="L226" i="29"/>
  <c r="M226" i="29"/>
  <c r="N226" i="29"/>
  <c r="O226" i="29"/>
  <c r="P226" i="29"/>
  <c r="Q226" i="29"/>
  <c r="G227" i="29"/>
  <c r="H227" i="29"/>
  <c r="I227" i="29"/>
  <c r="J227" i="29"/>
  <c r="K227" i="29"/>
  <c r="L227" i="29"/>
  <c r="M227" i="29"/>
  <c r="N227" i="29"/>
  <c r="O227" i="29"/>
  <c r="P227" i="29"/>
  <c r="Q227" i="29"/>
  <c r="F83" i="29"/>
  <c r="F84" i="29"/>
  <c r="AF23" i="37" l="1"/>
  <c r="AB23" i="37"/>
  <c r="AE23" i="37"/>
  <c r="AD23" i="37"/>
  <c r="AC23" i="37"/>
  <c r="AF22" i="37"/>
  <c r="AB22" i="37"/>
  <c r="AE22" i="37"/>
  <c r="AD22" i="37"/>
  <c r="AC22" i="37"/>
  <c r="AF24" i="37"/>
  <c r="AB24" i="37"/>
  <c r="AE24" i="37"/>
  <c r="AD24" i="37"/>
  <c r="AC24" i="37"/>
  <c r="C115" i="29"/>
  <c r="B115" i="29"/>
  <c r="C114" i="29"/>
  <c r="B114" i="29"/>
  <c r="C113" i="29"/>
  <c r="B113" i="29"/>
  <c r="B33" i="29"/>
  <c r="C33" i="29" s="1"/>
  <c r="B32" i="29"/>
  <c r="B34" i="29" s="1"/>
  <c r="C34" i="29" s="1"/>
  <c r="B56" i="29"/>
  <c r="E56" i="29" l="1"/>
  <c r="B53" i="37"/>
  <c r="C56" i="29" l="1"/>
  <c r="I27" i="47"/>
  <c r="I28" i="47"/>
  <c r="G29" i="47"/>
  <c r="G31" i="47" s="1"/>
  <c r="G27" i="47"/>
  <c r="G28" i="47"/>
  <c r="G26" i="47"/>
  <c r="F20" i="47"/>
  <c r="G19" i="47"/>
  <c r="G18" i="47"/>
  <c r="D22" i="47"/>
  <c r="E19" i="47"/>
  <c r="E20" i="47"/>
  <c r="E18" i="47"/>
  <c r="F14" i="47"/>
  <c r="E14" i="47"/>
  <c r="K10" i="47"/>
  <c r="J10" i="47"/>
  <c r="C14" i="47"/>
  <c r="D13" i="47"/>
  <c r="D12" i="47"/>
  <c r="D11" i="47"/>
  <c r="D6" i="47"/>
  <c r="C6" i="47"/>
  <c r="D64" i="29"/>
  <c r="D63" i="29"/>
  <c r="D62" i="29"/>
  <c r="D61" i="29"/>
  <c r="E35" i="29"/>
  <c r="H147"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Q29" i="29"/>
  <c r="Q30" i="29"/>
  <c r="Q31" i="29"/>
  <c r="B8" i="45"/>
  <c r="B23" i="45"/>
  <c r="B2" i="37"/>
  <c r="B2" i="35"/>
  <c r="B2" i="45"/>
  <c r="B3" i="27"/>
  <c r="B3" i="32" s="1"/>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26" i="35"/>
  <c r="J3" i="39"/>
  <c r="L3" i="39"/>
  <c r="B4" i="39"/>
  <c r="E4" i="39"/>
  <c r="J4" i="39"/>
  <c r="L4" i="39"/>
  <c r="K5" i="39"/>
  <c r="L5" i="39"/>
  <c r="L3" i="42"/>
  <c r="M3" i="42"/>
  <c r="B4" i="42"/>
  <c r="E4" i="42"/>
  <c r="L4" i="42"/>
  <c r="M4" i="42"/>
  <c r="L5" i="42"/>
  <c r="M5" i="42"/>
  <c r="D14" i="42"/>
  <c r="O3" i="37"/>
  <c r="Q3" i="37"/>
  <c r="B4" i="37"/>
  <c r="E4" i="37"/>
  <c r="P4" i="37"/>
  <c r="Q4" i="37"/>
  <c r="D5" i="37"/>
  <c r="P5" i="37"/>
  <c r="Q5" i="37"/>
  <c r="B38" i="37"/>
  <c r="F38" i="37"/>
  <c r="L38" i="37"/>
  <c r="B50" i="37"/>
  <c r="B51" i="37"/>
  <c r="T51" i="37"/>
  <c r="U51" i="37"/>
  <c r="V51" i="37"/>
  <c r="W51" i="37"/>
  <c r="X51" i="37"/>
  <c r="AB51" i="37"/>
  <c r="AC51" i="37"/>
  <c r="AD51" i="37"/>
  <c r="AE51" i="37"/>
  <c r="AF51" i="37"/>
  <c r="B52" i="37"/>
  <c r="T52" i="37"/>
  <c r="U52" i="37"/>
  <c r="V52" i="37"/>
  <c r="W52" i="37"/>
  <c r="X52" i="37"/>
  <c r="Z52" i="37"/>
  <c r="AA52" i="37" s="1"/>
  <c r="AD52" i="37" s="1"/>
  <c r="B54" i="37"/>
  <c r="Z54" i="37"/>
  <c r="AA54" i="37"/>
  <c r="AD54" i="37" s="1"/>
  <c r="B55" i="37"/>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1" i="29"/>
  <c r="D104" i="29"/>
  <c r="D105" i="29"/>
  <c r="B10" i="45"/>
  <c r="B11" i="45"/>
  <c r="B19" i="45"/>
  <c r="B20" i="45"/>
  <c r="B21" i="45"/>
  <c r="B22" i="45"/>
  <c r="B25" i="45"/>
  <c r="H4" i="1"/>
  <c r="C35" i="29"/>
  <c r="I35" i="29"/>
  <c r="G35" i="29"/>
  <c r="Q35" i="29"/>
  <c r="J35" i="29"/>
  <c r="D35" i="29"/>
  <c r="Q33" i="29"/>
  <c r="Q34" i="29"/>
  <c r="B35" i="29"/>
  <c r="Q58" i="29"/>
  <c r="Q32" i="29"/>
  <c r="AB54" i="37" l="1"/>
  <c r="D14" i="47"/>
  <c r="F22" i="47" s="1"/>
  <c r="AE52" i="37"/>
  <c r="AB52" i="37"/>
  <c r="AF54" i="37"/>
  <c r="AC54" i="37"/>
  <c r="AF52" i="37"/>
  <c r="AE54" i="37"/>
  <c r="AC52" i="37"/>
  <c r="B7" i="35"/>
  <c r="B8" i="30"/>
  <c r="I26" i="35"/>
  <c r="B22" i="30"/>
  <c r="B19" i="35"/>
  <c r="I7" i="35"/>
  <c r="I19" i="35"/>
  <c r="J8" i="30"/>
  <c r="J22" i="30"/>
  <c r="L35" i="29"/>
  <c r="P60" i="29"/>
</calcChain>
</file>

<file path=xl/comments1.xml><?xml version="1.0" encoding="utf-8"?>
<comments xmlns="http://schemas.openxmlformats.org/spreadsheetml/2006/main">
  <authors>
    <author>Irina Schelokova</author>
  </authors>
  <commentList>
    <comment ref="B55"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6" authorId="0" shapeId="0">
      <text>
        <r>
          <rPr>
            <b/>
            <sz val="9"/>
            <color indexed="81"/>
            <rFont val="Tahoma"/>
            <family val="2"/>
            <charset val="204"/>
          </rPr>
          <t>Irina Schelokova:</t>
        </r>
        <r>
          <rPr>
            <sz val="9"/>
            <color indexed="81"/>
            <rFont val="Tahoma"/>
            <family val="2"/>
            <charset val="204"/>
          </rPr>
          <t xml:space="preserve">
в 2 фазе индикатор модифицирован</t>
        </r>
      </text>
    </comment>
    <comment ref="B58" authorId="0" shapeId="0">
      <text>
        <r>
          <rPr>
            <b/>
            <sz val="9"/>
            <color indexed="81"/>
            <rFont val="Tahoma"/>
            <family val="2"/>
            <charset val="204"/>
          </rPr>
          <t>Irina Schelokova:</t>
        </r>
        <r>
          <rPr>
            <sz val="9"/>
            <color indexed="81"/>
            <rFont val="Tahoma"/>
            <family val="2"/>
            <charset val="204"/>
          </rPr>
          <t xml:space="preserve">
в 2 фазе индикатор исключен</t>
        </r>
      </text>
    </comment>
  </commentList>
</comments>
</file>

<file path=xl/comments2.xml><?xml version="1.0" encoding="utf-8"?>
<comments xmlns="http://schemas.openxmlformats.org/spreadsheetml/2006/main">
  <authors>
    <author>mgleixner</author>
    <author>Nazgul Akaeva</author>
    <author>molszak</author>
  </authors>
  <commentList>
    <comment ref="A30" authorId="0" shapeId="0">
      <text>
        <r>
          <rPr>
            <sz val="8"/>
            <color indexed="81"/>
            <rFont val="Tahoma"/>
            <family val="2"/>
          </rPr>
          <t>To define your periods (eg. P1, P2, P3 etc or P9, P10, P11 etc) you need to unprotect the cells.</t>
        </r>
      </text>
    </comment>
    <comment ref="B32" authorId="1" shapeId="0">
      <text>
        <r>
          <rPr>
            <b/>
            <sz val="9"/>
            <color indexed="81"/>
            <rFont val="Tahoma"/>
            <family val="2"/>
            <charset val="204"/>
          </rPr>
          <t>Nazgul Akaeva:</t>
        </r>
        <r>
          <rPr>
            <sz val="9"/>
            <color indexed="81"/>
            <rFont val="Tahoma"/>
            <family val="2"/>
            <charset val="204"/>
          </rPr>
          <t xml:space="preserve">
2 214 860$ -uncommitted cash balance from closed grants transferred to grant KGZ-C-UNDP</t>
        </r>
      </text>
    </comment>
    <comment ref="A81" authorId="2" shapeId="0">
      <text>
        <r>
          <rPr>
            <b/>
            <sz val="8"/>
            <color indexed="81"/>
            <rFont val="Tahoma"/>
            <family val="2"/>
          </rPr>
          <t xml:space="preserve">If data are not available, do not enter zeros; rather, leave the cells in the table blank. </t>
        </r>
      </text>
    </comment>
    <comment ref="A82" authorId="2" shapeId="0">
      <text>
        <r>
          <rPr>
            <b/>
            <sz val="8"/>
            <color indexed="81"/>
            <rFont val="Tahoma"/>
            <family val="2"/>
          </rPr>
          <t>If data are not available, do not enter zeros; rather, leave the cells in this table blank.</t>
        </r>
      </text>
    </comment>
    <comment ref="A83" authorId="2" shapeId="0">
      <text>
        <r>
          <rPr>
            <b/>
            <sz val="8"/>
            <color indexed="81"/>
            <rFont val="Tahoma"/>
            <family val="2"/>
          </rPr>
          <t xml:space="preserve">If data are not available, do not enter zeros; rather, leave the cells in the table blank. </t>
        </r>
      </text>
    </comment>
    <comment ref="A84" authorId="2"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109" authorId="0" shapeId="0">
      <text>
        <r>
          <rPr>
            <sz val="8"/>
            <color indexed="81"/>
            <rFont val="Tahoma"/>
            <family val="2"/>
          </rPr>
          <t>To define your periods (eg. P1, P2, P3 etc or P9, P10, P11 etc) you need to unprotect the cells.</t>
        </r>
      </text>
    </comment>
  </commentList>
</comments>
</file>

<file path=xl/comments3.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<sst xmlns="http://schemas.openxmlformats.org/spreadsheetml/2006/main" count="1047" uniqueCount="713">
  <si>
    <t xml:space="preserve">     Введите финансовые данные в каждую ячейку оранжевого цвета.</t>
  </si>
  <si>
    <t>M1: Статус Предварительных условий (ПУ) и Действий с установленным сроком исполнения (ДУС)</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</si>
  <si>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</si>
  <si>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(3)
Общее кол-во пациентов, получающих лечение</t>
  </si>
  <si>
    <t>Общ. финансирование:</t>
  </si>
  <si>
    <r>
      <rPr>
        <sz val="11"/>
        <rFont val="Arial"/>
        <family val="2"/>
      </rPr>
      <t>ОПР/ЗПС</t>
    </r>
    <r>
      <rPr>
        <sz val="11"/>
        <color indexed="8"/>
        <rFont val="Arial"/>
        <family val="2"/>
      </rPr>
      <t>; данные ОР; отчеты СР  основному реципиенту.</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</si>
  <si>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</si>
  <si>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M4: Количество полных отчетов, полученных к установленному сроку</t>
  </si>
  <si>
    <t>Документация ОР: складские данные</t>
  </si>
  <si>
    <t>Источник данных</t>
  </si>
  <si>
    <t>Валюта финансирования гранта (долл. США или евро).</t>
  </si>
  <si>
    <t>Количество месяцев.</t>
  </si>
  <si>
    <t>Банковская или бухгалтерская информация ОР; уведомления ГФ о выплате средств; ОПР/ЗПС; веб-сайт ГФ.</t>
  </si>
  <si>
    <t xml:space="preserve">Документация ОР. </t>
  </si>
  <si>
    <t>Документация ОР и СР.</t>
  </si>
  <si>
    <t>Документация ОР; соглашения с субреципиентами/ меморандум о взаимопонимании (МоВ); документация СКК.</t>
  </si>
  <si>
    <t>€</t>
  </si>
  <si>
    <t>$</t>
  </si>
  <si>
    <t>RCC</t>
  </si>
  <si>
    <t>Component</t>
  </si>
  <si>
    <t>Currency</t>
  </si>
  <si>
    <t>Round</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</si>
  <si>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</si>
  <si>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</si>
  <si>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</si>
  <si>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</si>
  <si>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</si>
  <si>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</si>
  <si>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</si>
  <si>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</si>
  <si>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</si>
  <si>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</si>
  <si>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</si>
  <si>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</si>
  <si>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</si>
  <si>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</si>
  <si>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</si>
  <si>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</si>
  <si>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</si>
  <si>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NVP</t>
  </si>
  <si>
    <t>3TC</t>
  </si>
  <si>
    <t>D4T</t>
  </si>
  <si>
    <t>AZT</t>
  </si>
  <si>
    <t>DDI</t>
  </si>
  <si>
    <t>EFV</t>
  </si>
  <si>
    <t>AS/MQ</t>
  </si>
  <si>
    <t>AS/LF</t>
  </si>
  <si>
    <t>AS/AQ</t>
  </si>
  <si>
    <t>Medicaments</t>
  </si>
  <si>
    <t>min</t>
  </si>
  <si>
    <t>max</t>
  </si>
  <si>
    <t>F1</t>
  </si>
  <si>
    <t>F2</t>
  </si>
  <si>
    <t>F3</t>
  </si>
  <si>
    <t>F4</t>
  </si>
  <si>
    <t>P1</t>
  </si>
  <si>
    <t>P2</t>
  </si>
  <si>
    <t>P3</t>
  </si>
  <si>
    <t>P4</t>
  </si>
  <si>
    <t>M1</t>
  </si>
  <si>
    <t>M2</t>
  </si>
  <si>
    <t>M3</t>
  </si>
  <si>
    <t>M4</t>
  </si>
  <si>
    <t>M5</t>
  </si>
  <si>
    <t>M6</t>
  </si>
  <si>
    <t>P5</t>
  </si>
  <si>
    <t>P6</t>
  </si>
  <si>
    <t>P7</t>
  </si>
  <si>
    <t>P8</t>
  </si>
  <si>
    <t>P9</t>
  </si>
  <si>
    <t>P10</t>
  </si>
  <si>
    <t>P11</t>
  </si>
  <si>
    <t>Countries</t>
  </si>
  <si>
    <t>UNOPS</t>
  </si>
  <si>
    <t>Valor</t>
  </si>
  <si>
    <t>Rating</t>
  </si>
  <si>
    <t>RDT</t>
  </si>
  <si>
    <t>Period</t>
  </si>
  <si>
    <t>P12</t>
  </si>
  <si>
    <t>LFA</t>
  </si>
  <si>
    <t>E-PAP</t>
  </si>
  <si>
    <t>Al/Lum</t>
  </si>
  <si>
    <t>Set-up = List of validation for Grant Detail page</t>
  </si>
  <si>
    <t>0% - 59%</t>
  </si>
  <si>
    <t>60% - 89%</t>
  </si>
  <si>
    <t>&gt; 90%</t>
  </si>
  <si>
    <t>V1.0</t>
  </si>
  <si>
    <t>Наименование:</t>
  </si>
  <si>
    <t>Определение</t>
  </si>
  <si>
    <t>Измерение</t>
  </si>
  <si>
    <t>Источники Данных</t>
  </si>
  <si>
    <t>Грант №</t>
  </si>
  <si>
    <t>Страна:</t>
  </si>
  <si>
    <t>Пожалуйста выберите</t>
  </si>
  <si>
    <t>Афганистан</t>
  </si>
  <si>
    <t>Албания</t>
  </si>
  <si>
    <t>Алжир</t>
  </si>
  <si>
    <t>Ангола</t>
  </si>
  <si>
    <t>Аргентина</t>
  </si>
  <si>
    <t>Армения</t>
  </si>
  <si>
    <t>Азербайджан</t>
  </si>
  <si>
    <t>Бангладеш</t>
  </si>
  <si>
    <t>Беларусь</t>
  </si>
  <si>
    <t>Белиз</t>
  </si>
  <si>
    <t>Бенин</t>
  </si>
  <si>
    <t>Бутан</t>
  </si>
  <si>
    <t>Боливия</t>
  </si>
  <si>
    <t>Босния и Герцеговина</t>
  </si>
  <si>
    <t>Ботсвана</t>
  </si>
  <si>
    <t>Бразилия</t>
  </si>
  <si>
    <t>Болгария</t>
  </si>
  <si>
    <t>Буркина Фасо</t>
  </si>
  <si>
    <t>Бурунди</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</si>
  <si>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</si>
  <si>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</si>
  <si>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</si>
  <si>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</si>
  <si>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</si>
  <si>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</si>
  <si>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</si>
  <si>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</si>
  <si>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</si>
  <si>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</si>
  <si>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</si>
  <si>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</si>
  <si>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</si>
  <si>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</si>
  <si>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</si>
  <si>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</si>
  <si>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</si>
  <si>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</si>
  <si>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</si>
  <si>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</si>
  <si>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</si>
  <si>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</si>
  <si>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</si>
  <si>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</si>
  <si>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</si>
  <si>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</si>
  <si>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</si>
  <si>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</si>
  <si>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</si>
  <si>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</si>
  <si>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</si>
  <si>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</si>
  <si>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</si>
  <si>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</si>
  <si>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</si>
  <si>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</si>
  <si>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</si>
  <si>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</si>
  <si>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</si>
  <si>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</si>
  <si>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</si>
  <si>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</si>
  <si>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</si>
  <si>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</si>
  <si>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</si>
  <si>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Кыргызстан</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</si>
  <si>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</si>
  <si>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</si>
  <si>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</si>
  <si>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</si>
  <si>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</si>
  <si>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</si>
  <si>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</si>
  <si>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</si>
  <si>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</si>
  <si>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</si>
  <si>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</si>
  <si>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</si>
  <si>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</si>
  <si>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</si>
  <si>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</si>
  <si>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Глобальный (LWF)</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</si>
  <si>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</si>
  <si>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</si>
  <si>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</si>
  <si>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</si>
  <si>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</si>
  <si>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</si>
  <si>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</si>
  <si>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</si>
  <si>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</si>
  <si>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</si>
  <si>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</si>
  <si>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</si>
  <si>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</si>
  <si>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</si>
  <si>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</si>
  <si>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</si>
  <si>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</si>
  <si>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</si>
  <si>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</si>
  <si>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</si>
  <si>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</si>
  <si>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</si>
  <si>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</si>
  <si>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</si>
  <si>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</si>
  <si>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</si>
  <si>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</si>
  <si>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</si>
  <si>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</si>
  <si>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</si>
  <si>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</si>
  <si>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</si>
  <si>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</si>
  <si>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</si>
  <si>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</si>
  <si>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</si>
  <si>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</si>
  <si>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</si>
  <si>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</si>
  <si>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</si>
  <si>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</si>
  <si>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</si>
  <si>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</si>
  <si>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</si>
  <si>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</si>
  <si>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</si>
  <si>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</si>
  <si>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</si>
  <si>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</si>
  <si>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</si>
  <si>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</si>
  <si>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</si>
  <si>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Раунд 1</t>
  </si>
  <si>
    <t>Раунд 2</t>
  </si>
  <si>
    <t>Раунд 3</t>
  </si>
  <si>
    <t>Раунд 4</t>
  </si>
  <si>
    <t>Раунд 5</t>
  </si>
  <si>
    <t>Раунд 6</t>
  </si>
  <si>
    <t>Раунд 7</t>
  </si>
  <si>
    <t>Раунд 8</t>
  </si>
  <si>
    <t>Раунд 9</t>
  </si>
  <si>
    <t>Раунд 10</t>
  </si>
  <si>
    <t>Фаза 1</t>
  </si>
  <si>
    <t>Фаза 2</t>
  </si>
  <si>
    <t>Изониазид</t>
  </si>
  <si>
    <t>Этамбутол</t>
  </si>
  <si>
    <t>Рифампицин</t>
  </si>
  <si>
    <t>Пиразинамид</t>
  </si>
  <si>
    <t>Пищевые добавки для ТБ</t>
  </si>
  <si>
    <t>ВИЧ / СПИД</t>
  </si>
  <si>
    <t>МАЛЯРИЯ</t>
  </si>
  <si>
    <t>ТБ</t>
  </si>
  <si>
    <t>ВИЧ/СПИД/ТБ</t>
  </si>
  <si>
    <t>УСЗ</t>
  </si>
  <si>
    <t>Компонент:</t>
  </si>
  <si>
    <t>Раунд:</t>
  </si>
  <si>
    <t>Период предоставления отчетной информации</t>
  </si>
  <si>
    <t>Отчетный период</t>
  </si>
  <si>
    <t>Дата ввода информации:</t>
  </si>
  <si>
    <t>Кем подготовлено:</t>
  </si>
  <si>
    <t>Информация об индикаторах</t>
  </si>
  <si>
    <t>Фаза:</t>
  </si>
  <si>
    <t>Всего</t>
  </si>
  <si>
    <t>До отчетного периода</t>
  </si>
  <si>
    <t>Текущий отчетный период</t>
  </si>
  <si>
    <t>Выполненные</t>
  </si>
  <si>
    <t>Невыполненные, но непросроченные</t>
  </si>
  <si>
    <t>Запланировано</t>
  </si>
  <si>
    <t>Заполнено</t>
  </si>
  <si>
    <t>Вакантно</t>
  </si>
  <si>
    <t>СР</t>
  </si>
  <si>
    <t>Ожидаемое кол-во</t>
  </si>
  <si>
    <t>Полученное кол-во</t>
  </si>
  <si>
    <t>Расходы</t>
  </si>
  <si>
    <t>Компонент</t>
  </si>
  <si>
    <t>Код</t>
  </si>
  <si>
    <t>Достигнуто</t>
  </si>
  <si>
    <t>с:</t>
  </si>
  <si>
    <t>дo:</t>
  </si>
  <si>
    <t>Дата начала:</t>
  </si>
  <si>
    <t>Дата подготовки отчета:</t>
  </si>
  <si>
    <t>Рекомендации</t>
  </si>
  <si>
    <t>Управление</t>
  </si>
  <si>
    <t>P1 - тенденция</t>
  </si>
  <si>
    <t>P2 - тенденция</t>
  </si>
  <si>
    <t>P3 - тенденция</t>
  </si>
  <si>
    <t>Срок</t>
  </si>
  <si>
    <t>Ответственное лицо</t>
  </si>
  <si>
    <t>Дата</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</si>
  <si>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</si>
  <si>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</si>
  <si>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</si>
  <si>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</si>
  <si>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</si>
  <si>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</si>
  <si>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</si>
  <si>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</si>
  <si>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</si>
  <si>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</si>
  <si>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</si>
  <si>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</si>
  <si>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</si>
  <si>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</si>
  <si>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</si>
  <si>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</si>
  <si>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</si>
  <si>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ПУ</t>
  </si>
  <si>
    <t>Предварительное условие</t>
  </si>
  <si>
    <t>СКМ</t>
  </si>
  <si>
    <t>Страновой Координационный Механизм</t>
  </si>
  <si>
    <t>Суб-реципиент</t>
  </si>
  <si>
    <t>ССР</t>
  </si>
  <si>
    <t>Суб-суб-реципиент</t>
  </si>
  <si>
    <t>УЗС</t>
  </si>
  <si>
    <t>Управление Закупками и Снабжением</t>
  </si>
  <si>
    <t>УФО</t>
  </si>
  <si>
    <t>Принципиальный Реципиент</t>
  </si>
  <si>
    <t>Улучшенный Финансовый Отчет</t>
  </si>
  <si>
    <t>Финансирование</t>
  </si>
  <si>
    <t>Информация о гранте</t>
  </si>
  <si>
    <t>Основной реципиент:</t>
  </si>
  <si>
    <t>Дата начала (дд/ммм/гг):</t>
  </si>
  <si>
    <t>Название гранта:</t>
  </si>
  <si>
    <t>Местный агент Фонда:</t>
  </si>
  <si>
    <t>Менеджер портфолио Фонда:</t>
  </si>
  <si>
    <t xml:space="preserve">Информация о программе: </t>
  </si>
  <si>
    <t>Введите данные в ячейки соответствующего цвета</t>
  </si>
  <si>
    <t>Общий бюджет</t>
  </si>
  <si>
    <t>Общая сумма выплат</t>
  </si>
  <si>
    <t xml:space="preserve">Информация об управлении: </t>
  </si>
  <si>
    <t>Выплачено Глобальным фондом</t>
  </si>
  <si>
    <t>Расходы и платежи ОР</t>
  </si>
  <si>
    <t>Выплачено субреципиентам</t>
  </si>
  <si>
    <t>F4: Последний отчетный и платежный цикл ОР</t>
  </si>
  <si>
    <t>Информация об управлении:</t>
  </si>
  <si>
    <t>Невыполненные и просроченные</t>
  </si>
  <si>
    <t>Финансовые обязательства</t>
  </si>
  <si>
    <t>Общий объем финансовых обязательств</t>
  </si>
  <si>
    <t>Общий объем расходов</t>
  </si>
  <si>
    <t>Связаны напрямую?</t>
  </si>
  <si>
    <t>Грант №:</t>
  </si>
  <si>
    <t>Отчетный период:</t>
  </si>
  <si>
    <t>Разница между имеющимся и безопасным уровнем запасов</t>
  </si>
  <si>
    <t>Решение СКК</t>
  </si>
  <si>
    <t>Предпринятые действия</t>
  </si>
  <si>
    <t>Предыдущий отчетный период</t>
  </si>
  <si>
    <t>F3: Выплаты и расходы</t>
  </si>
  <si>
    <t>Выплаты</t>
  </si>
  <si>
    <t>Всего:</t>
  </si>
  <si>
    <t>Валюта финансирования гранта</t>
  </si>
  <si>
    <t>(2 = 1 x 30)
Месячный курс лечения 
(кол-во таблеток на 1 пациента на 30 дней)</t>
  </si>
  <si>
    <t>% Общего объема</t>
  </si>
  <si>
    <t>Решения и действия</t>
  </si>
  <si>
    <t>до:</t>
  </si>
  <si>
    <t>Общая сумма:</t>
  </si>
  <si>
    <t>Осуществляются ли закупки и набор персонала согласно графику?</t>
  </si>
  <si>
    <t xml:space="preserve">Информация о финансировании: </t>
  </si>
  <si>
    <t>(4 = 2 x 3)
Общее кол-во таблеток, необходимое для всех пациентов на 1месяц</t>
  </si>
  <si>
    <t xml:space="preserve">     Введите данные о реализации программы в каждую ячейку желтого цвета.</t>
  </si>
  <si>
    <t>Заключительные комментарии</t>
  </si>
  <si>
    <t>Расходы субреципиентов</t>
  </si>
  <si>
    <t>Расчетные (дни)</t>
  </si>
  <si>
    <t>Фактические (дни)</t>
  </si>
  <si>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</si>
  <si>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Количество  полученных отчетов. Эта цифра отражает только отчетный период; она не является совокупной.</t>
  </si>
  <si>
    <t>Введите данные об управлении в каждую ячейку голубого цвета.</t>
  </si>
  <si>
    <t>Программа</t>
  </si>
  <si>
    <t>Осваиваются ли все средства и расходуются ли они согласно бюджету?</t>
  </si>
  <si>
    <t>F2: Бюджет и фактические расходы согласно задачам гранта</t>
  </si>
  <si>
    <t>Последняя выплата средств: количество календарных дней</t>
  </si>
  <si>
    <t xml:space="preserve">Спустя сколько дней ОР получил платеж </t>
  </si>
  <si>
    <t>Спустя сколько дней суб-реципиенты получили платежи</t>
  </si>
  <si>
    <t>Получающие финансирование</t>
  </si>
  <si>
    <t>Незавершенные</t>
  </si>
  <si>
    <t xml:space="preserve">M3: Контрактные соглашения (СР) </t>
  </si>
  <si>
    <t>Совокупный утвердженный бюджет*</t>
  </si>
  <si>
    <t>M6: Разница между текущим и резервным запасами</t>
  </si>
  <si>
    <t>(1)
Кол-во таблеток на 1 пациента в день
(см. Национальный протокол по лечению)</t>
  </si>
  <si>
    <t>(5)
Текущие запасы на центральном складе (с действительным сроком годности на ближайшие 3 месяца)</t>
  </si>
  <si>
    <t xml:space="preserve">Сколько дней понадобилось для подачи ИОР/ЗПС в офис МАФ </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</si>
  <si>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</si>
  <si>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</si>
  <si>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</si>
  <si>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Программные показатели (Система оценки результатов реализации)</t>
  </si>
  <si>
    <t>Целевой показатель</t>
  </si>
  <si>
    <t>Таблица обновляется автоматически. Данные в эти ячейки не вводятся</t>
  </si>
  <si>
    <t>Финансовые показатели</t>
  </si>
  <si>
    <t>Уровень запасов, выраженный в месяцах лечения для всех имеющихся пациентов</t>
  </si>
  <si>
    <t xml:space="preserve">Уровень резервных запасов в месяцах </t>
  </si>
  <si>
    <t>Лекарственные средства и продукты медицинского назначения</t>
  </si>
  <si>
    <t>Отдел управления проектом</t>
  </si>
  <si>
    <t>Основные рекомендации Комитета по надзору</t>
  </si>
  <si>
    <t>Какой общий статус реализации этого гранта?</t>
  </si>
  <si>
    <t>Запланированные действия/Предыдущий период</t>
  </si>
  <si>
    <t>Каково общее состояние действий, осуществленных за предыдущий период?</t>
  </si>
  <si>
    <t>Достигаются ли технические целевые показатели?</t>
  </si>
  <si>
    <t>Показатели</t>
  </si>
  <si>
    <t>Программные показатели</t>
  </si>
  <si>
    <t>Показатели по управлению</t>
  </si>
  <si>
    <t>Кем подготовлен:</t>
  </si>
  <si>
    <t>Портфолио Менеджер  Фонда:</t>
  </si>
  <si>
    <t>Последняя оценка</t>
  </si>
  <si>
    <t>Последняя оценка:</t>
  </si>
  <si>
    <t>F1: Бюджет и выплаты Глобальным фондом</t>
  </si>
  <si>
    <t>M2: Статус ключевых руководящих должностей в структуре ОР</t>
  </si>
  <si>
    <t>Показатели должны быть выбраны ОР и членами СКК или Техническим комитетом СКК, см. Систему оценки результатов реализации</t>
  </si>
  <si>
    <t>Номер показателя: название (№ в Системе оценки результатов реализации)</t>
  </si>
  <si>
    <t>Система оценки результатов реализации</t>
  </si>
  <si>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</si>
  <si>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M5: Бюджет и закупки товаров медицинского назначения, медицинского оборудования,  лекарственных средств и фармацевтических препаратов</t>
  </si>
  <si>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</si>
  <si>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</si>
  <si>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Совокупный бюджет</t>
  </si>
  <si>
    <t>Совокупные расходы</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</si>
  <si>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</si>
  <si>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</si>
  <si>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Подписавшие соглашение</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</si>
  <si>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</si>
  <si>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t>Определеные</t>
  </si>
  <si>
    <t>Прошедшие оценку</t>
  </si>
  <si>
    <t>Одобренные</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</si>
  <si>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</si>
  <si>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</si>
  <si>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</si>
  <si>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</si>
  <si>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</si>
  <si>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</si>
  <si>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</si>
  <si>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Количество в текущем отчетном периоде.</t>
  </si>
  <si>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</si>
  <si>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</si>
  <si>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</si>
  <si>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</si>
  <si>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</si>
  <si>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ZDV/3TC/NVP</t>
  </si>
  <si>
    <t>ZDV/3TC</t>
  </si>
  <si>
    <t>ПРООН</t>
  </si>
  <si>
    <t>да</t>
  </si>
  <si>
    <t>нет</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</si>
  <si>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</si>
  <si>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</si>
  <si>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</si>
  <si>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Комментарии:</t>
  </si>
  <si>
    <t>Измеряется в абсолютных числах  на основании списков больных, которые предоставляет СР.</t>
  </si>
  <si>
    <t>База данных МЛУ-ТБ НЦФ РЦИиЭ</t>
  </si>
  <si>
    <t>Число лабораторно подтвержденных МЛУ-ТБ больных, начавших  лечение препаратами второго ряда по ДОТС+, согласно годовому рабочему плану.</t>
  </si>
  <si>
    <t>Бюджет (в $)</t>
  </si>
  <si>
    <t>Утвержденный бюджет*</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</si>
  <si>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</si>
  <si>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</si>
  <si>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</si>
  <si>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Budget</t>
  </si>
  <si>
    <t>Expenditures</t>
  </si>
  <si>
    <t>1 Budget</t>
  </si>
  <si>
    <t>1 Expenditures</t>
  </si>
  <si>
    <t>PR</t>
  </si>
  <si>
    <t>SR</t>
  </si>
  <si>
    <t>Общий итог</t>
  </si>
  <si>
    <t>Cummulative/EFR</t>
  </si>
  <si>
    <t>Last/DB</t>
  </si>
  <si>
    <t>PUDR</t>
  </si>
  <si>
    <t>Замечания и комментарии</t>
  </si>
  <si>
    <t>Продукция</t>
  </si>
  <si>
    <t>На основании проведенных сайт визитов от 2--13 августа 2013 года, был проведен анализ отчета, были получены исчерпывающие ответы на ряд вопросов, предварительно дважды обсуждено на комитетах  по надзору. На заседании СКК от 11.12.13 года отчет принят, дополнительных рекомендаций нет</t>
  </si>
  <si>
    <t xml:space="preserve">Принять отчет </t>
  </si>
  <si>
    <t>Секретариат СКК</t>
  </si>
  <si>
    <t>Число МЛУ-ТБ больных, включенных в лечение препаратами второго ряда ( гражданский и пенитенциарный секторы здравоохранения).</t>
  </si>
  <si>
    <t xml:space="preserve">Число  больных с чувствительной формой ТБ и ПЛУ(ПТП 1 ряда) на лечении, получающих мотивационную поддержку для лучшей приверженности к лечению </t>
  </si>
  <si>
    <t>Р1</t>
  </si>
  <si>
    <t xml:space="preserve">MDR TB-1: Процент ранее излеченных ТБ пациентов, прошедших ТЛЧ (только бактериологически положительные случаи) </t>
  </si>
  <si>
    <t>MDR TB-2: Количество бактериологически подтвержденных зарегистрированных ЛУ-ТБ случаев (РУ-ТБ и/или МЛУ-ТБ)</t>
  </si>
  <si>
    <t>MDR TB-3: Число больных  с устойчивыми формами туберкулеза, включенных на лечение препаратами второго ряда ( вместе с пенитенциарной системой)</t>
  </si>
  <si>
    <t>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t>
  </si>
  <si>
    <t xml:space="preserve">Процент и количество пациентов с симптомами или подозрениями на ТБ, обследованных методом Xpert MTB/RIF и подтвержденным активным ТБ  </t>
  </si>
  <si>
    <t>Разрабатываются УОФ.</t>
  </si>
  <si>
    <t>Арташес Мирзоян</t>
  </si>
  <si>
    <t>Р2</t>
  </si>
  <si>
    <t>Мотивационной поддержкой были охвачены все больные ЛУ-ТБ, которые не прерывали лечение более  5 дней.</t>
  </si>
  <si>
    <t>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t>
  </si>
  <si>
    <t>Данный индикатор показывает охват ранее леченных тестом на лекарственную чувствительность.</t>
  </si>
  <si>
    <t>1689</t>
  </si>
  <si>
    <r>
      <t>Данный индикатор достиг  75% выполнения, мотивационную поддержку</t>
    </r>
    <r>
      <rPr>
        <sz val="8"/>
        <rFont val="Calibri"/>
        <family val="2"/>
        <charset val="204"/>
      </rPr>
      <t xml:space="preserve"> в виде денежных выплат получают только приверженные пациенты не прерывающ</t>
    </r>
    <r>
      <rPr>
        <sz val="8"/>
        <color indexed="8"/>
        <rFont val="Calibri"/>
        <family val="2"/>
      </rPr>
      <t>ие лечение более 5 дней.</t>
    </r>
  </si>
  <si>
    <t>2087</t>
  </si>
  <si>
    <t>Данный индикатор достиг выполнение 124%,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t>
  </si>
  <si>
    <t>95%</t>
  </si>
  <si>
    <t>Данный индикатор показывает охват ранее леченных тестом на лекарственную чувствительность и был выполнен на 105%</t>
  </si>
  <si>
    <t>697</t>
  </si>
  <si>
    <t xml:space="preserve"> Количество случаев МЛУ / РР-ТБ, зарегистрированных во 4 кв. 2016 и 1 кв.2017 гг. достигло 697 по сравнению с целевым 712 (98%).  </t>
  </si>
  <si>
    <t>702</t>
  </si>
  <si>
    <t>За период 4-го кв. 2016 года - 1 кв. 2017 года в республике 702 пациента с устойчивыми формами туберкулеза были взяты на лечение против  целеввого количества - 663 пациентов. В гражданском секторе - 672 и в пенитенциарном секторе - 30 пациентов. Цель была достигнута на уровне 106%.</t>
  </si>
  <si>
    <t>8%</t>
  </si>
  <si>
    <t>19%</t>
  </si>
  <si>
    <t>&gt;100%</t>
  </si>
  <si>
    <t xml:space="preserve">Этот индикатор не контролировался в течение предыдущего периода гранта.
Базовые данные были собраны вручную из лабораторных регистров по всей стране и прикрепленные к существующим машинам genXpert. За период Q1-2 2017 было 1325 положительных результатов теста Xpert MTB / RIF от 6854 человек с симптомами туберкулеза, что составило 19%.  Цель была достигнута на уровне 120%.
</t>
  </si>
  <si>
    <t>KGZ-C-UNDP</t>
  </si>
  <si>
    <t>Управление программой</t>
  </si>
  <si>
    <t>Профилактика - ПИН и их партнеры</t>
  </si>
  <si>
    <t>Профилактика - Работники секс-бизнеса и их клиенты</t>
  </si>
  <si>
    <t>Профилактика - МСМ и трансгендерные лица</t>
  </si>
  <si>
    <t xml:space="preserve">Профилактика - Другие уязвимые группы населения </t>
  </si>
  <si>
    <t xml:space="preserve">Лечение, уход и поддержка
</t>
  </si>
  <si>
    <t>Укрепление систем сообществ</t>
  </si>
  <si>
    <t>Устранение правовых барьеров к доступу</t>
  </si>
  <si>
    <t>УC3 - Информационные системы здравоохранения и МиО</t>
  </si>
  <si>
    <t>ТБ/ВИЧ</t>
  </si>
  <si>
    <t>МЛУ-ТБ</t>
  </si>
  <si>
    <t>ППМР</t>
  </si>
  <si>
    <t>УСЗ - системы управления закупками и логистикой</t>
  </si>
  <si>
    <t xml:space="preserve">Профилактика - заключенные
</t>
  </si>
  <si>
    <t>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t>
  </si>
  <si>
    <t xml:space="preserve">В отчетном период ПРООН произвел выплаты 44 СП  в срок в полном объеме по запросу от СП. </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</si>
  <si>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</si>
  <si>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t>
  </si>
  <si>
    <t>Процент взрослых и детей с известным ВИЧ статусом, получающих антиретровирусную терапию на данный момент</t>
  </si>
  <si>
    <t xml:space="preserve">Все лица с известным статусом на конец отчетного периода получающие АРТ в соответствие с национальным клиническим протоколом из оценочного числа ЛЖВ. </t>
  </si>
  <si>
    <t xml:space="preserve">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на 2016 г. </t>
  </si>
  <si>
    <t xml:space="preserve">Для сбора данных используется утвержденные НСК КР учетно-отчетные формы 4 и 4 а. РЦ “СПИД” предоставляет данные в ПРООН ежеквартально. </t>
  </si>
  <si>
    <t xml:space="preserve">Количество ЛЖВ, находящихся на попечении общинных организаций и участвующих в программах поддержки </t>
  </si>
  <si>
    <t xml:space="preserve">Указывается фактическое количество ЛЖВ,  получивших услугу через сообщества/инициативные группы/НПО и/или программы поддержки хотя бы один раз в квартал (и как минимум дважды за отчетное полугодие). </t>
  </si>
  <si>
    <t>Измеряется в абсолютных числах, расчет ведется по лицам, получившим услуги. Не кумулятивный.</t>
  </si>
  <si>
    <t>Отчетная документация организаций - СР (ежеквартально), БД МИС.</t>
  </si>
  <si>
    <t>Процент ЛУИН, охваченных программами по профилактике ВИЧ</t>
  </si>
  <si>
    <t>Индикатор  отражает процент ЛУИН, которые получили минимальный пакет услуг (шприцы, иглы, салфетки), презервативы и информационный материал (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</si>
  <si>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 включая заключенных ЛУИН; знаменатель: оценочное количество ЛУИН за 2013 г. </t>
  </si>
  <si>
    <t>Процент ЛУИН заключенных, охваченных программами по  профилактике ВИЧ</t>
  </si>
  <si>
    <t xml:space="preserve">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из числа заключенных. </t>
  </si>
  <si>
    <t>Не кумулятивный, данные от СР представляются в абсолютных числах. На уровне ОР осуществляется кумуляция данных и расчеты в процентах. Числитель:Количество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знаменатель: фактическое количество заключенных.</t>
  </si>
  <si>
    <t xml:space="preserve">Количество игл и шприцев, розданных на 1-го ЛУИН за год
</t>
  </si>
  <si>
    <t>Число шприцев, распространенных в рамках программ по обмену игл и шприцев на одно лицо, употребляющее инъекционные наркотики за год</t>
  </si>
  <si>
    <t xml:space="preserve">Кумулятивно за год. 
Числитель: Число игл и шприцев, распространенных в рамках ПОШ за последние 12 месяцев
Знаменатель: Оценочное число лиц, потребляющих инъекционные наркотики в стране за 2013 год. </t>
  </si>
  <si>
    <t xml:space="preserve">Процент ЛУИН получающих ОЗТ, которые находятся на лечении не менее 6 месяцев после начала лечения </t>
  </si>
  <si>
    <t xml:space="preserve">Индикатор отражает приверженность/удержание на опиоидной заместительной терапии и охватывает и гражданский, пенитенциарный системы (включая сайты CDC).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</si>
  <si>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</si>
  <si>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</si>
  <si>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</si>
  <si>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</si>
  <si>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</si>
  <si>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</si>
  <si>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фактическое число заключенных. </t>
  </si>
  <si>
    <t>Источником данных являются отчеты суб-получателей.</t>
  </si>
  <si>
    <t>Процент СР охваченных, программами по профилактике ВИЧ</t>
  </si>
  <si>
    <t>Процент СР, которые получили хотя бы один раз минимальный пакет услуг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</si>
  <si>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</si>
  <si>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</si>
  <si>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</si>
  <si>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</si>
  <si>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</si>
  <si>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</si>
  <si>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Процент МСМ, которые получили хотя бы один раз минимальный пакет услуг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</si>
  <si>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</si>
  <si>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</si>
  <si>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</si>
  <si>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</si>
  <si>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(взрослых и детей), у которых ТБ статус был оценен и зарегистрирован во время их последнего визита, среди всех взрослых и детей, вовлеченных в уход по ВИЧ</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</si>
  <si>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</si>
  <si>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</si>
  <si>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Данные РЦ СПИД, ЭС.</t>
  </si>
  <si>
    <t>Процент ЛЖВ, которые получали комбинированное лечение (АРТ и ТБ), из числа ЛЖВ с выявленным ТБ статусом</t>
  </si>
  <si>
    <t>Процент ЛЖВ с ТБ, получавших в  отчетном периоде антиретровирусную терапию и противотуберкулезное лечение.</t>
  </si>
  <si>
    <t>Числитель: Количество взрослых и детей с ВИЧ-инфекцией и ТБ, получавших в  отчетном периоде антиретровирусную терапию и противотуберкулезное лечение
Знаменатель: Количество ЛЖВ с ТБ</t>
  </si>
  <si>
    <t>Данные РЦ СПИД, программа ЭС.</t>
  </si>
  <si>
    <t>Процент ЛЖВ среди вновь взятых на Д-учет, получивших профилактику  изониазидом</t>
  </si>
  <si>
    <t>Процент ЛЖВ, получивших профилактику изониазидом среди вновь взятых на Д-учет.</t>
  </si>
  <si>
    <t>Числитель: Число ЛЖВ вновь взятых на Д-учет, которые получили  профилактику изониазидом (хотя бы одну дозу) за отчетный период
Знаменатель: Число ЛЖВ, вновь взятых  на диспансерный учет в организациях здравоохранения (Число взрослых и детей с ВИЧ-инфекцией которые были на приеме в медицинском учреждении, предоставляющем услуги при ВИЧ-инфекции,  хотя бы один раз в течение отчетного года) за отчетный период</t>
  </si>
  <si>
    <t>Процент ВИЧ-положительных беременных женщин, которые получали антиретровирусные препараты (АРВ) для снижения риска передачи от матери ребенку</t>
  </si>
  <si>
    <t xml:space="preserve">Индикатор рассчитывается в целом и в разбивке данных с учетом схемы назначения антиретровирусных препаратов и включает число ВИЧ-инфицированных беременных женщин, получивших полный курс антиретровирусной профилактики за отчетный период из оценочного числа ВИЧ-инфицированных беременных женщин, родивших за последние 12 месяцев. 
</t>
  </si>
  <si>
    <t>Кумулятивно за год. 
Числитель: Число ВИЧ-инфицированных беременных женщин, получивших полный курс антиретровирусной профилактики за отчетный период
Знаменатель: Оценочное число ВИЧ-инфицированных беременных женщин, родивших за последние 12 месяцев</t>
  </si>
  <si>
    <t>Данные РЦ СПИД, программа ЭС, Спектрум.</t>
  </si>
  <si>
    <t xml:space="preserve">Процент рожденных от ВИЧ-инфицированных женщин младенцев, прошедших вирусологический тест на ВИЧ в течение двух месяцев со дня рождения </t>
  </si>
  <si>
    <t xml:space="preserve">Индикатор включает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из оценочного числа ВИЧ-инфицированных беременных женщин, родивших за последние 12 месяцев. 
</t>
  </si>
  <si>
    <t xml:space="preserve">
Кумулятивно за год. 
Числитель: Число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Знаменатель: Оценочное число ВИЧ-инфицированных женщин, родивших  за последние 12 мес.</t>
  </si>
  <si>
    <t>Количество задокументированных нарушений прав человека (в разбивке по ключевым группам)</t>
  </si>
  <si>
    <t>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t>
  </si>
  <si>
    <t>Подсчитывается 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 задействованных в программе.</t>
  </si>
  <si>
    <t xml:space="preserve">Программные отчеты суб-получателей, задокументированные случаи. </t>
  </si>
  <si>
    <t>Количество организаций, участвующих в программе "Уличные юристы"</t>
  </si>
  <si>
    <t>Количество организаций и их сотрудников, задействованных в программе "Уличные Юристы".</t>
  </si>
  <si>
    <t>Подсчитывается количество НПО и их сотрдников, задействованных в программе "Уличные Юристы" за отчетный период.</t>
  </si>
  <si>
    <t>Программные отчеты суб-получателей, списки уличных юристов.</t>
  </si>
  <si>
    <t>Показатель по ТБ</t>
  </si>
  <si>
    <t>Показатель по ВИЧ /СПИД</t>
  </si>
  <si>
    <t>ВИЧ/СПИД</t>
  </si>
  <si>
    <t>Процент ЛУИН, охваченных программами по  профилактике ВИЧ</t>
  </si>
  <si>
    <t>Топ 10</t>
  </si>
  <si>
    <t>с текущим грантом</t>
  </si>
  <si>
    <t>Достигнуто на 110%</t>
  </si>
  <si>
    <t xml:space="preserve">Процент взрослых и детей с известным ВИЧ статусом, получающих антиретровирусную терапию на данный момент </t>
  </si>
  <si>
    <t>Достигнуто на 106%</t>
  </si>
  <si>
    <t>Достигнуто на 120%</t>
  </si>
  <si>
    <t>Ч:247
З:380
%:65</t>
  </si>
  <si>
    <t>Ч:123
З:241
%:51</t>
  </si>
  <si>
    <t>Ч: 2420
З: 8000
%: 30.3</t>
  </si>
  <si>
    <t>Ч: 2713
З: 8300
%: 33</t>
  </si>
  <si>
    <t>Ч:4260
З: 7103
%: 60</t>
  </si>
  <si>
    <t>Ч:4050
З: 7103
%: 57</t>
  </si>
  <si>
    <t xml:space="preserve"> Топ 10</t>
  </si>
  <si>
    <t>Ч: 3270
З: 11692
%: 28</t>
  </si>
  <si>
    <t xml:space="preserve">Ч: 3765
З: 11692
%:32.2 </t>
  </si>
  <si>
    <t>Ч: 5912
З: 25000
%: 23.6</t>
  </si>
  <si>
    <t>Ч: 6950
З: 25000
%: 28</t>
  </si>
  <si>
    <t>Ч:1630
З: 7103
%: 22.9</t>
  </si>
  <si>
    <t>Ч:1097
З: 7103
%: 15.4</t>
  </si>
  <si>
    <t>Ч: 1727
З: 11692
%: 14.8</t>
  </si>
  <si>
    <t>Ч: 1841
З: 11692
%: 15.7</t>
  </si>
  <si>
    <t>Процент взрослых и детей , у которых ТБ статус был оценен и зарегистрирован во время их последнего визита, среди всех взрослых и детей, вовлеченных в уход по ВИЧ</t>
  </si>
  <si>
    <t xml:space="preserve"> с текущим грантом</t>
  </si>
  <si>
    <t>95.6%</t>
  </si>
  <si>
    <t>94.6%</t>
  </si>
  <si>
    <t>61.6%</t>
  </si>
  <si>
    <t>Количество задокументированных нарушений прав человека (в разбивке по уязвимым группам)</t>
  </si>
  <si>
    <t>Количество игл и шприцев, розданных на 1 ЛУИН за год</t>
  </si>
  <si>
    <t>Ч:1450
З:8000
%: 18</t>
  </si>
  <si>
    <t>Ч:1354
З:8300
%: 16</t>
  </si>
  <si>
    <t>Информация о программе: ТБ</t>
  </si>
  <si>
    <t>Информация о программе: ВИЧ/СПИД</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</si>
  <si>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</si>
  <si>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</si>
  <si>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</si>
  <si>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</si>
  <si>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СР ВИЧ/СПИД</t>
  </si>
  <si>
    <t>СР ТБ</t>
  </si>
  <si>
    <t>Отчеты ССР для СР ТБ</t>
  </si>
  <si>
    <t>Отчеты ССР для СР ВИЧ/СПИД</t>
  </si>
  <si>
    <t>Отчеты СР для ОР ВИЧ СПИД</t>
  </si>
  <si>
    <t>Отчеты СР для ОР ТБ</t>
  </si>
  <si>
    <t xml:space="preserve">По компоненту ВИЧ - в первом квартале продолжили реализацию программы всего 32 Суб-получателя в рамках 42 СП-Соглашений. С апреля 2017 года 2 организации (ГЦПБС и ООЦПБС) стали Суб-суб-получателями МЗ КР. На конец 1-го полугодия 2017 года ПРООН работал с 30 СП в рамках 40 Соглашений, при наличии еще 2 ССП и 2 Соглашений. Все СП по всем Соглашениям получали финансирование. </t>
  </si>
  <si>
    <t>Комментарии по ВИЧ:</t>
  </si>
  <si>
    <t>Комментарии по ТБ:</t>
  </si>
  <si>
    <t>Комментрии:</t>
  </si>
  <si>
    <t>Замечания</t>
  </si>
  <si>
    <t>По компоненту ВИЧ - 34 из 40 ожидаемых программных отчетов от СП были получены своевременно, отчеты от 6 организаций - СП были получены позже установленного срока (15 число следующего за отчетным периодом месяца). 40 отчетов были проверены, доработаны СП и приняты в течение 30 календарных дней, 2 отчета были приняты после установленного срока (МЗ КР и ОФ "Матрица 2005, ПОШ"). Отчеты 2-х Суб-суб-получателей были приняты в рамках отчета МЗ КР.
Комментарии по ТБ: Все СР предоставили полные отчеты в установленные сроки</t>
  </si>
  <si>
    <t>По компоненту ВИЧ - Предварительных условий (ПУ) и/или Действий с установленным сроком исполнения (ДУС) не было. 
Все предваритиельные условия выполнены</t>
  </si>
  <si>
    <t>По компоненту ВИЧ - Все штатные позиции в программном отделе (7 человек) были заняты, дополнительно в отчетном периоде  были наняты 1 Эксперт по ВИЧ и 1 Фармацевт по индивидуальным контрактам.
По компоненту ТБ - Координатор гранта ТБ, Финансовый специалист, специалист по амбулаторному лечению и специалист МиО гранта ТБ</t>
  </si>
  <si>
    <t>Определение (на основании Плана мониторинга и оценки)</t>
  </si>
  <si>
    <t>Capreomycin  1000mg  Порошок для инъекций</t>
  </si>
  <si>
    <t>Kanamycin  1000mg  Порошок для инъекций</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</si>
  <si>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</si>
  <si>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</si>
  <si>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</si>
  <si>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</si>
  <si>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</si>
  <si>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</si>
  <si>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</si>
  <si>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</si>
  <si>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</si>
  <si>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</si>
  <si>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</si>
  <si>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</si>
  <si>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</si>
  <si>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</si>
  <si>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Метадон</t>
  </si>
  <si>
    <t>Процент взрослых и детей, получавших антиретровирусную терапию в отчетный период, у которых отмечено подавление вирусной нагрузки (т.е. ≤1000 копий)</t>
  </si>
  <si>
    <t>Ч:1644
З:2668
%: 62</t>
  </si>
  <si>
    <t xml:space="preserve">Все закупки были осуществлены в рамках бюджета, одобренного на период июль 2016-декабрь 2017 гг. </t>
  </si>
  <si>
    <t>Представленная информация отражает ситуацию на 30/06/17 (данные ежемесячного отчета по использованию ПТП). Остатки не включают ожидаемые поставки, которые были получены в период июль-декабрь 2017г. С учетом данных поставок в начале 2017 г. запасы были восполнены.</t>
  </si>
  <si>
    <t xml:space="preserve">Представленная информация отражает ситуацию на 30/06/17 (Данные Электронной базы слежения за случаями ВИЧ и данным РЦ СПИД). Представленная информация отражает данные по пациентам согласно Клинического протокола. Назначение и перевод пациентов на фиксированные схемы лечения производится, согласно плана подключения на АРТ на 2017 г. в частности  "Атрипла" (FDC FTC/TDF/EFV), “Кивекса” (FDC ABC/3TC). 
Остатки метадона на начало года составляли 29 кг 400 гр (покрывает 10 месяцев). </t>
  </si>
  <si>
    <t>Достигнуто на 69%</t>
  </si>
  <si>
    <t>Ч:272
З:400
%:68</t>
  </si>
  <si>
    <t>Ч:120
З:254
%:47.2</t>
  </si>
  <si>
    <t>Ч: 2640
З: 8000
%: 33</t>
  </si>
  <si>
    <t>Ч: 3629
З: 8443
%: 42.9</t>
  </si>
  <si>
    <t>Достигнуто на 86%</t>
  </si>
  <si>
    <t>Ч:4430
З: 7103
%: 62.4</t>
  </si>
  <si>
    <t>Ч:3790
З: 7103
%: 53.3</t>
  </si>
  <si>
    <t>Ч: 3815
З: 11692
%: 32.6</t>
  </si>
  <si>
    <t xml:space="preserve">Ч: 5344
З: 11692
%:45.7 </t>
  </si>
  <si>
    <t>Достигнуто на 114%</t>
  </si>
  <si>
    <t>Ч: 6600
З: 25000
%: 26.4</t>
  </si>
  <si>
    <t>Ч: 7503
З: 25000
%: 30</t>
  </si>
  <si>
    <t>Достигнуто на 66%</t>
  </si>
  <si>
    <t>Ч:2030
З: 7103
%: 28.6</t>
  </si>
  <si>
    <t>Ч:1350
З: 7103
%: 19</t>
  </si>
  <si>
    <t>Достигнуто на 103%</t>
  </si>
  <si>
    <t>Ч: 2158
З: 11692
%: 18.5</t>
  </si>
  <si>
    <t>Ч: 2237
З: 11692
%: 19.1</t>
  </si>
  <si>
    <t>Достигнуто на 105%</t>
  </si>
  <si>
    <t>Достигнуто на 108%</t>
  </si>
  <si>
    <t>Достигнуто на 118%</t>
  </si>
  <si>
    <t>Достигнуто на 95%</t>
  </si>
  <si>
    <t>Ч:1500
З:8000
%: 18.8</t>
  </si>
  <si>
    <t>Ч:1501
З:8443
%: 17.7</t>
  </si>
  <si>
    <t xml:space="preserve">В отчетный период услуги получили  5577 ЛУИН  в государственных ПОШ, 9386 ЛУИН в НПО и 1616 в ГСИН. После исключения дублирующих кодов, общее количество клиентов  охваченных программами по профилактике ВИЧ в отчетном периоде  составило 15859, в том числе 2036 женщин. </t>
  </si>
  <si>
    <t xml:space="preserve">В соответствии с официальными данными, представленными Центром СПИД Республики на 1 июля 2017 г., 2995 ЛЖВ получают АРВ лечение. В это число входят 2566 взрослых (из них: мужчин - 1384, женщин - 1182) и 429 детей (из них: дев. -170, мал. -259). </t>
  </si>
  <si>
    <t>За отчетный период 2851 ЛЖВ получили различные услуги через сообщества и/или программы поддержки, из них 2602 (включая 1279 женщин) получили услуги через Центры СПИД, ЦСМ, НПО, сети и 249 (включая 11 женщин) в ГСИН.</t>
  </si>
  <si>
    <t>Ч: 14375
З: 25 000
%: 57.5</t>
  </si>
  <si>
    <t>Ч: 15859
З: 25 000
%: 63.4</t>
  </si>
  <si>
    <t>Ч: 3100
З: 9300
%: 33.3</t>
  </si>
  <si>
    <t>Ч: 2995
З: 8500
%:35.2</t>
  </si>
  <si>
    <t xml:space="preserve">Ч: 1480
З:2694
%: 54.9% </t>
  </si>
  <si>
    <t>Ч: 2851
З:3128
%: 91</t>
  </si>
  <si>
    <t xml:space="preserve">За предыдущий отчетный период (Июль-Декабрь 2016) 254 ЛУИН вошли в программу и из них 120 находились на лечении не менее 6 месяцев после начала лечения, что составило 47.2%. За отчетный период всего 1445 ЛУИН были на ОЗТ, фактически на 30 июня 2017 г.  -1211 ЛУИН были на ОЗТ. </t>
  </si>
  <si>
    <t xml:space="preserve">За отчетный период 3629 заключенных (из них женщин- 185), прошли тестирование на ВИЧ и знают свои результаты из общего количества 8443 заключенных, что составило 42.9%. </t>
  </si>
  <si>
    <t>Шесть НПО, расположенных в городах Бишкек, Кант, Сокулук, Кызыл-Кия, Токмок, Чолпон-Ата, Каракол и в Джалал-Абадской, Ошской, Нарынской и Таласской областях реализуют программы профилактики ВИЧ среди данной уязвимой группы. В этот период 3790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В отчетный период 1679 СР прошли диагностику на ИППП.  
В течение отчетного периода участившиеся милицейские рейды послужили в качестве основного препятствия для деятельности профилактических программ.В течение 1-го семестра в 2017 году число полицейских рейдов увеличилось. Некоторые из результатов исследования «Результаты документирования насилия в отношении секс-работников в Кыргызстане»: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По сравнению с 1-м кварталом во 2-м квартале выросло число сообщений о вымогательствах со стороны сотрудников милиции с 70% до 94%.
В результате большинство СВ в Бишкеке скрыты и труднодоступны.</t>
  </si>
  <si>
    <t>Ч: 5344
З: 11692
%: 45.7</t>
  </si>
  <si>
    <t xml:space="preserve">Пять НПО осуществляли программы профилактики ВИЧ среди МСМ в отчетный период (охват: Ош, Джалал-Абад, Талас,Чуй, Иссык-Куль и город Бишкек). 5344 МСМ были охвачены минимальным пакетом услуг. Диагностику на ИППП прошли- 1350 МСМ. </t>
  </si>
  <si>
    <t xml:space="preserve">За отчетный период 7503 ЛУИН, включая ЛУИН заключенных и ОЗТ клиентов прошли тестирование на ВИЧ и знают свои результаты. Из них 91% (6812/7503)прошли экспресс тестирование. Доступность ЭТ для клиентов НПО отражается в увеличении числа протестированных. 
</t>
  </si>
  <si>
    <t xml:space="preserve">За отчетный период 1350 СР прошли тестирование на ВИЧ и знают свои результаты. Из них 78.3% (1058/1350) прошли экспресс тестирование. 
Охват тестированием на ВИЧ не достигается в основном из-за массовых рейдов со стороны милиции. В течение 1-го семестра в 2017 году число полицейских рейдов увеличилось. Некоторые из результатов исследования «Результаты документирования насилия в отношении секс-работников в Кыргызстане»: сотрудники милиции являются основными виновниками насилия и нарушений прав человека, продолжается дискриминационное применение административных статей (например, о «мелком хулиганстве») к секс-работникам, что представляет собой фактическую криминализацию секс-работы. По сравнению с 1-м кварталом во 2-м квартале выросло число сообщений о вымогательствах со стороны сотрудников милиции с 70% до 94%.
В результате большинство СВ в Бишкеке скрыты и труднодоступны.
</t>
  </si>
  <si>
    <t>Ч: 2237
З: 11692
%: 19</t>
  </si>
  <si>
    <t xml:space="preserve">За отчетный период 2237 МСМ прошли тестирование на ВИЧ и знают свои результаты. Из них 80 % (1788/2237) прошли экспресс тестирование. Доступность ЭТ для клиентов НПО отражается в увеличении числа протестированных. 
</t>
  </si>
  <si>
    <t>Из 3128 ЛЖВ (2713 взрослых и  415 детей) вовлеченных в уход по ВИЧ, ТБ статус был оценен у 3065 ЛЖВ (2651 взрослых и 414 детей)  во время отчетного периода, согласно национальному протоколу по ВИЧ. Данные предоставлены РЦ СПИД.</t>
  </si>
  <si>
    <t xml:space="preserve">Из 78 ВИЧ-инфицированных больных ТБ, 74 пациента получали комбинированную антиретровирусную терапию в соответствии с национально утвержденными протоколами лечения (или стандартами ВОЗ/ЮНЭЙДС), и которые начали получать лечение ТБ (в соответствии с руководящими принципами национальной программы по ТБ) в течение отчетного периода. </t>
  </si>
  <si>
    <t xml:space="preserve">
Из 241 ЛЖВ, вновь взятых  на диспансерный учет в организациях здравоохранения получили профилактику изониазидом (хотя бы одну дозу) за отчетный период 166 ЛЖВ, что составило 69%. </t>
  </si>
  <si>
    <t xml:space="preserve">За отчетный период были задокументированы 509 нарушений прав человека  со стороны уличных юристов (из них: ЛУИН-224 (включая ОЗТ- 44), СР-144, МСМ-12, ЛЖВ-129). </t>
  </si>
  <si>
    <t>За отчетный период всего 26 суб-получателей были задействованы в программе "Уличные Юристы".</t>
  </si>
  <si>
    <t>Процент ЛУИН заключенных, охваченных программами по профилактике ВИЧ</t>
  </si>
  <si>
    <t>Ч: 1501
З: 8443
%: 17.7</t>
  </si>
  <si>
    <t xml:space="preserve">За отчетный период 1501 ЛУИН заключенных, включая 21 женщин были охвачены программами по профилактике ВИЧ в ГСИН. Фактическое количество заключенных на 30.06.2017 г. составялет 8443 заключенных. </t>
  </si>
  <si>
    <t>Число  больных  с чувствительной формой ТБ, клторые находятся на амбулаторном этапе лечение, получающие мотивационную поддержку в виде денежных перечислений для лучшей приверженности.</t>
  </si>
  <si>
    <t>Отчетная документация организаций - СР: ежемесячные списки больныхТБ и ежеквартальные отчеты.</t>
  </si>
  <si>
    <t xml:space="preserve">Количество ранее излеченных ТБ случаев с результатом устойчивости на изониазид (Н) и рифампицин (R) за оценочный период к общему количеству бактериологически положительных ранее излеченных пациентов ТБ за оценочный период. </t>
  </si>
  <si>
    <t>Измеряется в абсолютных числах  на основании ежеквартальных статистических данных РЦИиЭ НЦФ.</t>
  </si>
  <si>
    <t>Иструмент учета данных  ежеквартельной форме ТБ 06, табл. 3 (числитель) и ТБ 06, табл. 3 (знаменатель);</t>
  </si>
  <si>
    <t xml:space="preserve">    Абсолютному количеству бактериологически подтвержденных случаев ЛУ РУ ТБ и/или МЛУ/ШЛУ выявленных за отчетный период.                                      
</t>
  </si>
  <si>
    <t xml:space="preserve">Отчетный инструмент  относится к форме ТБ 06, табл. 1. </t>
  </si>
  <si>
    <t xml:space="preserve">  Процент и абсолютное количество пациентов с симптомами туберкулеза, у которых выявлен активный ТБ методом Xpert MTB/RIF.
</t>
  </si>
  <si>
    <t xml:space="preserve"> Источником данных для этого индикатора будет являтся электронная база данных по ТБ.        
 Числитель: количество пациентов с симптомами или признаками ТБ, подлежащих обследованию методом  Xpert MTB/RIF с подтвержденной активной формой ТБ.    
Знаменатель: количество пациентов с симптомами или признаками ТБ, подлежащих обследованию методом  Xpert MTB/RIF.      </t>
  </si>
  <si>
    <t>РЦИиЭ НЦФ разработана учетно-отчетная форма для расчета данного показателя.</t>
  </si>
  <si>
    <t>«Эффективный контроль за туберкулезом и ВИЧ-инфекцией в Кыргызской Республике»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</si>
</sst>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0.00\ _₽_-;\-* #,##0.00\ _₽_-;_-* &quot;-&quot;??\ _₽_-;_-@_-"/>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_ * #,##0.00_ ;_ * \-#,##0.00_ ;_ * &quot;-&quot;??_ ;_ @_ "/>
    <numFmt numFmtId="175" formatCode="[$-409]d\-mmm\-yy;@"/>
  </numFmts>
  <fonts count="165">
    <font>
      <sz val="11"/>
      <color indexed="8"/>
      <name val="Calibri"/>
      <family val="2"/>
    </font>
    <font>
      <sz val="11"/>
      <color theme="1"/>
      <name val="Calibri"/>
      <family val="2"/>
      <charset val="204"/>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i/>
      <sz val="11"/>
      <color indexed="8"/>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b/>
      <i/>
      <sz val="14"/>
      <color indexed="12"/>
      <name val="Calibri"/>
      <family val="2"/>
    </font>
    <font>
      <sz val="11"/>
      <color indexed="8"/>
      <name val="Calibri"/>
      <family val="2"/>
    </font>
    <font>
      <b/>
      <sz val="11"/>
      <color indexed="8"/>
      <name val="Calibri"/>
      <family val="2"/>
    </font>
    <font>
      <sz val="9"/>
      <color indexed="8"/>
      <name val="Calibri"/>
      <family val="2"/>
    </font>
    <font>
      <sz val="11"/>
      <color indexed="8"/>
      <name val="Symbol"/>
      <family val="1"/>
      <charset val="2"/>
    </font>
    <font>
      <b/>
      <sz val="11"/>
      <color indexed="8"/>
      <name val="Arial"/>
      <family val="2"/>
      <charset val="204"/>
    </font>
    <font>
      <sz val="11"/>
      <name val="Calibri"/>
      <family val="2"/>
    </font>
    <font>
      <b/>
      <sz val="11"/>
      <name val="Calibri"/>
      <family val="2"/>
    </font>
    <font>
      <b/>
      <sz val="22"/>
      <color indexed="9"/>
      <name val="Calibri"/>
      <family val="2"/>
    </font>
    <font>
      <sz val="11"/>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sz val="9"/>
      <name val="Calibri"/>
      <family val="2"/>
    </font>
    <font>
      <b/>
      <sz val="12"/>
      <color indexed="8"/>
      <name val="Calibri"/>
      <family val="2"/>
      <charset val="204"/>
    </font>
    <font>
      <b/>
      <sz val="11"/>
      <color indexed="8"/>
      <name val="Calibri"/>
      <family val="2"/>
      <charset val="204"/>
    </font>
    <font>
      <sz val="10"/>
      <name val="Arial Cyr"/>
      <charset val="204"/>
    </font>
    <font>
      <sz val="11"/>
      <color rgb="FF1F497D"/>
      <name val="Calibri"/>
      <family val="2"/>
      <charset val="204"/>
    </font>
    <font>
      <sz val="10"/>
      <name val="Arial"/>
      <family val="2"/>
      <charset val="238"/>
    </font>
  </fonts>
  <fills count="49">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rgb="FFFFFF00"/>
        <bgColor indexed="64"/>
      </patternFill>
    </fill>
    <fill>
      <patternFill patternType="solid">
        <fgColor indexed="43"/>
        <bgColor indexed="51"/>
      </patternFill>
    </fill>
    <fill>
      <patternFill patternType="solid">
        <fgColor theme="9" tint="-0.249977111117893"/>
        <bgColor indexed="64"/>
      </patternFill>
    </fill>
    <fill>
      <patternFill patternType="solid">
        <fgColor rgb="FF99CCFF"/>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6" tint="0.59999389629810485"/>
        <bgColor indexed="64"/>
      </patternFill>
    </fill>
  </fills>
  <borders count="25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64"/>
      </left>
      <right style="thin">
        <color indexed="64"/>
      </right>
      <top style="thin">
        <color indexed="64"/>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thin">
        <color indexed="64"/>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s>
  <cellStyleXfs count="90">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3"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8" borderId="0" applyNumberFormat="0" applyBorder="0" applyAlignment="0" applyProtection="0"/>
    <xf numFmtId="0" fontId="16" fillId="12" borderId="0" applyNumberFormat="0" applyBorder="0" applyAlignment="0" applyProtection="0"/>
    <xf numFmtId="0" fontId="16" fillId="3" borderId="0" applyNumberFormat="0" applyBorder="0" applyAlignment="0" applyProtection="0"/>
    <xf numFmtId="0" fontId="16" fillId="12"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2" borderId="0" applyNumberFormat="0" applyBorder="0" applyAlignment="0" applyProtection="0"/>
    <xf numFmtId="0" fontId="16" fillId="17" borderId="0" applyNumberFormat="0" applyBorder="0" applyAlignment="0" applyProtection="0"/>
    <xf numFmtId="0" fontId="6" fillId="6" borderId="0" applyNumberFormat="0" applyBorder="0" applyAlignment="0" applyProtection="0"/>
    <xf numFmtId="0" fontId="10" fillId="2" borderId="1" applyNumberFormat="0" applyAlignment="0" applyProtection="0"/>
    <xf numFmtId="0" fontId="12" fillId="18" borderId="2" applyNumberFormat="0" applyAlignment="0" applyProtection="0"/>
    <xf numFmtId="170" fontId="3" fillId="0" borderId="0" applyFont="0" applyFill="0" applyBorder="0" applyAlignment="0" applyProtection="0"/>
    <xf numFmtId="0" fontId="14" fillId="0" borderId="0" applyNumberFormat="0" applyFill="0" applyBorder="0" applyAlignment="0" applyProtection="0"/>
    <xf numFmtId="0" fontId="5" fillId="7" borderId="0" applyNumberFormat="0" applyBorder="0" applyAlignment="0" applyProtection="0"/>
    <xf numFmtId="0" fontId="75" fillId="0" borderId="4" applyNumberFormat="0" applyFill="0" applyAlignment="0" applyProtection="0"/>
    <xf numFmtId="0" fontId="76" fillId="0" borderId="5" applyNumberFormat="0" applyFill="0" applyAlignment="0" applyProtection="0"/>
    <xf numFmtId="0" fontId="42" fillId="0" borderId="6" applyNumberFormat="0" applyFill="0" applyAlignment="0" applyProtection="0"/>
    <xf numFmtId="0" fontId="42" fillId="0" borderId="0" applyNumberFormat="0" applyFill="0" applyBorder="0" applyAlignment="0" applyProtection="0"/>
    <xf numFmtId="0" fontId="8" fillId="3" borderId="1" applyNumberFormat="0" applyAlignment="0" applyProtection="0"/>
    <xf numFmtId="0" fontId="11" fillId="0" borderId="3" applyNumberFormat="0" applyFill="0" applyAlignment="0" applyProtection="0"/>
    <xf numFmtId="164" fontId="3" fillId="0" borderId="0" applyFill="0" applyBorder="0" applyAlignment="0" applyProtection="0"/>
    <xf numFmtId="164" fontId="138"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2" fillId="0" borderId="0"/>
    <xf numFmtId="164" fontId="2" fillId="0" borderId="0"/>
    <xf numFmtId="164" fontId="138" fillId="0" borderId="0"/>
    <xf numFmtId="164" fontId="138" fillId="0" borderId="0"/>
    <xf numFmtId="164" fontId="138" fillId="0" borderId="0"/>
    <xf numFmtId="164" fontId="138" fillId="0" borderId="0"/>
    <xf numFmtId="0" fontId="68" fillId="0" borderId="0"/>
    <xf numFmtId="0" fontId="3" fillId="4" borderId="7" applyNumberFormat="0" applyFont="0" applyAlignment="0" applyProtection="0"/>
    <xf numFmtId="0" fontId="9" fillId="2" borderId="8" applyNumberFormat="0" applyAlignment="0" applyProtection="0"/>
    <xf numFmtId="0" fontId="43" fillId="0" borderId="0" applyNumberFormat="0" applyFill="0" applyBorder="0" applyAlignment="0" applyProtection="0"/>
    <xf numFmtId="164" fontId="138" fillId="0" borderId="9" applyNumberFormat="0" applyFill="0" applyAlignment="0" applyProtection="0"/>
    <xf numFmtId="164" fontId="2" fillId="0" borderId="9" applyNumberFormat="0" applyFill="0" applyAlignment="0" applyProtection="0"/>
    <xf numFmtId="164" fontId="2" fillId="0" borderId="9" applyNumberFormat="0" applyFill="0" applyAlignment="0" applyProtection="0"/>
    <xf numFmtId="164" fontId="138" fillId="0" borderId="9" applyNumberFormat="0" applyFill="0" applyAlignment="0" applyProtection="0"/>
    <xf numFmtId="0" fontId="77" fillId="0" borderId="0" applyNumberForma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162" fillId="0" borderId="0"/>
    <xf numFmtId="0" fontId="138" fillId="0" borderId="0"/>
    <xf numFmtId="174" fontId="3" fillId="0" borderId="0" applyFont="0" applyFill="0" applyBorder="0" applyAlignment="0" applyProtection="0"/>
    <xf numFmtId="174" fontId="3" fillId="0" borderId="0" applyFont="0" applyFill="0" applyBorder="0" applyAlignment="0" applyProtection="0"/>
    <xf numFmtId="43" fontId="3" fillId="0" borderId="0" applyFont="0" applyFill="0" applyBorder="0" applyAlignment="0" applyProtection="0"/>
    <xf numFmtId="43" fontId="3" fillId="0" borderId="0" applyFill="0" applyBorder="0" applyAlignment="0" applyProtection="0"/>
    <xf numFmtId="43" fontId="138" fillId="0" borderId="0"/>
    <xf numFmtId="175" fontId="3" fillId="0" borderId="0"/>
    <xf numFmtId="43" fontId="138" fillId="0" borderId="0"/>
    <xf numFmtId="0" fontId="156" fillId="0" borderId="0"/>
    <xf numFmtId="175" fontId="156" fillId="0" borderId="0"/>
    <xf numFmtId="43" fontId="138" fillId="0" borderId="0"/>
    <xf numFmtId="43" fontId="138" fillId="0" borderId="0"/>
    <xf numFmtId="43" fontId="138" fillId="0" borderId="0"/>
    <xf numFmtId="43" fontId="138" fillId="0" borderId="9" applyNumberFormat="0" applyFill="0" applyAlignment="0" applyProtection="0"/>
    <xf numFmtId="43" fontId="138" fillId="0" borderId="9" applyNumberFormat="0" applyFill="0" applyAlignment="0" applyProtection="0"/>
    <xf numFmtId="175" fontId="162" fillId="0" borderId="0"/>
    <xf numFmtId="0" fontId="156" fillId="0" borderId="0"/>
    <xf numFmtId="175" fontId="156" fillId="0" borderId="0"/>
    <xf numFmtId="0" fontId="3" fillId="0" borderId="0"/>
    <xf numFmtId="175" fontId="3" fillId="0" borderId="0"/>
    <xf numFmtId="9" fontId="2" fillId="0" borderId="0" applyFont="0" applyFill="0" applyBorder="0" applyAlignment="0" applyProtection="0"/>
    <xf numFmtId="9" fontId="3" fillId="0" borderId="0" applyFont="0" applyFill="0" applyBorder="0" applyAlignment="0" applyProtection="0"/>
    <xf numFmtId="43" fontId="2" fillId="0" borderId="0" applyFont="0" applyFill="0" applyBorder="0" applyAlignment="0" applyProtection="0"/>
    <xf numFmtId="174" fontId="3" fillId="0" borderId="0" applyFont="0" applyFill="0" applyBorder="0" applyAlignment="0" applyProtection="0"/>
    <xf numFmtId="0" fontId="1" fillId="0" borderId="0"/>
    <xf numFmtId="0" fontId="164" fillId="0" borderId="0"/>
  </cellStyleXfs>
  <cellXfs count="1208">
    <xf numFmtId="0" fontId="0" fillId="0" borderId="0" xfId="0"/>
    <xf numFmtId="164" fontId="17" fillId="0" borderId="0" xfId="38" applyFont="1" applyFill="1" applyAlignment="1">
      <alignment vertical="center"/>
    </xf>
    <xf numFmtId="0" fontId="0" fillId="0" borderId="0" xfId="0" applyBorder="1" applyProtection="1"/>
    <xf numFmtId="0" fontId="0" fillId="0" borderId="0" xfId="0" applyProtection="1"/>
    <xf numFmtId="164" fontId="23" fillId="0" borderId="0" xfId="38" applyFont="1" applyFill="1" applyAlignment="1" applyProtection="1">
      <alignment vertical="center"/>
    </xf>
    <xf numFmtId="0" fontId="22" fillId="0" borderId="0" xfId="0" applyFont="1" applyProtection="1"/>
    <xf numFmtId="164" fontId="20" fillId="0" borderId="0" xfId="49" applyFont="1" applyFill="1" applyAlignment="1" applyProtection="1"/>
    <xf numFmtId="164" fontId="20" fillId="0" borderId="0" xfId="49" applyFont="1" applyFill="1" applyAlignment="1" applyProtection="1">
      <alignment horizontal="center"/>
    </xf>
    <xf numFmtId="164" fontId="20" fillId="0" borderId="0" xfId="49" applyFont="1" applyFill="1" applyAlignment="1" applyProtection="1">
      <alignment horizontal="right"/>
    </xf>
    <xf numFmtId="164" fontId="20" fillId="0" borderId="0" xfId="49" applyFont="1" applyFill="1" applyBorder="1" applyAlignment="1" applyProtection="1">
      <alignment horizontal="center"/>
    </xf>
    <xf numFmtId="164" fontId="138" fillId="0" borderId="0" xfId="48" applyProtection="1"/>
    <xf numFmtId="164" fontId="16" fillId="0" borderId="0" xfId="48" applyFont="1" applyProtection="1"/>
    <xf numFmtId="0" fontId="19" fillId="0" borderId="0" xfId="48" applyNumberFormat="1" applyFont="1" applyBorder="1" applyProtection="1"/>
    <xf numFmtId="164" fontId="138" fillId="0" borderId="0" xfId="50" applyProtection="1"/>
    <xf numFmtId="164" fontId="138" fillId="0" borderId="0" xfId="50" applyFill="1" applyBorder="1" applyAlignment="1" applyProtection="1">
      <alignment horizontal="left"/>
    </xf>
    <xf numFmtId="0" fontId="0" fillId="0" borderId="0" xfId="0" applyFill="1" applyBorder="1" applyProtection="1"/>
    <xf numFmtId="164" fontId="138" fillId="0" borderId="0" xfId="50" applyFill="1" applyBorder="1" applyProtection="1"/>
    <xf numFmtId="0" fontId="16" fillId="0" borderId="0" xfId="0" applyFont="1" applyProtection="1"/>
    <xf numFmtId="164" fontId="16" fillId="0" borderId="0" xfId="50" applyFont="1" applyProtection="1"/>
    <xf numFmtId="0" fontId="0" fillId="0" borderId="0" xfId="0" applyBorder="1"/>
    <xf numFmtId="0" fontId="0" fillId="0" borderId="0" xfId="0" applyFill="1" applyBorder="1"/>
    <xf numFmtId="15" fontId="30" fillId="0" borderId="0" xfId="0" applyNumberFormat="1" applyFont="1" applyFill="1" applyBorder="1" applyAlignment="1" applyProtection="1">
      <alignment horizontal="center" vertical="center" wrapText="1"/>
      <protection locked="0"/>
    </xf>
    <xf numFmtId="164" fontId="29" fillId="0" borderId="0" xfId="0" applyNumberFormat="1" applyFont="1"/>
    <xf numFmtId="164" fontId="29" fillId="0" borderId="0" xfId="0" applyNumberFormat="1" applyFont="1" applyAlignment="1">
      <alignment horizontal="right"/>
    </xf>
    <xf numFmtId="166" fontId="29" fillId="0" borderId="0" xfId="62" applyNumberFormat="1" applyFont="1" applyAlignment="1">
      <alignment horizontal="left"/>
    </xf>
    <xf numFmtId="164" fontId="17" fillId="0" borderId="0" xfId="47" applyFont="1" applyFill="1" applyAlignment="1">
      <alignment vertical="center"/>
    </xf>
    <xf numFmtId="0" fontId="0" fillId="0" borderId="10" xfId="0" applyBorder="1" applyAlignment="1">
      <alignment horizontal="center"/>
    </xf>
    <xf numFmtId="0" fontId="15" fillId="0" borderId="0" xfId="0" applyFont="1" applyBorder="1" applyAlignment="1">
      <alignment horizontal="center"/>
    </xf>
    <xf numFmtId="0" fontId="44" fillId="0" borderId="0" xfId="0" applyFont="1"/>
    <xf numFmtId="0" fontId="44" fillId="0" borderId="0" xfId="0" applyFont="1" applyAlignment="1">
      <alignment horizontal="right"/>
    </xf>
    <xf numFmtId="0" fontId="44" fillId="0" borderId="0" xfId="0" applyFont="1" applyBorder="1"/>
    <xf numFmtId="0" fontId="47" fillId="0" borderId="0" xfId="0" applyFont="1"/>
    <xf numFmtId="0" fontId="44" fillId="0" borderId="0" xfId="0" applyNumberFormat="1" applyFont="1" applyBorder="1"/>
    <xf numFmtId="0" fontId="0" fillId="0" borderId="0" xfId="0" applyFill="1"/>
    <xf numFmtId="10" fontId="7" fillId="0" borderId="0" xfId="61" applyNumberFormat="1" applyFont="1" applyFill="1" applyBorder="1" applyAlignment="1">
      <alignment horizontal="center"/>
    </xf>
    <xf numFmtId="10" fontId="7" fillId="0" borderId="0" xfId="61" applyNumberFormat="1" applyFont="1" applyFill="1" applyBorder="1" applyAlignment="1" applyProtection="1">
      <alignment horizontal="center"/>
      <protection locked="0"/>
    </xf>
    <xf numFmtId="164" fontId="29" fillId="0" borderId="0" xfId="0" applyNumberFormat="1" applyFont="1" applyFill="1" applyBorder="1" applyAlignment="1"/>
    <xf numFmtId="164" fontId="138" fillId="0" borderId="0" xfId="59" applyFill="1" applyBorder="1" applyAlignment="1" applyProtection="1">
      <alignment vertical="center"/>
      <protection locked="0"/>
    </xf>
    <xf numFmtId="165" fontId="33" fillId="0" borderId="0" xfId="0" applyNumberFormat="1" applyFont="1" applyFill="1" applyBorder="1" applyAlignment="1">
      <alignment horizontal="center"/>
    </xf>
    <xf numFmtId="0" fontId="27" fillId="0" borderId="0" xfId="0" applyFont="1" applyFill="1" applyBorder="1" applyAlignment="1">
      <alignment horizontal="centerContinuous"/>
    </xf>
    <xf numFmtId="0" fontId="0" fillId="0" borderId="0" xfId="0" applyFill="1" applyBorder="1" applyAlignment="1">
      <alignment horizontal="centerContinuous"/>
    </xf>
    <xf numFmtId="164" fontId="40"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8" fillId="0" borderId="0" xfId="56" applyNumberFormat="1" applyFill="1" applyBorder="1" applyAlignment="1" applyProtection="1">
      <alignment horizontal="center"/>
      <protection locked="0"/>
    </xf>
    <xf numFmtId="0" fontId="16" fillId="0" borderId="0" xfId="0" applyFont="1" applyFill="1" applyBorder="1" applyAlignment="1" applyProtection="1">
      <alignment horizontal="center"/>
    </xf>
    <xf numFmtId="0" fontId="24" fillId="0" borderId="0" xfId="0" applyFont="1" applyFill="1" applyAlignment="1" applyProtection="1"/>
    <xf numFmtId="0" fontId="16" fillId="0" borderId="0" xfId="0" applyFont="1" applyAlignment="1" applyProtection="1">
      <alignment horizontal="left" indent="1"/>
    </xf>
    <xf numFmtId="0" fontId="19" fillId="0" borderId="0" xfId="0" applyFont="1" applyAlignment="1" applyProtection="1">
      <alignment horizontal="left" indent="1"/>
    </xf>
    <xf numFmtId="0" fontId="16" fillId="0" borderId="0" xfId="0" applyFont="1" applyFill="1" applyBorder="1" applyProtection="1"/>
    <xf numFmtId="164" fontId="70" fillId="0" borderId="0" xfId="48" applyFont="1" applyProtection="1"/>
    <xf numFmtId="164" fontId="70" fillId="0" borderId="0" xfId="50" applyFont="1" applyProtection="1"/>
    <xf numFmtId="0" fontId="70" fillId="0" borderId="10" xfId="0" applyFont="1" applyFill="1" applyBorder="1" applyAlignment="1" applyProtection="1">
      <alignment horizontal="center"/>
    </xf>
    <xf numFmtId="0" fontId="70" fillId="0" borderId="10" xfId="0" applyFont="1" applyFill="1" applyBorder="1" applyProtection="1"/>
    <xf numFmtId="164" fontId="70" fillId="0" borderId="10" xfId="50" applyFont="1" applyBorder="1" applyProtection="1"/>
    <xf numFmtId="0" fontId="71" fillId="0" borderId="10" xfId="0" applyFont="1" applyBorder="1" applyAlignment="1" applyProtection="1">
      <alignment horizontal="left" indent="1"/>
    </xf>
    <xf numFmtId="0" fontId="72" fillId="0" borderId="10" xfId="0" applyFont="1" applyBorder="1"/>
    <xf numFmtId="0" fontId="73" fillId="19" borderId="10" xfId="0" applyFont="1" applyFill="1" applyBorder="1" applyAlignment="1" applyProtection="1">
      <alignment horizontal="center"/>
    </xf>
    <xf numFmtId="0" fontId="73" fillId="19" borderId="10" xfId="0" applyFont="1" applyFill="1" applyBorder="1" applyAlignment="1">
      <alignment horizontal="center"/>
    </xf>
    <xf numFmtId="0" fontId="22" fillId="0" borderId="0" xfId="0" applyFont="1"/>
    <xf numFmtId="3" fontId="16" fillId="20" borderId="11" xfId="0" applyNumberFormat="1" applyFont="1" applyFill="1" applyBorder="1" applyAlignment="1">
      <alignment horizontal="right"/>
    </xf>
    <xf numFmtId="3" fontId="16" fillId="20" borderId="11" xfId="62" applyNumberFormat="1" applyFont="1" applyFill="1" applyBorder="1"/>
    <xf numFmtId="9" fontId="16" fillId="20" borderId="11" xfId="61" applyFont="1" applyFill="1" applyBorder="1"/>
    <xf numFmtId="9" fontId="16" fillId="20" borderId="11" xfId="61" applyNumberFormat="1" applyFont="1" applyFill="1" applyBorder="1"/>
    <xf numFmtId="0" fontId="16" fillId="20" borderId="11" xfId="0" applyFont="1" applyFill="1" applyBorder="1"/>
    <xf numFmtId="9" fontId="16" fillId="20" borderId="11" xfId="61" applyFont="1" applyFill="1" applyBorder="1" applyAlignment="1">
      <alignment horizontal="center"/>
    </xf>
    <xf numFmtId="0" fontId="16" fillId="0" borderId="0" xfId="0" applyFont="1"/>
    <xf numFmtId="0" fontId="34" fillId="0" borderId="0" xfId="0" applyFont="1" applyAlignment="1">
      <alignment horizontal="center"/>
    </xf>
    <xf numFmtId="0" fontId="15" fillId="0" borderId="0" xfId="0" applyFont="1"/>
    <xf numFmtId="0" fontId="47" fillId="0" borderId="0" xfId="0" applyFont="1" applyFill="1"/>
    <xf numFmtId="0" fontId="80" fillId="19" borderId="12" xfId="0" applyFont="1" applyFill="1" applyBorder="1" applyAlignment="1">
      <alignment vertical="center"/>
    </xf>
    <xf numFmtId="0" fontId="78" fillId="0" borderId="0" xfId="52" applyNumberFormat="1" applyFont="1" applyFill="1" applyBorder="1" applyAlignment="1">
      <alignment horizontal="center" vertical="center" wrapText="1"/>
    </xf>
    <xf numFmtId="0" fontId="78"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2" fillId="0" borderId="0" xfId="0" applyNumberFormat="1" applyFont="1" applyFill="1" applyBorder="1" applyAlignment="1">
      <alignment horizontal="center"/>
    </xf>
    <xf numFmtId="1" fontId="83" fillId="20" borderId="0" xfId="0" applyNumberFormat="1" applyFont="1" applyFill="1" applyBorder="1" applyAlignment="1">
      <alignment horizontal="center"/>
    </xf>
    <xf numFmtId="0" fontId="83" fillId="0" borderId="0" xfId="0" applyFont="1" applyFill="1" applyBorder="1" applyAlignment="1" applyProtection="1">
      <alignment horizontal="left"/>
    </xf>
    <xf numFmtId="0" fontId="84" fillId="0" borderId="0" xfId="0" applyFont="1"/>
    <xf numFmtId="164" fontId="40" fillId="0" borderId="0" xfId="59" applyFont="1" applyFill="1" applyBorder="1" applyAlignment="1" applyProtection="1">
      <alignment horizontal="center" vertical="center"/>
      <protection locked="0"/>
    </xf>
    <xf numFmtId="15" fontId="0" fillId="0" borderId="0" xfId="0" applyNumberFormat="1"/>
    <xf numFmtId="164" fontId="32" fillId="0" borderId="14" xfId="59" applyFont="1" applyBorder="1" applyAlignment="1" applyProtection="1"/>
    <xf numFmtId="164" fontId="138" fillId="0" borderId="14" xfId="59" applyFill="1" applyBorder="1" applyAlignment="1" applyProtection="1">
      <alignment vertical="center"/>
    </xf>
    <xf numFmtId="164" fontId="4" fillId="0" borderId="14" xfId="59" applyFont="1" applyFill="1" applyBorder="1" applyAlignment="1" applyProtection="1">
      <alignment vertical="center"/>
    </xf>
    <xf numFmtId="164" fontId="32" fillId="0" borderId="0" xfId="59" applyFont="1" applyBorder="1" applyAlignment="1" applyProtection="1"/>
    <xf numFmtId="164" fontId="138" fillId="0" borderId="0" xfId="59" applyFill="1" applyBorder="1" applyAlignment="1" applyProtection="1">
      <alignment vertical="center"/>
    </xf>
    <xf numFmtId="164" fontId="4" fillId="0" borderId="0" xfId="59" applyFont="1" applyFill="1" applyBorder="1" applyAlignment="1" applyProtection="1">
      <alignment vertical="center"/>
    </xf>
    <xf numFmtId="0" fontId="33" fillId="0" borderId="15" xfId="0" applyFont="1" applyBorder="1" applyAlignment="1" applyProtection="1">
      <alignment horizontal="center"/>
    </xf>
    <xf numFmtId="15" fontId="33" fillId="0" borderId="16" xfId="0" applyNumberFormat="1" applyFont="1" applyBorder="1" applyAlignment="1" applyProtection="1">
      <alignment horizontal="center"/>
    </xf>
    <xf numFmtId="0" fontId="33" fillId="0" borderId="17" xfId="0" applyFont="1" applyBorder="1" applyAlignment="1" applyProtection="1">
      <alignment horizontal="center"/>
    </xf>
    <xf numFmtId="166" fontId="16" fillId="0" borderId="0" xfId="0" applyNumberFormat="1" applyFont="1" applyFill="1" applyBorder="1" applyAlignment="1" applyProtection="1"/>
    <xf numFmtId="0" fontId="7" fillId="0" borderId="0" xfId="0" applyFont="1" applyFill="1" applyBorder="1" applyAlignment="1" applyProtection="1">
      <alignment horizontal="centerContinuous"/>
    </xf>
    <xf numFmtId="10" fontId="7" fillId="0" borderId="0" xfId="61" applyNumberFormat="1" applyFont="1" applyFill="1" applyBorder="1" applyAlignment="1" applyProtection="1">
      <alignment horizontal="center"/>
    </xf>
    <xf numFmtId="0" fontId="7" fillId="0" borderId="0" xfId="0" applyFont="1" applyFill="1" applyBorder="1" applyAlignment="1" applyProtection="1"/>
    <xf numFmtId="0" fontId="27" fillId="0" borderId="0" xfId="0" applyFont="1" applyFill="1" applyBorder="1" applyAlignment="1" applyProtection="1">
      <alignment horizontal="centerContinuous" wrapText="1"/>
    </xf>
    <xf numFmtId="0" fontId="27"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9" fillId="0" borderId="18" xfId="59" applyFont="1" applyBorder="1" applyAlignment="1" applyProtection="1"/>
    <xf numFmtId="164" fontId="40" fillId="0" borderId="18" xfId="59" applyFont="1" applyFill="1" applyBorder="1" applyAlignment="1" applyProtection="1">
      <alignment vertical="center"/>
    </xf>
    <xf numFmtId="164" fontId="40" fillId="0" borderId="0" xfId="59" applyFont="1" applyFill="1" applyBorder="1" applyAlignment="1" applyProtection="1">
      <alignment vertical="center"/>
    </xf>
    <xf numFmtId="164" fontId="39" fillId="0" borderId="0" xfId="59" applyFont="1" applyBorder="1" applyAlignment="1" applyProtection="1"/>
    <xf numFmtId="164" fontId="41" fillId="0" borderId="0" xfId="59" applyFont="1" applyFill="1" applyBorder="1" applyAlignment="1" applyProtection="1">
      <alignment vertical="center"/>
    </xf>
    <xf numFmtId="0" fontId="15" fillId="0" borderId="0" xfId="0" applyFont="1" applyBorder="1" applyAlignment="1" applyProtection="1">
      <alignment horizontal="center"/>
    </xf>
    <xf numFmtId="0" fontId="15" fillId="0" borderId="19" xfId="0" applyFont="1" applyBorder="1" applyAlignment="1" applyProtection="1">
      <alignment horizontal="center"/>
    </xf>
    <xf numFmtId="0" fontId="15" fillId="0" borderId="19" xfId="0" applyFont="1" applyBorder="1" applyAlignment="1" applyProtection="1">
      <alignment horizontal="center" wrapText="1"/>
    </xf>
    <xf numFmtId="0" fontId="15" fillId="0" borderId="20" xfId="0" applyFont="1" applyBorder="1" applyAlignment="1" applyProtection="1">
      <alignment horizontal="center"/>
    </xf>
    <xf numFmtId="1" fontId="22" fillId="20" borderId="21" xfId="0" applyNumberFormat="1" applyFont="1" applyFill="1" applyBorder="1" applyAlignment="1" applyProtection="1">
      <alignment horizontal="center"/>
    </xf>
    <xf numFmtId="0" fontId="15" fillId="0" borderId="22" xfId="0" applyFont="1" applyBorder="1" applyAlignment="1" applyProtection="1">
      <alignment horizontal="center"/>
    </xf>
    <xf numFmtId="1" fontId="22" fillId="20" borderId="23" xfId="0" applyNumberFormat="1" applyFont="1" applyFill="1" applyBorder="1" applyAlignment="1" applyProtection="1">
      <alignment horizontal="center"/>
    </xf>
    <xf numFmtId="0" fontId="0" fillId="0" borderId="24" xfId="0" applyBorder="1" applyProtection="1"/>
    <xf numFmtId="0" fontId="0" fillId="0" borderId="25" xfId="0" applyBorder="1" applyAlignment="1" applyProtection="1">
      <alignment horizontal="center"/>
    </xf>
    <xf numFmtId="0" fontId="0" fillId="0" borderId="22" xfId="0" applyBorder="1" applyAlignment="1" applyProtection="1">
      <alignment horizontal="center"/>
    </xf>
    <xf numFmtId="0" fontId="0" fillId="0" borderId="0" xfId="0" applyFill="1" applyBorder="1" applyAlignment="1" applyProtection="1">
      <alignment horizontal="center" wrapText="1"/>
    </xf>
    <xf numFmtId="164" fontId="101" fillId="0" borderId="0" xfId="62" applyFont="1" applyFill="1" applyBorder="1" applyProtection="1"/>
    <xf numFmtId="164" fontId="0" fillId="0" borderId="0" xfId="0" applyNumberFormat="1" applyFill="1" applyBorder="1" applyProtection="1"/>
    <xf numFmtId="164" fontId="69" fillId="0" borderId="26" xfId="59" applyFont="1" applyFill="1" applyBorder="1" applyAlignment="1" applyProtection="1"/>
    <xf numFmtId="164" fontId="40" fillId="0" borderId="26" xfId="59" applyFont="1" applyFill="1" applyBorder="1" applyAlignment="1" applyProtection="1">
      <alignment vertical="center"/>
    </xf>
    <xf numFmtId="3" fontId="68" fillId="22" borderId="10" xfId="0" applyNumberFormat="1" applyFont="1" applyFill="1" applyBorder="1" applyAlignment="1" applyProtection="1">
      <alignment vertical="center"/>
      <protection locked="0"/>
    </xf>
    <xf numFmtId="164" fontId="29" fillId="0" borderId="0" xfId="0" applyNumberFormat="1" applyFont="1" applyAlignment="1" applyProtection="1">
      <alignment horizontal="right"/>
    </xf>
    <xf numFmtId="166" fontId="29" fillId="0" borderId="0" xfId="62" applyNumberFormat="1" applyFont="1" applyAlignment="1" applyProtection="1">
      <alignment horizontal="left"/>
    </xf>
    <xf numFmtId="15" fontId="29" fillId="0" borderId="0" xfId="0" applyNumberFormat="1" applyFont="1" applyAlignment="1" applyProtection="1">
      <alignment horizontal="left"/>
    </xf>
    <xf numFmtId="15" fontId="29" fillId="0" borderId="0" xfId="0" applyNumberFormat="1" applyFont="1" applyAlignment="1" applyProtection="1">
      <alignment horizontal="right"/>
    </xf>
    <xf numFmtId="164" fontId="29" fillId="0" borderId="0" xfId="0" applyNumberFormat="1" applyFont="1" applyProtection="1"/>
    <xf numFmtId="164" fontId="29" fillId="0" borderId="0" xfId="0" applyNumberFormat="1" applyFont="1" applyBorder="1" applyProtection="1"/>
    <xf numFmtId="164" fontId="29" fillId="0" borderId="0" xfId="0" applyNumberFormat="1" applyFont="1" applyBorder="1" applyAlignment="1" applyProtection="1">
      <alignment horizontal="right"/>
    </xf>
    <xf numFmtId="166" fontId="29" fillId="0" borderId="0" xfId="62" applyNumberFormat="1" applyFont="1" applyBorder="1" applyAlignment="1" applyProtection="1">
      <alignment horizontal="left"/>
    </xf>
    <xf numFmtId="0" fontId="20" fillId="0" borderId="0" xfId="0" applyFont="1" applyBorder="1" applyAlignment="1" applyProtection="1">
      <alignment horizontal="center"/>
    </xf>
    <xf numFmtId="0" fontId="20" fillId="0" borderId="0" xfId="0" applyFont="1" applyAlignment="1" applyProtection="1">
      <alignment horizontal="center"/>
    </xf>
    <xf numFmtId="0" fontId="35" fillId="0" borderId="0" xfId="0" applyFont="1" applyBorder="1" applyProtection="1"/>
    <xf numFmtId="15" fontId="27" fillId="0" borderId="0" xfId="0" applyNumberFormat="1" applyFont="1" applyFill="1" applyBorder="1" applyAlignment="1" applyProtection="1"/>
    <xf numFmtId="15" fontId="27" fillId="0" borderId="0" xfId="0" applyNumberFormat="1" applyFont="1" applyFill="1" applyBorder="1" applyAlignment="1" applyProtection="1">
      <alignment horizontal="center" wrapText="1"/>
    </xf>
    <xf numFmtId="0" fontId="27" fillId="0" borderId="0" xfId="0" applyFont="1" applyFill="1" applyBorder="1" applyProtection="1"/>
    <xf numFmtId="0" fontId="0" fillId="0" borderId="0" xfId="0" applyFill="1" applyBorder="1" applyAlignment="1" applyProtection="1">
      <alignment horizontal="center"/>
    </xf>
    <xf numFmtId="0" fontId="27" fillId="0" borderId="0" xfId="0" applyFont="1" applyFill="1" applyBorder="1" applyAlignment="1" applyProtection="1"/>
    <xf numFmtId="0" fontId="0" fillId="0" borderId="25" xfId="0" applyBorder="1" applyAlignment="1" applyProtection="1">
      <alignment horizontal="center" wrapText="1"/>
    </xf>
    <xf numFmtId="0" fontId="44" fillId="0" borderId="0" xfId="0" applyFont="1" applyProtection="1"/>
    <xf numFmtId="0" fontId="44" fillId="0" borderId="0" xfId="0" applyFont="1" applyAlignment="1" applyProtection="1">
      <alignment horizontal="right"/>
    </xf>
    <xf numFmtId="0" fontId="44" fillId="0" borderId="0" xfId="0" applyFont="1" applyBorder="1" applyProtection="1"/>
    <xf numFmtId="0" fontId="46" fillId="0" borderId="0" xfId="0" applyFont="1" applyBorder="1" applyAlignment="1" applyProtection="1">
      <alignment horizontal="left" vertical="center"/>
    </xf>
    <xf numFmtId="0" fontId="46" fillId="0" borderId="0" xfId="0" applyFont="1" applyBorder="1" applyAlignment="1" applyProtection="1">
      <alignment horizontal="left"/>
    </xf>
    <xf numFmtId="167" fontId="46" fillId="0" borderId="0" xfId="0" applyNumberFormat="1" applyFont="1" applyBorder="1" applyAlignment="1" applyProtection="1">
      <alignment horizontal="left"/>
    </xf>
    <xf numFmtId="0" fontId="47" fillId="0" borderId="0" xfId="0" applyFont="1" applyProtection="1"/>
    <xf numFmtId="0" fontId="48" fillId="0" borderId="0" xfId="0" applyFont="1" applyFill="1" applyBorder="1" applyProtection="1"/>
    <xf numFmtId="0" fontId="49" fillId="0" borderId="0" xfId="0" applyFont="1" applyFill="1" applyBorder="1" applyProtection="1"/>
    <xf numFmtId="0" fontId="51" fillId="0" borderId="0" xfId="0" applyFont="1" applyFill="1" applyBorder="1" applyAlignment="1" applyProtection="1">
      <alignment horizontal="right"/>
    </xf>
    <xf numFmtId="0" fontId="52" fillId="0" borderId="0" xfId="0" applyFont="1" applyFill="1" applyBorder="1" applyAlignment="1" applyProtection="1">
      <alignment horizontal="center"/>
    </xf>
    <xf numFmtId="0" fontId="35" fillId="0" borderId="0" xfId="0" applyFont="1" applyBorder="1" applyAlignment="1" applyProtection="1">
      <alignment horizontal="center" vertical="center"/>
    </xf>
    <xf numFmtId="0" fontId="53" fillId="20" borderId="0" xfId="0" applyFont="1" applyFill="1" applyBorder="1" applyAlignment="1" applyProtection="1">
      <alignment horizontal="left" vertical="center"/>
    </xf>
    <xf numFmtId="3" fontId="58" fillId="0" borderId="0" xfId="0" applyNumberFormat="1" applyFont="1" applyFill="1" applyBorder="1" applyAlignment="1" applyProtection="1">
      <alignment horizontal="right" vertical="center"/>
    </xf>
    <xf numFmtId="0" fontId="59" fillId="20" borderId="0" xfId="0" applyFont="1" applyFill="1" applyBorder="1" applyAlignment="1" applyProtection="1">
      <alignment horizontal="left" vertical="center"/>
    </xf>
    <xf numFmtId="169" fontId="53" fillId="20" borderId="0" xfId="0" applyNumberFormat="1" applyFont="1" applyFill="1" applyBorder="1" applyAlignment="1" applyProtection="1">
      <alignment vertical="center"/>
    </xf>
    <xf numFmtId="0" fontId="54" fillId="20" borderId="0" xfId="0" applyNumberFormat="1" applyFont="1" applyFill="1" applyBorder="1" applyAlignment="1" applyProtection="1">
      <alignment horizontal="right"/>
    </xf>
    <xf numFmtId="0" fontId="64" fillId="20" borderId="0" xfId="0" applyFont="1" applyFill="1" applyBorder="1" applyAlignment="1" applyProtection="1">
      <alignment horizontal="center" vertical="center"/>
    </xf>
    <xf numFmtId="0" fontId="55" fillId="20" borderId="0" xfId="0" applyFont="1" applyFill="1" applyBorder="1" applyAlignment="1" applyProtection="1">
      <alignment horizontal="center" vertical="center"/>
    </xf>
    <xf numFmtId="168" fontId="53" fillId="20" borderId="0" xfId="61" applyNumberFormat="1" applyFont="1" applyFill="1" applyBorder="1" applyAlignment="1" applyProtection="1">
      <alignment horizontal="right"/>
    </xf>
    <xf numFmtId="9" fontId="56" fillId="20" borderId="0" xfId="0" applyNumberFormat="1" applyFont="1" applyFill="1" applyBorder="1" applyProtection="1"/>
    <xf numFmtId="0" fontId="57" fillId="20" borderId="0" xfId="0" applyFont="1" applyFill="1" applyBorder="1" applyAlignment="1" applyProtection="1">
      <alignment horizontal="center" vertical="center"/>
    </xf>
    <xf numFmtId="9" fontId="56" fillId="20" borderId="0" xfId="0" applyNumberFormat="1" applyFont="1" applyFill="1" applyBorder="1" applyAlignment="1" applyProtection="1">
      <alignment horizontal="left"/>
    </xf>
    <xf numFmtId="0" fontId="65" fillId="0" borderId="0" xfId="0" applyFont="1" applyFill="1" applyBorder="1" applyAlignment="1" applyProtection="1">
      <alignment horizontal="center" vertical="center"/>
    </xf>
    <xf numFmtId="0" fontId="50" fillId="0" borderId="0" xfId="0" applyFont="1" applyFill="1" applyBorder="1" applyAlignment="1" applyProtection="1">
      <alignment horizontal="center" vertical="center"/>
    </xf>
    <xf numFmtId="0" fontId="50" fillId="0" borderId="0" xfId="0" applyFont="1" applyFill="1" applyBorder="1" applyAlignment="1" applyProtection="1">
      <alignment horizontal="right" vertical="center" indent="1"/>
    </xf>
    <xf numFmtId="0" fontId="54" fillId="0" borderId="28" xfId="0" applyNumberFormat="1" applyFont="1" applyFill="1" applyBorder="1" applyAlignment="1" applyProtection="1">
      <alignment horizontal="right"/>
    </xf>
    <xf numFmtId="0" fontId="54" fillId="0" borderId="29" xfId="0" applyNumberFormat="1" applyFont="1" applyFill="1" applyBorder="1" applyAlignment="1" applyProtection="1">
      <alignment horizontal="right"/>
    </xf>
    <xf numFmtId="0" fontId="54" fillId="0" borderId="30" xfId="0" applyNumberFormat="1" applyFont="1" applyFill="1" applyBorder="1" applyAlignment="1" applyProtection="1">
      <alignment horizontal="right"/>
    </xf>
    <xf numFmtId="0" fontId="63" fillId="0" borderId="0" xfId="0" applyFont="1" applyFill="1" applyBorder="1" applyAlignment="1" applyProtection="1">
      <alignment horizontal="center"/>
    </xf>
    <xf numFmtId="0" fontId="54" fillId="0" borderId="0" xfId="0" applyNumberFormat="1" applyFont="1" applyFill="1" applyBorder="1" applyAlignment="1" applyProtection="1">
      <alignment horizontal="right"/>
    </xf>
    <xf numFmtId="0" fontId="64" fillId="0" borderId="0" xfId="0" applyFont="1" applyFill="1" applyBorder="1" applyAlignment="1" applyProtection="1">
      <alignment horizontal="center" vertical="center"/>
    </xf>
    <xf numFmtId="9" fontId="67" fillId="0" borderId="0" xfId="0" applyNumberFormat="1" applyFont="1" applyFill="1" applyBorder="1" applyAlignment="1" applyProtection="1"/>
    <xf numFmtId="9" fontId="67" fillId="0" borderId="0" xfId="0" applyNumberFormat="1" applyFont="1" applyFill="1" applyBorder="1" applyAlignment="1" applyProtection="1">
      <alignment horizontal="center"/>
    </xf>
    <xf numFmtId="0" fontId="54" fillId="0" borderId="31" xfId="0" applyNumberFormat="1" applyFont="1" applyFill="1" applyBorder="1" applyAlignment="1" applyProtection="1">
      <alignment horizontal="right"/>
    </xf>
    <xf numFmtId="9" fontId="56" fillId="0" borderId="0" xfId="0" applyNumberFormat="1" applyFont="1" applyFill="1" applyBorder="1" applyProtection="1"/>
    <xf numFmtId="0" fontId="54" fillId="0" borderId="32" xfId="0" applyNumberFormat="1" applyFont="1" applyFill="1" applyBorder="1" applyAlignment="1" applyProtection="1">
      <alignment horizontal="right"/>
    </xf>
    <xf numFmtId="0" fontId="54" fillId="0" borderId="33" xfId="0" applyNumberFormat="1" applyFont="1" applyFill="1" applyBorder="1" applyAlignment="1" applyProtection="1">
      <alignment horizontal="right"/>
    </xf>
    <xf numFmtId="0" fontId="35" fillId="0" borderId="34" xfId="0" applyNumberFormat="1" applyFont="1" applyFill="1" applyBorder="1" applyAlignment="1" applyProtection="1">
      <alignment vertical="center"/>
    </xf>
    <xf numFmtId="0" fontId="35" fillId="0" borderId="35" xfId="0" applyNumberFormat="1" applyFont="1" applyFill="1" applyBorder="1" applyAlignment="1" applyProtection="1">
      <alignment vertical="center"/>
    </xf>
    <xf numFmtId="0" fontId="35" fillId="0" borderId="36" xfId="0" applyNumberFormat="1" applyFont="1" applyFill="1" applyBorder="1" applyAlignment="1" applyProtection="1">
      <alignment vertical="center"/>
    </xf>
    <xf numFmtId="0" fontId="45" fillId="0" borderId="0" xfId="0" applyFont="1" applyProtection="1"/>
    <xf numFmtId="0" fontId="66" fillId="0" borderId="0" xfId="0" applyFont="1" applyProtection="1"/>
    <xf numFmtId="0" fontId="60" fillId="0" borderId="0" xfId="0" applyFont="1" applyProtection="1"/>
    <xf numFmtId="0" fontId="74" fillId="0" borderId="0" xfId="0" applyFont="1" applyBorder="1" applyAlignment="1" applyProtection="1">
      <alignment wrapText="1"/>
    </xf>
    <xf numFmtId="0" fontId="70" fillId="0" borderId="0" xfId="0" applyFont="1" applyFill="1" applyBorder="1" applyAlignment="1" applyProtection="1"/>
    <xf numFmtId="164" fontId="16" fillId="0" borderId="0" xfId="0" applyNumberFormat="1" applyFont="1"/>
    <xf numFmtId="0" fontId="29" fillId="0" borderId="0" xfId="0" applyNumberFormat="1" applyFont="1" applyAlignment="1" applyProtection="1">
      <alignment horizontal="center"/>
    </xf>
    <xf numFmtId="0" fontId="29" fillId="0" borderId="0" xfId="0" applyFont="1" applyAlignment="1" applyProtection="1">
      <alignment horizontal="center"/>
    </xf>
    <xf numFmtId="15" fontId="29"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8" fillId="0" borderId="0" xfId="0" applyNumberFormat="1" applyFont="1" applyBorder="1" applyProtection="1"/>
    <xf numFmtId="164" fontId="38" fillId="0" borderId="0" xfId="0" applyNumberFormat="1" applyFont="1" applyProtection="1"/>
    <xf numFmtId="166" fontId="7" fillId="0" borderId="0" xfId="62" applyNumberFormat="1" applyFont="1" applyFill="1" applyBorder="1" applyAlignment="1" applyProtection="1">
      <protection locked="0"/>
    </xf>
    <xf numFmtId="166" fontId="7" fillId="0" borderId="0" xfId="62" applyNumberFormat="1" applyFont="1" applyFill="1" applyBorder="1" applyProtection="1">
      <protection locked="0"/>
    </xf>
    <xf numFmtId="0" fontId="16" fillId="20" borderId="0" xfId="0" applyFont="1" applyFill="1"/>
    <xf numFmtId="165" fontId="16" fillId="20" borderId="0" xfId="0" applyNumberFormat="1" applyFont="1" applyFill="1"/>
    <xf numFmtId="166" fontId="16" fillId="20" borderId="0" xfId="0" applyNumberFormat="1" applyFont="1" applyFill="1"/>
    <xf numFmtId="3" fontId="16" fillId="20" borderId="0" xfId="0" applyNumberFormat="1" applyFont="1" applyFill="1" applyProtection="1"/>
    <xf numFmtId="165" fontId="16" fillId="20" borderId="0" xfId="0" applyNumberFormat="1" applyFont="1" applyFill="1" applyProtection="1"/>
    <xf numFmtId="0" fontId="35" fillId="0" borderId="0" xfId="0" applyFont="1" applyFill="1" applyAlignment="1" applyProtection="1">
      <alignment horizontal="left"/>
      <protection locked="0"/>
    </xf>
    <xf numFmtId="0" fontId="35" fillId="0" borderId="0" xfId="0" applyFont="1" applyFill="1" applyBorder="1" applyAlignment="1" applyProtection="1">
      <alignment horizontal="left"/>
      <protection locked="0"/>
    </xf>
    <xf numFmtId="164" fontId="18" fillId="0" borderId="0" xfId="46" applyFont="1" applyFill="1" applyAlignment="1" applyProtection="1">
      <alignment horizontal="center" vertical="center"/>
    </xf>
    <xf numFmtId="164" fontId="17" fillId="0" borderId="0" xfId="46" applyFont="1" applyFill="1" applyAlignment="1" applyProtection="1">
      <alignment vertical="center"/>
    </xf>
    <xf numFmtId="0" fontId="85" fillId="0" borderId="0" xfId="0" applyFont="1"/>
    <xf numFmtId="164" fontId="15" fillId="0" borderId="0" xfId="0" applyNumberFormat="1" applyFont="1" applyAlignment="1" applyProtection="1">
      <alignment horizontal="center"/>
    </xf>
    <xf numFmtId="164" fontId="21" fillId="0" borderId="39" xfId="56" applyFont="1" applyBorder="1" applyAlignment="1" applyProtection="1">
      <alignment horizontal="right"/>
    </xf>
    <xf numFmtId="0" fontId="13" fillId="0" borderId="0" xfId="0" applyFont="1"/>
    <xf numFmtId="0" fontId="0" fillId="20" borderId="0" xfId="0" applyFill="1" applyProtection="1"/>
    <xf numFmtId="0" fontId="0" fillId="20" borderId="40" xfId="0" applyFill="1" applyBorder="1" applyProtection="1"/>
    <xf numFmtId="164" fontId="90" fillId="0" borderId="0" xfId="0" applyNumberFormat="1" applyFont="1"/>
    <xf numFmtId="0" fontId="90" fillId="0" borderId="0" xfId="0" applyFont="1"/>
    <xf numFmtId="164" fontId="0" fillId="0" borderId="0" xfId="0" quotePrefix="1" applyNumberFormat="1"/>
    <xf numFmtId="164" fontId="0" fillId="0" borderId="0" xfId="0" applyNumberFormat="1"/>
    <xf numFmtId="0" fontId="35" fillId="0" borderId="41" xfId="0" applyNumberFormat="1" applyFont="1" applyFill="1" applyBorder="1" applyAlignment="1" applyProtection="1">
      <alignment vertical="center"/>
    </xf>
    <xf numFmtId="164" fontId="138" fillId="0" borderId="0" xfId="51" applyFill="1" applyBorder="1" applyAlignment="1" applyProtection="1">
      <alignment horizontal="center"/>
    </xf>
    <xf numFmtId="0" fontId="35" fillId="0" borderId="0" xfId="0" quotePrefix="1" applyFont="1" applyProtection="1"/>
    <xf numFmtId="0" fontId="64" fillId="0" borderId="42" xfId="0" applyFont="1" applyBorder="1" applyAlignment="1">
      <alignment horizontal="justify" vertical="center" wrapText="1"/>
    </xf>
    <xf numFmtId="0" fontId="64" fillId="0" borderId="43" xfId="0" applyFont="1" applyBorder="1" applyAlignment="1">
      <alignment horizontal="justify" vertical="center" wrapText="1"/>
    </xf>
    <xf numFmtId="0" fontId="64" fillId="0" borderId="44" xfId="0" applyFont="1" applyBorder="1" applyAlignment="1">
      <alignment horizontal="justify" vertical="center" wrapText="1"/>
    </xf>
    <xf numFmtId="0" fontId="89" fillId="0" borderId="43" xfId="0" applyFont="1" applyBorder="1" applyAlignment="1">
      <alignment horizontal="justify" vertical="center" wrapText="1"/>
    </xf>
    <xf numFmtId="164" fontId="92" fillId="0" borderId="26" xfId="59" applyFont="1" applyFill="1" applyBorder="1" applyAlignment="1" applyProtection="1"/>
    <xf numFmtId="164" fontId="10" fillId="0" borderId="26" xfId="59" applyFont="1" applyFill="1" applyBorder="1" applyAlignment="1" applyProtection="1">
      <alignment vertical="center"/>
    </xf>
    <xf numFmtId="3" fontId="68" fillId="23" borderId="10" xfId="0" applyNumberFormat="1" applyFont="1" applyFill="1" applyBorder="1" applyAlignment="1" applyProtection="1">
      <alignment vertical="center"/>
      <protection locked="0"/>
    </xf>
    <xf numFmtId="0" fontId="88" fillId="0" borderId="42" xfId="0" applyFont="1" applyBorder="1" applyAlignment="1">
      <alignment vertical="center" wrapText="1"/>
    </xf>
    <xf numFmtId="0" fontId="88" fillId="0" borderId="43" xfId="0" applyFont="1" applyBorder="1" applyAlignment="1">
      <alignment vertical="center" wrapText="1"/>
    </xf>
    <xf numFmtId="0" fontId="3" fillId="0" borderId="45" xfId="0" applyFont="1" applyFill="1" applyBorder="1" applyAlignment="1" applyProtection="1">
      <alignment horizontal="center"/>
    </xf>
    <xf numFmtId="0" fontId="68" fillId="0" borderId="10" xfId="0" applyFont="1" applyFill="1" applyBorder="1" applyAlignment="1" applyProtection="1">
      <alignment horizontal="center"/>
    </xf>
    <xf numFmtId="0" fontId="68" fillId="24" borderId="10" xfId="0" applyFont="1" applyFill="1" applyBorder="1" applyAlignment="1" applyProtection="1">
      <alignment horizontal="center"/>
    </xf>
    <xf numFmtId="0" fontId="2" fillId="0" borderId="0" xfId="0" applyFont="1"/>
    <xf numFmtId="0" fontId="95" fillId="0" borderId="0" xfId="0" applyFont="1"/>
    <xf numFmtId="164" fontId="97" fillId="0" borderId="26" xfId="59" applyFont="1" applyFill="1" applyBorder="1" applyAlignment="1" applyProtection="1">
      <alignment vertical="center"/>
    </xf>
    <xf numFmtId="0" fontId="96" fillId="0" borderId="0" xfId="0" applyFont="1" applyFill="1"/>
    <xf numFmtId="15" fontId="7" fillId="0" borderId="0" xfId="0" applyNumberFormat="1" applyFont="1" applyFill="1" applyBorder="1" applyAlignment="1" applyProtection="1">
      <alignment horizontal="centerContinuous"/>
    </xf>
    <xf numFmtId="15" fontId="7" fillId="0" borderId="0" xfId="0" applyNumberFormat="1" applyFont="1" applyFill="1" applyBorder="1" applyAlignment="1" applyProtection="1">
      <alignment horizontal="center"/>
    </xf>
    <xf numFmtId="15" fontId="37" fillId="0" borderId="0" xfId="0" applyNumberFormat="1" applyFont="1" applyAlignment="1" applyProtection="1">
      <alignment horizontal="center"/>
    </xf>
    <xf numFmtId="1" fontId="22" fillId="25" borderId="10" xfId="0" applyNumberFormat="1" applyFont="1" applyFill="1" applyBorder="1" applyAlignment="1" applyProtection="1">
      <alignment horizontal="center"/>
      <protection locked="0"/>
    </xf>
    <xf numFmtId="1" fontId="22" fillId="25" borderId="46"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6" fontId="0" fillId="0" borderId="0" xfId="0" applyNumberFormat="1" applyProtection="1"/>
    <xf numFmtId="164" fontId="21" fillId="0" borderId="0" xfId="49" applyFont="1" applyFill="1" applyAlignment="1" applyProtection="1">
      <alignment horizontal="right" vertical="center"/>
    </xf>
    <xf numFmtId="0" fontId="103" fillId="0" borderId="0" xfId="0" applyFont="1" applyFill="1" applyBorder="1" applyAlignment="1" applyProtection="1">
      <alignment horizontal="right"/>
    </xf>
    <xf numFmtId="164" fontId="104" fillId="0" borderId="14" xfId="59" applyFont="1" applyFill="1" applyBorder="1" applyAlignment="1" applyProtection="1">
      <alignment horizontal="left" vertical="center"/>
    </xf>
    <xf numFmtId="0" fontId="105" fillId="0" borderId="0" xfId="0" applyFont="1" applyFill="1" applyBorder="1" applyProtection="1"/>
    <xf numFmtId="0" fontId="103" fillId="0" borderId="0" xfId="0" applyFont="1" applyBorder="1" applyProtection="1"/>
    <xf numFmtId="3" fontId="7" fillId="0" borderId="0" xfId="0" applyNumberFormat="1" applyFont="1" applyAlignment="1" applyProtection="1">
      <alignment horizontal="right"/>
    </xf>
    <xf numFmtId="15" fontId="102" fillId="0" borderId="0" xfId="0" applyNumberFormat="1" applyFont="1" applyFill="1" applyBorder="1" applyAlignment="1" applyProtection="1">
      <alignment horizontal="left"/>
    </xf>
    <xf numFmtId="0" fontId="109" fillId="0" borderId="0" xfId="0" applyFont="1" applyFill="1" applyBorder="1" applyAlignment="1" applyProtection="1">
      <alignment horizontal="center" wrapText="1"/>
    </xf>
    <xf numFmtId="0" fontId="103" fillId="0" borderId="0" xfId="0" applyFont="1" applyFill="1" applyBorder="1" applyAlignment="1" applyProtection="1">
      <alignment horizontal="center"/>
    </xf>
    <xf numFmtId="3" fontId="3" fillId="22" borderId="10" xfId="0" applyNumberFormat="1" applyFont="1" applyFill="1" applyBorder="1" applyAlignment="1" applyProtection="1">
      <alignment vertical="center"/>
      <protection locked="0"/>
    </xf>
    <xf numFmtId="3" fontId="3" fillId="23" borderId="10" xfId="0" applyNumberFormat="1" applyFont="1" applyFill="1" applyBorder="1" applyAlignment="1" applyProtection="1">
      <alignment vertical="center"/>
      <protection locked="0"/>
    </xf>
    <xf numFmtId="15" fontId="33" fillId="0" borderId="47" xfId="0" applyNumberFormat="1" applyFont="1" applyBorder="1" applyAlignment="1" applyProtection="1">
      <alignment horizontal="center"/>
    </xf>
    <xf numFmtId="15" fontId="30"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48" xfId="0" applyFont="1" applyBorder="1" applyAlignment="1" applyProtection="1">
      <alignment horizontal="right"/>
    </xf>
    <xf numFmtId="164" fontId="113" fillId="0" borderId="0" xfId="38" applyFont="1" applyFill="1" applyAlignment="1" applyProtection="1">
      <alignment vertical="center"/>
    </xf>
    <xf numFmtId="0" fontId="114" fillId="0" borderId="0" xfId="0" applyFont="1" applyProtection="1"/>
    <xf numFmtId="0" fontId="114"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100" fillId="0" borderId="0" xfId="0" applyFont="1" applyFill="1" applyBorder="1" applyAlignment="1" applyProtection="1">
      <alignment horizontal="center" vertical="center"/>
    </xf>
    <xf numFmtId="0" fontId="7" fillId="0" borderId="0" xfId="0" applyFont="1" applyFill="1" applyBorder="1" applyAlignment="1" applyProtection="1">
      <protection locked="0"/>
    </xf>
    <xf numFmtId="0" fontId="110" fillId="0" borderId="0" xfId="0" applyFont="1" applyFill="1" applyBorder="1" applyAlignment="1" applyProtection="1">
      <alignment horizontal="left"/>
      <protection locked="0"/>
    </xf>
    <xf numFmtId="0" fontId="107" fillId="0" borderId="0" xfId="0" applyFont="1" applyFill="1" applyBorder="1" applyAlignment="1" applyProtection="1">
      <alignment horizontal="center" vertical="center"/>
    </xf>
    <xf numFmtId="0" fontId="27" fillId="0" borderId="49" xfId="0" applyFont="1" applyFill="1" applyBorder="1" applyAlignment="1" applyProtection="1"/>
    <xf numFmtId="0" fontId="33" fillId="26" borderId="50" xfId="0" applyFont="1" applyFill="1" applyBorder="1" applyAlignment="1" applyProtection="1">
      <alignment horizontal="centerContinuous"/>
    </xf>
    <xf numFmtId="15" fontId="111" fillId="0" borderId="38" xfId="0" applyNumberFormat="1" applyFont="1" applyFill="1" applyBorder="1" applyAlignment="1" applyProtection="1">
      <alignment horizontal="center" wrapText="1"/>
    </xf>
    <xf numFmtId="15" fontId="111" fillId="0" borderId="51" xfId="0" applyNumberFormat="1" applyFont="1" applyFill="1" applyBorder="1" applyAlignment="1" applyProtection="1">
      <alignment horizontal="center" wrapText="1"/>
    </xf>
    <xf numFmtId="0" fontId="38" fillId="0" borderId="49" xfId="0" applyFont="1" applyFill="1" applyBorder="1" applyAlignment="1" applyProtection="1">
      <alignment horizontal="center"/>
    </xf>
    <xf numFmtId="0" fontId="38" fillId="0" borderId="52" xfId="0" applyFont="1" applyFill="1" applyBorder="1" applyAlignment="1" applyProtection="1">
      <alignment horizontal="center"/>
    </xf>
    <xf numFmtId="0" fontId="33" fillId="26" borderId="53"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2" fillId="0" borderId="0" xfId="0" applyFont="1" applyFill="1" applyBorder="1" applyAlignment="1" applyProtection="1">
      <alignment horizontal="center"/>
    </xf>
    <xf numFmtId="0" fontId="108"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1" xfId="0" applyNumberFormat="1" applyFill="1" applyBorder="1" applyAlignment="1" applyProtection="1">
      <alignment horizontal="center"/>
    </xf>
    <xf numFmtId="14" fontId="0" fillId="0" borderId="10" xfId="0" applyNumberFormat="1" applyBorder="1" applyAlignment="1" applyProtection="1">
      <alignment horizontal="center"/>
      <protection locked="0"/>
    </xf>
    <xf numFmtId="0" fontId="68" fillId="0" borderId="55" xfId="0" applyFont="1" applyFill="1" applyBorder="1" applyAlignment="1" applyProtection="1">
      <alignment horizontal="center"/>
    </xf>
    <xf numFmtId="3" fontId="68" fillId="23" borderId="10" xfId="0" applyNumberFormat="1" applyFont="1" applyFill="1" applyBorder="1" applyAlignment="1" applyProtection="1">
      <alignment horizontal="right" vertical="center"/>
      <protection locked="0"/>
    </xf>
    <xf numFmtId="3" fontId="3" fillId="23" borderId="10" xfId="0" applyNumberFormat="1" applyFont="1" applyFill="1" applyBorder="1" applyAlignment="1" applyProtection="1">
      <alignment horizontal="right" vertical="center"/>
      <protection locked="0"/>
    </xf>
    <xf numFmtId="0" fontId="78" fillId="0" borderId="56" xfId="0" applyFont="1" applyFill="1" applyBorder="1" applyAlignment="1" applyProtection="1">
      <alignment horizontal="center" vertical="center"/>
    </xf>
    <xf numFmtId="0" fontId="25" fillId="0" borderId="0" xfId="0" applyFont="1" applyProtection="1"/>
    <xf numFmtId="164" fontId="111" fillId="0" borderId="0" xfId="0" applyNumberFormat="1" applyFont="1" applyBorder="1" applyAlignment="1" applyProtection="1">
      <alignment vertical="center" wrapText="1"/>
    </xf>
    <xf numFmtId="0" fontId="111" fillId="0" borderId="0" xfId="0" applyFont="1" applyFill="1" applyBorder="1" applyAlignment="1" applyProtection="1">
      <alignment wrapText="1"/>
    </xf>
    <xf numFmtId="164" fontId="21" fillId="0" borderId="39" xfId="56" applyFont="1" applyFill="1" applyBorder="1" applyAlignment="1" applyProtection="1">
      <alignment horizontal="right"/>
    </xf>
    <xf numFmtId="0" fontId="29" fillId="0" borderId="0" xfId="0" applyFont="1" applyFill="1" applyBorder="1" applyAlignment="1" applyProtection="1">
      <alignment wrapText="1"/>
    </xf>
    <xf numFmtId="164" fontId="29" fillId="0" borderId="0" xfId="0" applyNumberFormat="1" applyFont="1" applyAlignment="1" applyProtection="1"/>
    <xf numFmtId="15" fontId="29" fillId="0" borderId="0" xfId="0" applyNumberFormat="1" applyFont="1"/>
    <xf numFmtId="0" fontId="0" fillId="0" borderId="26" xfId="0" applyFill="1" applyBorder="1" applyProtection="1"/>
    <xf numFmtId="9" fontId="16" fillId="0" borderId="0" xfId="61" applyFont="1" applyProtection="1"/>
    <xf numFmtId="164" fontId="25" fillId="25" borderId="39" xfId="56" applyFont="1" applyFill="1" applyBorder="1" applyAlignment="1" applyProtection="1">
      <alignment horizontal="center" vertical="center"/>
    </xf>
    <xf numFmtId="15" fontId="25" fillId="25" borderId="39" xfId="56" applyNumberFormat="1" applyFont="1" applyFill="1" applyBorder="1" applyAlignment="1" applyProtection="1">
      <alignment horizontal="center" vertical="center"/>
    </xf>
    <xf numFmtId="164" fontId="25" fillId="25" borderId="39" xfId="56" applyFont="1" applyFill="1" applyBorder="1" applyAlignment="1" applyProtection="1">
      <alignment horizontal="center"/>
    </xf>
    <xf numFmtId="15" fontId="25" fillId="25" borderId="39" xfId="56" applyNumberFormat="1" applyFont="1" applyFill="1" applyBorder="1" applyAlignment="1" applyProtection="1">
      <alignment horizontal="center"/>
    </xf>
    <xf numFmtId="164" fontId="90" fillId="0" borderId="0" xfId="0" applyNumberFormat="1" applyFont="1" applyAlignment="1"/>
    <xf numFmtId="0" fontId="31" fillId="22" borderId="0" xfId="0" applyFont="1" applyFill="1" applyBorder="1" applyAlignment="1" applyProtection="1">
      <alignment horizontal="left"/>
      <protection locked="0"/>
    </xf>
    <xf numFmtId="0" fontId="35" fillId="22" borderId="0" xfId="0" applyFont="1" applyFill="1" applyBorder="1" applyAlignment="1" applyProtection="1">
      <alignment horizontal="left"/>
      <protection locked="0"/>
    </xf>
    <xf numFmtId="49" fontId="0" fillId="0" borderId="0" xfId="0" applyNumberFormat="1" applyProtection="1"/>
    <xf numFmtId="0" fontId="0" fillId="25" borderId="46" xfId="0" applyNumberFormat="1" applyFill="1" applyBorder="1" applyAlignment="1" applyProtection="1">
      <alignment horizontal="center"/>
      <protection locked="0"/>
    </xf>
    <xf numFmtId="0" fontId="0" fillId="0" borderId="23" xfId="0" applyNumberFormat="1" applyFill="1" applyBorder="1" applyAlignment="1" applyProtection="1">
      <alignment horizontal="center"/>
    </xf>
    <xf numFmtId="0" fontId="0" fillId="25" borderId="23" xfId="0" applyNumberFormat="1" applyFill="1" applyBorder="1" applyAlignment="1" applyProtection="1">
      <alignment horizontal="center"/>
      <protection locked="0"/>
    </xf>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2" fillId="0" borderId="10" xfId="62" applyNumberFormat="1" applyFont="1" applyFill="1" applyBorder="1" applyAlignment="1" applyProtection="1">
      <alignment horizontal="right"/>
    </xf>
    <xf numFmtId="171" fontId="22"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5" fontId="33" fillId="19" borderId="60" xfId="0" applyNumberFormat="1" applyFont="1" applyFill="1" applyBorder="1" applyAlignment="1" applyProtection="1">
      <alignment horizontal="center"/>
      <protection locked="0"/>
    </xf>
    <xf numFmtId="165" fontId="33" fillId="19" borderId="61" xfId="0" applyNumberFormat="1" applyFont="1" applyFill="1" applyBorder="1" applyAlignment="1" applyProtection="1">
      <alignment horizontal="center"/>
      <protection locked="0"/>
    </xf>
    <xf numFmtId="165" fontId="33" fillId="19" borderId="62" xfId="0" applyNumberFormat="1" applyFont="1" applyFill="1" applyBorder="1" applyAlignment="1" applyProtection="1">
      <alignment horizontal="center"/>
      <protection locked="0"/>
    </xf>
    <xf numFmtId="165" fontId="33" fillId="19" borderId="63" xfId="0" applyNumberFormat="1" applyFont="1" applyFill="1" applyBorder="1" applyAlignment="1" applyProtection="1">
      <alignment horizontal="center"/>
      <protection locked="0"/>
    </xf>
    <xf numFmtId="165" fontId="33" fillId="19" borderId="64" xfId="0" applyNumberFormat="1" applyFont="1" applyFill="1" applyBorder="1" applyAlignment="1" applyProtection="1">
      <alignment horizontal="center"/>
      <protection locked="0"/>
    </xf>
    <xf numFmtId="0" fontId="0" fillId="0" borderId="0" xfId="0" applyBorder="1" applyAlignment="1">
      <alignment horizontal="left" wrapText="1"/>
    </xf>
    <xf numFmtId="164" fontId="36" fillId="0" borderId="0" xfId="0" applyNumberFormat="1" applyFont="1"/>
    <xf numFmtId="0" fontId="0" fillId="0" borderId="0" xfId="0" applyBorder="1" applyAlignment="1">
      <alignment horizontal="left"/>
    </xf>
    <xf numFmtId="164" fontId="2" fillId="0" borderId="39" xfId="56" applyFont="1" applyBorder="1" applyAlignment="1" applyProtection="1">
      <alignment horizontal="right"/>
    </xf>
    <xf numFmtId="164" fontId="121" fillId="0" borderId="0" xfId="50" applyFont="1" applyFill="1" applyBorder="1" applyProtection="1"/>
    <xf numFmtId="3" fontId="29" fillId="26" borderId="60" xfId="0" applyNumberFormat="1" applyFont="1" applyFill="1" applyBorder="1" applyAlignment="1" applyProtection="1">
      <protection locked="0"/>
    </xf>
    <xf numFmtId="3" fontId="29" fillId="26" borderId="66" xfId="0" applyNumberFormat="1" applyFont="1" applyFill="1" applyBorder="1" applyAlignment="1" applyProtection="1">
      <protection locked="0"/>
    </xf>
    <xf numFmtId="3" fontId="29" fillId="0" borderId="10" xfId="0" applyNumberFormat="1" applyFont="1" applyFill="1" applyBorder="1" applyAlignment="1" applyProtection="1"/>
    <xf numFmtId="3" fontId="29" fillId="0" borderId="59" xfId="0" applyNumberFormat="1" applyFont="1" applyFill="1" applyBorder="1" applyAlignment="1" applyProtection="1"/>
    <xf numFmtId="165" fontId="15" fillId="19" borderId="67" xfId="0" applyNumberFormat="1" applyFont="1" applyFill="1" applyBorder="1" applyAlignment="1" applyProtection="1">
      <alignment horizontal="center"/>
      <protection locked="0"/>
    </xf>
    <xf numFmtId="165" fontId="15" fillId="19" borderId="68"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2" fillId="26" borderId="69" xfId="62" applyNumberFormat="1" applyFont="1" applyFill="1" applyBorder="1" applyAlignment="1" applyProtection="1">
      <protection locked="0"/>
    </xf>
    <xf numFmtId="3" fontId="2" fillId="26" borderId="69" xfId="62" applyNumberFormat="1" applyFont="1" applyFill="1" applyBorder="1" applyProtection="1">
      <protection locked="0"/>
    </xf>
    <xf numFmtId="49" fontId="27" fillId="0" borderId="70" xfId="0" applyNumberFormat="1" applyFont="1" applyFill="1" applyBorder="1" applyAlignment="1" applyProtection="1">
      <alignment wrapText="1"/>
      <protection locked="0"/>
    </xf>
    <xf numFmtId="3" fontId="2" fillId="26" borderId="71" xfId="62" applyNumberFormat="1" applyFont="1" applyFill="1" applyBorder="1" applyProtection="1">
      <protection locked="0"/>
    </xf>
    <xf numFmtId="49" fontId="27" fillId="0" borderId="70" xfId="0" applyNumberFormat="1" applyFont="1" applyFill="1" applyBorder="1" applyAlignment="1" applyProtection="1">
      <protection locked="0"/>
    </xf>
    <xf numFmtId="0" fontId="0" fillId="0" borderId="72" xfId="0" applyBorder="1" applyAlignment="1" applyProtection="1"/>
    <xf numFmtId="3" fontId="0" fillId="0" borderId="73" xfId="0" applyNumberFormat="1" applyBorder="1" applyProtection="1"/>
    <xf numFmtId="3" fontId="0" fillId="0" borderId="74" xfId="0" applyNumberFormat="1" applyBorder="1" applyProtection="1"/>
    <xf numFmtId="49" fontId="0" fillId="0" borderId="10" xfId="0" applyNumberFormat="1" applyBorder="1" applyAlignment="1" applyProtection="1">
      <alignment horizontal="center"/>
      <protection locked="0"/>
    </xf>
    <xf numFmtId="0" fontId="0" fillId="0" borderId="75" xfId="0" applyNumberFormat="1" applyFill="1" applyBorder="1"/>
    <xf numFmtId="3" fontId="68" fillId="0" borderId="10" xfId="0" applyNumberFormat="1" applyFont="1" applyFill="1" applyBorder="1" applyAlignment="1" applyProtection="1">
      <alignment vertical="center"/>
    </xf>
    <xf numFmtId="3" fontId="68" fillId="0" borderId="55" xfId="0" applyNumberFormat="1" applyFont="1" applyFill="1" applyBorder="1" applyAlignment="1" applyProtection="1">
      <alignment vertical="center"/>
    </xf>
    <xf numFmtId="49" fontId="85" fillId="0" borderId="10" xfId="0" applyNumberFormat="1" applyFont="1" applyBorder="1" applyAlignment="1" applyProtection="1">
      <alignment horizontal="center"/>
      <protection locked="0"/>
    </xf>
    <xf numFmtId="0" fontId="70" fillId="0" borderId="10" xfId="0" applyFont="1" applyBorder="1" applyAlignment="1" applyProtection="1">
      <alignment horizontal="center"/>
    </xf>
    <xf numFmtId="0" fontId="78" fillId="0" borderId="77" xfId="0" applyFont="1" applyFill="1" applyBorder="1" applyAlignment="1" applyProtection="1">
      <alignment horizontal="center" vertical="center" wrapText="1"/>
    </xf>
    <xf numFmtId="0" fontId="78" fillId="0" borderId="78" xfId="0" applyFont="1" applyFill="1" applyBorder="1" applyAlignment="1" applyProtection="1">
      <alignment horizontal="center"/>
    </xf>
    <xf numFmtId="0" fontId="78" fillId="0" borderId="79" xfId="0" applyFont="1" applyFill="1" applyBorder="1" applyAlignment="1" applyProtection="1">
      <alignment horizontal="center"/>
    </xf>
    <xf numFmtId="0" fontId="78" fillId="0" borderId="80" xfId="0" applyNumberFormat="1" applyFont="1" applyFill="1" applyBorder="1" applyAlignment="1" applyProtection="1">
      <alignment horizontal="center"/>
    </xf>
    <xf numFmtId="0" fontId="78" fillId="0" borderId="81" xfId="0" applyNumberFormat="1" applyFont="1" applyFill="1" applyBorder="1" applyAlignment="1" applyProtection="1">
      <alignment horizontal="center"/>
    </xf>
    <xf numFmtId="0" fontId="78" fillId="0" borderId="81" xfId="0" applyNumberFormat="1" applyFont="1" applyFill="1" applyBorder="1" applyAlignment="1" applyProtection="1">
      <alignment horizontal="center" vertical="center"/>
    </xf>
    <xf numFmtId="0" fontId="78" fillId="0" borderId="82" xfId="0" applyNumberFormat="1" applyFont="1" applyFill="1" applyBorder="1" applyAlignment="1" applyProtection="1">
      <alignment horizontal="center" vertical="center"/>
    </xf>
    <xf numFmtId="0" fontId="82" fillId="0" borderId="83" xfId="0" applyNumberFormat="1" applyFont="1" applyFill="1" applyBorder="1" applyAlignment="1" applyProtection="1">
      <alignment horizontal="center" vertical="center"/>
    </xf>
    <xf numFmtId="0" fontId="82" fillId="0" borderId="84" xfId="0" applyNumberFormat="1" applyFont="1" applyFill="1" applyBorder="1" applyAlignment="1" applyProtection="1">
      <alignment horizontal="center" vertical="center"/>
    </xf>
    <xf numFmtId="0" fontId="82" fillId="0" borderId="85"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0" fillId="0" borderId="0" xfId="0" applyBorder="1" applyAlignment="1">
      <alignment horizontal="center"/>
    </xf>
    <xf numFmtId="0" fontId="15" fillId="0" borderId="19" xfId="0" applyFont="1" applyBorder="1" applyAlignment="1" applyProtection="1">
      <alignment horizontal="center" vertical="center" wrapText="1"/>
    </xf>
    <xf numFmtId="0" fontId="15" fillId="0" borderId="25" xfId="0" applyFont="1" applyBorder="1" applyAlignment="1" applyProtection="1">
      <alignment horizontal="center" vertical="center"/>
    </xf>
    <xf numFmtId="0" fontId="33" fillId="0" borderId="19" xfId="0" applyFont="1" applyBorder="1" applyAlignment="1" applyProtection="1">
      <alignment horizontal="center" vertical="center"/>
    </xf>
    <xf numFmtId="0" fontId="33" fillId="0" borderId="25" xfId="0" applyFont="1" applyBorder="1" applyAlignment="1" applyProtection="1">
      <alignment horizontal="center" vertical="center" wrapText="1"/>
    </xf>
    <xf numFmtId="0" fontId="78" fillId="0" borderId="86" xfId="0" applyFont="1" applyFill="1" applyBorder="1" applyAlignment="1" applyProtection="1">
      <alignment horizontal="center" vertical="center" wrapText="1"/>
    </xf>
    <xf numFmtId="3" fontId="25" fillId="25" borderId="39" xfId="56" applyNumberFormat="1" applyFont="1" applyFill="1" applyBorder="1" applyAlignment="1" applyProtection="1">
      <alignment horizontal="center" wrapText="1"/>
    </xf>
    <xf numFmtId="14" fontId="25" fillId="25" borderId="39" xfId="56" applyNumberFormat="1" applyFont="1" applyFill="1" applyBorder="1" applyAlignment="1" applyProtection="1">
      <alignment horizontal="center" vertical="center" wrapText="1"/>
    </xf>
    <xf numFmtId="172" fontId="25" fillId="25" borderId="39" xfId="56" applyNumberFormat="1" applyFont="1" applyFill="1" applyBorder="1" applyAlignment="1" applyProtection="1">
      <alignment horizontal="center" wrapText="1"/>
    </xf>
    <xf numFmtId="164" fontId="2" fillId="0" borderId="39" xfId="56" applyFont="1" applyBorder="1" applyAlignment="1" applyProtection="1">
      <alignment horizontal="right" vertical="center"/>
    </xf>
    <xf numFmtId="164" fontId="2" fillId="0" borderId="39" xfId="56" applyFont="1" applyBorder="1" applyAlignment="1" applyProtection="1">
      <alignment horizontal="right" vertical="center" wrapText="1"/>
    </xf>
    <xf numFmtId="164" fontId="29" fillId="0" borderId="0" xfId="0" applyNumberFormat="1" applyFont="1" applyAlignment="1" applyProtection="1">
      <alignment horizontal="right" wrapText="1"/>
    </xf>
    <xf numFmtId="49" fontId="26" fillId="0" borderId="87" xfId="0" applyNumberFormat="1" applyFont="1" applyFill="1" applyBorder="1" applyAlignment="1" applyProtection="1">
      <alignment vertical="center" wrapText="1"/>
    </xf>
    <xf numFmtId="0" fontId="91" fillId="0" borderId="88" xfId="0" applyNumberFormat="1" applyFont="1" applyFill="1" applyBorder="1" applyAlignment="1" applyProtection="1">
      <alignment horizontal="center" vertical="center" wrapText="1"/>
    </xf>
    <xf numFmtId="0" fontId="91" fillId="0" borderId="89" xfId="0" applyNumberFormat="1" applyFont="1" applyFill="1" applyBorder="1" applyAlignment="1" applyProtection="1">
      <alignment horizontal="center" vertical="center" wrapText="1"/>
    </xf>
    <xf numFmtId="0" fontId="0" fillId="0" borderId="0" xfId="0" applyAlignment="1"/>
    <xf numFmtId="0" fontId="0" fillId="0" borderId="0" xfId="0" applyAlignment="1">
      <alignment vertical="center" wrapText="1"/>
    </xf>
    <xf numFmtId="164" fontId="29" fillId="0" borderId="0" xfId="0" applyNumberFormat="1" applyFont="1" applyAlignment="1">
      <alignment horizontal="right" vertical="center" wrapText="1"/>
    </xf>
    <xf numFmtId="9" fontId="129" fillId="0" borderId="0" xfId="61" applyFont="1" applyBorder="1" applyProtection="1"/>
    <xf numFmtId="164" fontId="36" fillId="0" borderId="0" xfId="0" applyNumberFormat="1" applyFont="1" applyAlignment="1">
      <alignment horizontal="left" vertical="center" wrapText="1"/>
    </xf>
    <xf numFmtId="0" fontId="128" fillId="0" borderId="0" xfId="0" applyFont="1" applyAlignment="1"/>
    <xf numFmtId="0" fontId="34" fillId="0" borderId="0" xfId="0" applyFont="1" applyAlignment="1"/>
    <xf numFmtId="0" fontId="35" fillId="0" borderId="0" xfId="0" applyFont="1" applyFill="1" applyBorder="1" applyAlignment="1" applyProtection="1">
      <alignment horizontal="left" wrapText="1"/>
      <protection locked="0"/>
    </xf>
    <xf numFmtId="0" fontId="31" fillId="0" borderId="0" xfId="0" applyFont="1" applyFill="1" applyBorder="1" applyAlignment="1" applyProtection="1">
      <alignment horizontal="left" wrapText="1"/>
      <protection locked="0"/>
    </xf>
    <xf numFmtId="0" fontId="130" fillId="0" borderId="0" xfId="0" applyFont="1"/>
    <xf numFmtId="164" fontId="2" fillId="0" borderId="39" xfId="56" applyFont="1" applyBorder="1" applyAlignment="1" applyProtection="1">
      <alignment horizontal="right" wrapText="1"/>
    </xf>
    <xf numFmtId="164" fontId="29" fillId="0" borderId="39" xfId="56" applyFont="1" applyBorder="1" applyAlignment="1" applyProtection="1">
      <alignment horizontal="center"/>
    </xf>
    <xf numFmtId="164" fontId="35" fillId="0" borderId="0" xfId="0" applyNumberFormat="1" applyFont="1" applyAlignment="1" applyProtection="1">
      <alignment horizontal="center" wrapText="1"/>
    </xf>
    <xf numFmtId="164" fontId="131" fillId="0" borderId="0" xfId="0" applyNumberFormat="1" applyFont="1" applyAlignment="1" applyProtection="1">
      <alignment horizontal="right"/>
    </xf>
    <xf numFmtId="164" fontId="131" fillId="0" borderId="0" xfId="0" applyNumberFormat="1" applyFont="1" applyAlignment="1">
      <alignment horizontal="right"/>
    </xf>
    <xf numFmtId="0" fontId="31" fillId="22" borderId="0" xfId="0" applyFont="1" applyFill="1" applyBorder="1" applyAlignment="1" applyProtection="1">
      <alignment horizontal="right"/>
      <protection locked="0"/>
    </xf>
    <xf numFmtId="164" fontId="35" fillId="0" borderId="0" xfId="0" applyNumberFormat="1" applyFont="1" applyAlignment="1">
      <alignment horizontal="left" vertical="center" wrapText="1"/>
    </xf>
    <xf numFmtId="164" fontId="35" fillId="0" borderId="0" xfId="0" applyNumberFormat="1" applyFont="1" applyAlignment="1" applyProtection="1">
      <alignment horizontal="left" wrapText="1"/>
    </xf>
    <xf numFmtId="0" fontId="0" fillId="0" borderId="90" xfId="0" applyBorder="1"/>
    <xf numFmtId="164" fontId="134" fillId="0" borderId="18" xfId="59" applyFont="1" applyFill="1" applyBorder="1" applyAlignment="1" applyProtection="1">
      <alignment vertical="center"/>
    </xf>
    <xf numFmtId="164" fontId="134" fillId="0" borderId="18" xfId="59" applyFont="1" applyFill="1" applyBorder="1" applyAlignment="1" applyProtection="1">
      <alignment horizontal="center" vertical="center"/>
    </xf>
    <xf numFmtId="164" fontId="134" fillId="0" borderId="26" xfId="59" applyFont="1" applyFill="1" applyBorder="1" applyAlignment="1" applyProtection="1">
      <alignment vertical="center"/>
    </xf>
    <xf numFmtId="0" fontId="134" fillId="0" borderId="26" xfId="0" applyFont="1" applyBorder="1" applyProtection="1"/>
    <xf numFmtId="0" fontId="134" fillId="0" borderId="26" xfId="0" applyFont="1" applyBorder="1"/>
    <xf numFmtId="164" fontId="135" fillId="0" borderId="14" xfId="59" applyFont="1" applyFill="1" applyBorder="1" applyAlignment="1" applyProtection="1">
      <alignment horizontal="left" vertical="center"/>
    </xf>
    <xf numFmtId="164" fontId="134" fillId="0" borderId="14" xfId="59" applyFont="1" applyFill="1" applyBorder="1" applyAlignment="1" applyProtection="1">
      <alignment vertical="center"/>
    </xf>
    <xf numFmtId="164" fontId="134" fillId="26" borderId="92" xfId="59" applyFont="1" applyFill="1" applyBorder="1" applyAlignment="1" applyProtection="1">
      <alignment vertical="center"/>
    </xf>
    <xf numFmtId="164" fontId="135" fillId="0" borderId="18" xfId="59" applyFont="1" applyFill="1" applyBorder="1" applyAlignment="1" applyProtection="1">
      <alignment vertical="center"/>
    </xf>
    <xf numFmtId="164" fontId="135" fillId="0" borderId="26" xfId="59" applyFont="1" applyFill="1" applyBorder="1" applyAlignment="1" applyProtection="1">
      <alignment vertical="center"/>
    </xf>
    <xf numFmtId="0" fontId="0" fillId="0" borderId="0" xfId="0" applyAlignment="1">
      <alignment horizontal="center"/>
    </xf>
    <xf numFmtId="0" fontId="0" fillId="0" borderId="19" xfId="0" applyFill="1" applyBorder="1" applyAlignment="1" applyProtection="1">
      <alignment horizontal="center"/>
    </xf>
    <xf numFmtId="0" fontId="0" fillId="0" borderId="22" xfId="0" applyFill="1" applyBorder="1" applyAlignment="1" applyProtection="1">
      <alignment horizontal="center"/>
    </xf>
    <xf numFmtId="0" fontId="0" fillId="20" borderId="0" xfId="0" applyFill="1"/>
    <xf numFmtId="0" fontId="137" fillId="20" borderId="0" xfId="0" applyFont="1" applyFill="1"/>
    <xf numFmtId="0" fontId="0" fillId="0" borderId="19" xfId="0" applyBorder="1" applyAlignment="1" applyProtection="1">
      <alignment horizontal="center" wrapText="1"/>
    </xf>
    <xf numFmtId="3" fontId="68" fillId="28" borderId="10" xfId="0" applyNumberFormat="1" applyFont="1" applyFill="1" applyBorder="1" applyAlignment="1" applyProtection="1">
      <alignment vertical="center"/>
      <protection locked="0"/>
    </xf>
    <xf numFmtId="3" fontId="68" fillId="28" borderId="10" xfId="0" applyNumberFormat="1" applyFont="1" applyFill="1" applyBorder="1" applyAlignment="1" applyProtection="1">
      <alignment horizontal="right" vertical="center"/>
      <protection locked="0"/>
    </xf>
    <xf numFmtId="3" fontId="3" fillId="28" borderId="10" xfId="0" applyNumberFormat="1" applyFont="1" applyFill="1" applyBorder="1" applyAlignment="1" applyProtection="1">
      <alignment vertical="center"/>
      <protection locked="0"/>
    </xf>
    <xf numFmtId="3" fontId="68" fillId="29" borderId="10" xfId="0" applyNumberFormat="1" applyFont="1" applyFill="1" applyBorder="1" applyAlignment="1" applyProtection="1">
      <alignment vertical="center"/>
      <protection locked="0"/>
    </xf>
    <xf numFmtId="3" fontId="3" fillId="29" borderId="10" xfId="0" applyNumberFormat="1" applyFont="1" applyFill="1" applyBorder="1" applyAlignment="1" applyProtection="1">
      <alignment vertical="center"/>
      <protection locked="0"/>
    </xf>
    <xf numFmtId="3" fontId="3" fillId="28" borderId="10" xfId="0" applyNumberFormat="1" applyFont="1" applyFill="1" applyBorder="1" applyAlignment="1" applyProtection="1">
      <alignment horizontal="right" vertical="center"/>
      <protection locked="0"/>
    </xf>
    <xf numFmtId="3" fontId="68" fillId="24" borderId="10" xfId="0" applyNumberFormat="1" applyFont="1" applyFill="1" applyBorder="1" applyAlignment="1" applyProtection="1">
      <alignment vertical="center"/>
    </xf>
    <xf numFmtId="0" fontId="68" fillId="0" borderId="93" xfId="0" applyFont="1" applyFill="1" applyBorder="1" applyAlignment="1" applyProtection="1">
      <alignment horizontal="center"/>
    </xf>
    <xf numFmtId="0" fontId="68" fillId="0" borderId="90" xfId="0" applyFont="1" applyFill="1" applyBorder="1" applyAlignment="1" applyProtection="1">
      <alignment horizontal="center"/>
    </xf>
    <xf numFmtId="164" fontId="134" fillId="25" borderId="94" xfId="59" applyFont="1" applyFill="1" applyBorder="1" applyAlignment="1" applyProtection="1">
      <alignment horizontal="center" vertical="center"/>
    </xf>
    <xf numFmtId="0" fontId="82" fillId="0" borderId="96" xfId="0" applyNumberFormat="1" applyFont="1" applyFill="1" applyBorder="1" applyAlignment="1" applyProtection="1">
      <alignment horizontal="center" vertical="center"/>
    </xf>
    <xf numFmtId="15" fontId="0" fillId="0" borderId="10" xfId="56" applyNumberFormat="1" applyFont="1" applyFill="1" applyBorder="1" applyAlignment="1" applyProtection="1">
      <alignment horizontal="center"/>
      <protection locked="0"/>
    </xf>
    <xf numFmtId="0" fontId="36" fillId="0" borderId="10" xfId="0" applyFont="1" applyBorder="1" applyAlignment="1" applyProtection="1">
      <alignment horizontal="center" vertical="center" wrapText="1"/>
    </xf>
    <xf numFmtId="3" fontId="139" fillId="0" borderId="42" xfId="0" applyNumberFormat="1" applyFont="1" applyFill="1" applyBorder="1" applyAlignment="1" applyProtection="1">
      <alignment horizontal="center" vertical="center" wrapText="1"/>
      <protection locked="0"/>
    </xf>
    <xf numFmtId="49" fontId="139" fillId="0" borderId="10" xfId="0" applyNumberFormat="1" applyFont="1" applyFill="1" applyBorder="1" applyAlignment="1" applyProtection="1">
      <alignment horizontal="center" vertical="center"/>
      <protection locked="0"/>
    </xf>
    <xf numFmtId="3" fontId="139" fillId="35" borderId="42" xfId="0" applyNumberFormat="1" applyFont="1" applyFill="1" applyBorder="1" applyAlignment="1" applyProtection="1">
      <alignment horizontal="center" vertical="center" wrapText="1"/>
      <protection locked="0"/>
    </xf>
    <xf numFmtId="49" fontId="139" fillId="35" borderId="42" xfId="0" applyNumberFormat="1" applyFont="1" applyFill="1" applyBorder="1" applyAlignment="1" applyProtection="1">
      <alignment horizontal="center" vertical="center" wrapText="1"/>
      <protection locked="0"/>
    </xf>
    <xf numFmtId="49" fontId="139" fillId="35" borderId="10" xfId="0" applyNumberFormat="1" applyFont="1" applyFill="1" applyBorder="1" applyAlignment="1" applyProtection="1">
      <alignment horizontal="center" vertical="center" wrapText="1"/>
      <protection locked="0"/>
    </xf>
    <xf numFmtId="49" fontId="139" fillId="35" borderId="10" xfId="0" applyNumberFormat="1" applyFont="1" applyFill="1" applyBorder="1" applyAlignment="1" applyProtection="1">
      <alignment horizontal="center" vertical="center"/>
      <protection locked="0"/>
    </xf>
    <xf numFmtId="9" fontId="142"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 fontId="22" fillId="0" borderId="46" xfId="0" applyNumberFormat="1" applyFont="1" applyFill="1" applyBorder="1" applyAlignment="1" applyProtection="1">
      <alignment horizontal="center"/>
      <protection locked="0"/>
    </xf>
    <xf numFmtId="1" fontId="0" fillId="0" borderId="46" xfId="0" applyNumberFormat="1" applyFill="1" applyBorder="1" applyAlignment="1" applyProtection="1">
      <alignment horizontal="center"/>
      <protection locked="0"/>
    </xf>
    <xf numFmtId="15" fontId="27" fillId="0" borderId="91" xfId="0" applyNumberFormat="1" applyFont="1" applyFill="1" applyBorder="1" applyAlignment="1" applyProtection="1">
      <alignment horizontal="center"/>
    </xf>
    <xf numFmtId="0" fontId="0" fillId="0" borderId="0" xfId="0" applyFill="1" applyProtection="1"/>
    <xf numFmtId="49" fontId="116" fillId="0" borderId="70" xfId="0" applyNumberFormat="1" applyFont="1" applyFill="1" applyBorder="1" applyAlignment="1" applyProtection="1">
      <alignment wrapText="1"/>
      <protection locked="0"/>
    </xf>
    <xf numFmtId="49" fontId="116" fillId="0" borderId="70" xfId="0" applyNumberFormat="1" applyFont="1" applyFill="1" applyBorder="1" applyAlignment="1" applyProtection="1">
      <protection locked="0"/>
    </xf>
    <xf numFmtId="0" fontId="35" fillId="0" borderId="72" xfId="0" applyFont="1" applyBorder="1" applyAlignment="1" applyProtection="1"/>
    <xf numFmtId="0" fontId="35" fillId="0" borderId="0" xfId="0" applyFont="1"/>
    <xf numFmtId="0" fontId="0" fillId="0" borderId="0" xfId="0" applyAlignment="1">
      <alignment wrapText="1"/>
    </xf>
    <xf numFmtId="0" fontId="35" fillId="0" borderId="10" xfId="0" applyFont="1" applyBorder="1" applyAlignment="1">
      <alignment wrapText="1"/>
    </xf>
    <xf numFmtId="0" fontId="35" fillId="0" borderId="10" xfId="0" applyFont="1" applyBorder="1"/>
    <xf numFmtId="0" fontId="35" fillId="0" borderId="93" xfId="0" applyFont="1" applyBorder="1" applyAlignment="1">
      <alignment wrapText="1"/>
    </xf>
    <xf numFmtId="0" fontId="35" fillId="0" borderId="93" xfId="0" applyFont="1" applyBorder="1"/>
    <xf numFmtId="0" fontId="35" fillId="0" borderId="38" xfId="0" applyFont="1" applyBorder="1" applyAlignment="1">
      <alignment wrapText="1"/>
    </xf>
    <xf numFmtId="0" fontId="0" fillId="0" borderId="51" xfId="0" applyBorder="1"/>
    <xf numFmtId="0" fontId="35" fillId="0" borderId="49" xfId="0" applyFont="1" applyBorder="1" applyAlignment="1">
      <alignment wrapText="1"/>
    </xf>
    <xf numFmtId="0" fontId="35" fillId="0" borderId="50" xfId="0" applyFont="1" applyBorder="1"/>
    <xf numFmtId="0" fontId="149" fillId="0" borderId="52" xfId="0" applyFont="1" applyBorder="1"/>
    <xf numFmtId="0" fontId="149" fillId="0" borderId="58" xfId="0" applyFont="1" applyBorder="1"/>
    <xf numFmtId="0" fontId="149" fillId="0" borderId="53" xfId="0" applyFont="1" applyBorder="1"/>
    <xf numFmtId="0" fontId="0" fillId="0" borderId="235" xfId="0" applyBorder="1"/>
    <xf numFmtId="3" fontId="0" fillId="0" borderId="0" xfId="0" applyNumberFormat="1"/>
    <xf numFmtId="3" fontId="29" fillId="26" borderId="10" xfId="62" applyNumberFormat="1" applyFont="1" applyFill="1" applyBorder="1" applyAlignment="1" applyProtection="1">
      <protection locked="0"/>
    </xf>
    <xf numFmtId="3" fontId="29" fillId="26" borderId="10" xfId="62" applyNumberFormat="1" applyFont="1" applyFill="1" applyBorder="1" applyProtection="1">
      <protection locked="0"/>
    </xf>
    <xf numFmtId="0" fontId="29" fillId="0" borderId="10" xfId="0" applyFont="1" applyBorder="1"/>
    <xf numFmtId="3" fontId="29" fillId="0" borderId="10" xfId="0" applyNumberFormat="1" applyFont="1" applyBorder="1"/>
    <xf numFmtId="49" fontId="148" fillId="0" borderId="10" xfId="0" applyNumberFormat="1" applyFont="1" applyFill="1" applyBorder="1" applyAlignment="1" applyProtection="1">
      <alignment wrapText="1"/>
      <protection locked="0"/>
    </xf>
    <xf numFmtId="49" fontId="148" fillId="0" borderId="10" xfId="0" applyNumberFormat="1" applyFont="1" applyFill="1" applyBorder="1" applyAlignment="1" applyProtection="1">
      <protection locked="0"/>
    </xf>
    <xf numFmtId="0" fontId="143" fillId="0" borderId="10" xfId="0" applyFont="1" applyBorder="1" applyAlignment="1" applyProtection="1"/>
    <xf numFmtId="3" fontId="143" fillId="0" borderId="10" xfId="0" applyNumberFormat="1" applyFont="1" applyBorder="1" applyProtection="1"/>
    <xf numFmtId="0" fontId="143" fillId="0" borderId="10" xfId="0" applyFont="1" applyBorder="1"/>
    <xf numFmtId="2" fontId="0" fillId="0" borderId="0" xfId="0" applyNumberFormat="1"/>
    <xf numFmtId="3" fontId="0" fillId="0" borderId="0" xfId="0" quotePrefix="1" applyNumberFormat="1" applyProtection="1"/>
    <xf numFmtId="0" fontId="26" fillId="0" borderId="130" xfId="0" applyFont="1" applyBorder="1" applyAlignment="1" applyProtection="1">
      <alignment vertical="distributed"/>
    </xf>
    <xf numFmtId="15" fontId="28" fillId="0" borderId="236" xfId="0" applyNumberFormat="1" applyFont="1" applyFill="1" applyBorder="1" applyAlignment="1" applyProtection="1">
      <alignment horizontal="center" vertical="center" wrapText="1"/>
    </xf>
    <xf numFmtId="15" fontId="28" fillId="0" borderId="237" xfId="0" applyNumberFormat="1" applyFont="1" applyFill="1" applyBorder="1" applyAlignment="1" applyProtection="1">
      <alignment horizontal="center" vertical="center" wrapText="1"/>
    </xf>
    <xf numFmtId="0" fontId="7" fillId="0" borderId="49" xfId="0" applyFont="1" applyBorder="1" applyAlignment="1" applyProtection="1"/>
    <xf numFmtId="0" fontId="7" fillId="0" borderId="52" xfId="0" applyFont="1" applyBorder="1" applyAlignment="1" applyProtection="1"/>
    <xf numFmtId="3" fontId="7" fillId="0" borderId="50" xfId="62" applyNumberFormat="1" applyFont="1" applyFill="1" applyBorder="1" applyAlignment="1" applyProtection="1"/>
    <xf numFmtId="3" fontId="7" fillId="0" borderId="53" xfId="62" applyNumberFormat="1" applyFont="1" applyFill="1" applyBorder="1" applyAlignment="1" applyProtection="1"/>
    <xf numFmtId="0" fontId="0" fillId="0" borderId="38" xfId="0" applyFill="1" applyBorder="1" applyProtection="1"/>
    <xf numFmtId="0" fontId="0" fillId="0" borderId="65" xfId="0" applyFill="1" applyBorder="1" applyAlignment="1" applyProtection="1">
      <alignment horizontal="center"/>
    </xf>
    <xf numFmtId="0" fontId="0" fillId="0" borderId="54" xfId="0" applyFill="1" applyBorder="1" applyAlignment="1" applyProtection="1">
      <alignment horizontal="center"/>
    </xf>
    <xf numFmtId="0" fontId="0" fillId="0" borderId="49" xfId="0" applyFill="1" applyBorder="1" applyAlignment="1" applyProtection="1">
      <alignment horizontal="center" wrapText="1"/>
    </xf>
    <xf numFmtId="0" fontId="64" fillId="0" borderId="42" xfId="0" applyFont="1" applyBorder="1" applyAlignment="1" applyProtection="1">
      <alignment horizontal="left" vertical="center" wrapText="1"/>
      <protection locked="0"/>
    </xf>
    <xf numFmtId="0" fontId="64" fillId="0" borderId="43" xfId="0" applyFont="1" applyBorder="1" applyAlignment="1" applyProtection="1">
      <alignment horizontal="left" vertical="center" wrapText="1"/>
      <protection locked="0"/>
    </xf>
    <xf numFmtId="0" fontId="64" fillId="0" borderId="44" xfId="0" applyFont="1" applyBorder="1" applyAlignment="1" applyProtection="1">
      <alignment horizontal="left" vertical="center" wrapText="1"/>
      <protection locked="0"/>
    </xf>
    <xf numFmtId="3" fontId="3" fillId="28" borderId="10" xfId="0" applyNumberFormat="1" applyFont="1" applyFill="1" applyBorder="1" applyAlignment="1" applyProtection="1">
      <alignment horizontal="right" vertical="center" wrapText="1"/>
      <protection locked="0"/>
    </xf>
    <xf numFmtId="3" fontId="3" fillId="23" borderId="10" xfId="0" applyNumberFormat="1" applyFont="1" applyFill="1" applyBorder="1" applyAlignment="1" applyProtection="1">
      <alignment vertical="center" wrapText="1"/>
      <protection locked="0"/>
    </xf>
    <xf numFmtId="3" fontId="3" fillId="22" borderId="10" xfId="0" applyNumberFormat="1" applyFont="1" applyFill="1" applyBorder="1" applyAlignment="1" applyProtection="1">
      <alignment vertical="center" wrapText="1"/>
      <protection locked="0"/>
    </xf>
    <xf numFmtId="49" fontId="0" fillId="35" borderId="10" xfId="0" applyNumberFormat="1" applyFill="1" applyBorder="1" applyAlignment="1" applyProtection="1">
      <alignment horizontal="left"/>
      <protection locked="0"/>
    </xf>
    <xf numFmtId="49" fontId="0" fillId="0" borderId="10" xfId="0" applyNumberFormat="1" applyFill="1" applyBorder="1" applyProtection="1">
      <protection locked="0"/>
    </xf>
    <xf numFmtId="49" fontId="147" fillId="0" borderId="10" xfId="0" applyNumberFormat="1" applyFont="1" applyFill="1" applyBorder="1" applyProtection="1">
      <protection locked="0"/>
    </xf>
    <xf numFmtId="4" fontId="29" fillId="26" borderId="60" xfId="0" applyNumberFormat="1" applyFont="1" applyFill="1" applyBorder="1" applyAlignment="1" applyProtection="1">
      <protection locked="0"/>
    </xf>
    <xf numFmtId="4" fontId="2" fillId="37" borderId="69" xfId="62" applyNumberFormat="1" applyFont="1" applyFill="1" applyBorder="1" applyAlignment="1" applyProtection="1">
      <protection locked="0"/>
    </xf>
    <xf numFmtId="4" fontId="2" fillId="37" borderId="69" xfId="62" applyNumberFormat="1" applyFont="1" applyFill="1" applyBorder="1" applyProtection="1">
      <protection locked="0"/>
    </xf>
    <xf numFmtId="15" fontId="27" fillId="0" borderId="54" xfId="0" applyNumberFormat="1" applyFont="1" applyFill="1" applyBorder="1" applyAlignment="1" applyProtection="1"/>
    <xf numFmtId="15" fontId="27" fillId="0" borderId="216" xfId="0" applyNumberFormat="1" applyFont="1" applyFill="1" applyBorder="1" applyAlignment="1" applyProtection="1">
      <alignment horizontal="center"/>
    </xf>
    <xf numFmtId="0" fontId="27" fillId="0" borderId="49" xfId="0" applyFont="1" applyFill="1" applyBorder="1" applyProtection="1"/>
    <xf numFmtId="0" fontId="27" fillId="0" borderId="52" xfId="0" applyFont="1" applyFill="1" applyBorder="1" applyProtection="1"/>
    <xf numFmtId="0" fontId="0" fillId="0" borderId="58" xfId="0" applyBorder="1"/>
    <xf numFmtId="15" fontId="28" fillId="0" borderId="108" xfId="0" applyNumberFormat="1" applyFont="1" applyFill="1" applyBorder="1" applyAlignment="1" applyProtection="1">
      <alignment horizontal="center" vertical="center" wrapText="1"/>
    </xf>
    <xf numFmtId="3" fontId="0" fillId="36" borderId="10" xfId="0" applyNumberFormat="1" applyFill="1" applyBorder="1" applyAlignment="1" applyProtection="1">
      <alignment horizontal="right" wrapText="1"/>
      <protection locked="0"/>
    </xf>
    <xf numFmtId="3" fontId="0" fillId="26" borderId="71" xfId="62" applyNumberFormat="1" applyFont="1" applyFill="1" applyBorder="1" applyProtection="1">
      <protection locked="0"/>
    </xf>
    <xf numFmtId="49" fontId="152" fillId="38" borderId="42" xfId="0" applyNumberFormat="1" applyFont="1" applyFill="1" applyBorder="1" applyAlignment="1" applyProtection="1">
      <alignment horizontal="center" vertical="center" wrapText="1"/>
    </xf>
    <xf numFmtId="3" fontId="153" fillId="0" borderId="10" xfId="0" applyNumberFormat="1" applyFont="1" applyFill="1" applyBorder="1" applyAlignment="1" applyProtection="1"/>
    <xf numFmtId="3" fontId="153" fillId="0" borderId="59" xfId="0" applyNumberFormat="1" applyFont="1" applyFill="1" applyBorder="1" applyAlignment="1" applyProtection="1"/>
    <xf numFmtId="3" fontId="153" fillId="26" borderId="60" xfId="0" applyNumberFormat="1" applyFont="1" applyFill="1" applyBorder="1" applyAlignment="1" applyProtection="1">
      <protection locked="0"/>
    </xf>
    <xf numFmtId="4" fontId="153" fillId="26" borderId="60" xfId="0" applyNumberFormat="1" applyFont="1" applyFill="1" applyBorder="1" applyAlignment="1" applyProtection="1">
      <protection locked="0"/>
    </xf>
    <xf numFmtId="164" fontId="29" fillId="26" borderId="60" xfId="62" applyFont="1" applyFill="1" applyBorder="1" applyAlignment="1" applyProtection="1">
      <protection locked="0"/>
    </xf>
    <xf numFmtId="164" fontId="29" fillId="0" borderId="10" xfId="62" applyFont="1" applyFill="1" applyBorder="1" applyAlignment="1" applyProtection="1"/>
    <xf numFmtId="164" fontId="29" fillId="0" borderId="59" xfId="62" applyFont="1" applyFill="1" applyBorder="1" applyAlignment="1" applyProtection="1"/>
    <xf numFmtId="9" fontId="139" fillId="0" borderId="42" xfId="0" applyNumberFormat="1" applyFont="1" applyFill="1" applyBorder="1" applyAlignment="1" applyProtection="1">
      <alignment horizontal="center" vertical="center" wrapText="1"/>
      <protection locked="0"/>
    </xf>
    <xf numFmtId="9" fontId="3" fillId="22" borderId="10" xfId="0" applyNumberFormat="1" applyFont="1" applyFill="1" applyBorder="1" applyAlignment="1" applyProtection="1">
      <alignment vertical="center"/>
      <protection locked="0"/>
    </xf>
    <xf numFmtId="0" fontId="139" fillId="0" borderId="42" xfId="0" applyNumberFormat="1" applyFont="1" applyFill="1" applyBorder="1" applyAlignment="1" applyProtection="1">
      <alignment horizontal="center" vertical="center" wrapText="1"/>
      <protection locked="0"/>
    </xf>
    <xf numFmtId="9" fontId="68" fillId="22" borderId="10" xfId="0" applyNumberFormat="1" applyFont="1" applyFill="1" applyBorder="1" applyAlignment="1" applyProtection="1">
      <alignment vertical="center"/>
      <protection locked="0"/>
    </xf>
    <xf numFmtId="9" fontId="68" fillId="29" borderId="10" xfId="0" applyNumberFormat="1" applyFont="1" applyFill="1" applyBorder="1" applyAlignment="1" applyProtection="1">
      <alignment vertical="center"/>
      <protection locked="0"/>
    </xf>
    <xf numFmtId="9" fontId="68" fillId="28" borderId="10" xfId="0" applyNumberFormat="1" applyFont="1" applyFill="1" applyBorder="1" applyAlignment="1" applyProtection="1">
      <alignment horizontal="right" vertical="center"/>
      <protection locked="0"/>
    </xf>
    <xf numFmtId="164" fontId="29" fillId="0" borderId="0" xfId="0" applyNumberFormat="1" applyFont="1" applyAlignment="1" applyProtection="1">
      <alignment horizontal="right"/>
    </xf>
    <xf numFmtId="164" fontId="15" fillId="0" borderId="0" xfId="0" applyNumberFormat="1" applyFont="1" applyAlignment="1" applyProtection="1">
      <alignment horizontal="center"/>
    </xf>
    <xf numFmtId="49" fontId="27" fillId="0" borderId="70" xfId="0" applyNumberFormat="1" applyFont="1" applyFill="1" applyBorder="1" applyAlignment="1" applyProtection="1">
      <alignment horizontal="left" wrapText="1"/>
      <protection locked="0"/>
    </xf>
    <xf numFmtId="49" fontId="27" fillId="0" borderId="70" xfId="0" applyNumberFormat="1" applyFont="1" applyFill="1" applyBorder="1" applyAlignment="1" applyProtection="1">
      <alignment vertical="top" wrapText="1"/>
      <protection locked="0"/>
    </xf>
    <xf numFmtId="3" fontId="0" fillId="0" borderId="73" xfId="0" applyNumberFormat="1" applyFill="1" applyBorder="1" applyProtection="1"/>
    <xf numFmtId="3" fontId="22" fillId="26" borderId="10" xfId="62" applyNumberFormat="1" applyFont="1" applyFill="1" applyBorder="1" applyAlignment="1" applyProtection="1">
      <protection locked="0"/>
    </xf>
    <xf numFmtId="3" fontId="22" fillId="26" borderId="245" xfId="62" applyNumberFormat="1" applyFont="1" applyFill="1" applyBorder="1" applyAlignment="1" applyProtection="1">
      <protection locked="0"/>
    </xf>
    <xf numFmtId="1" fontId="0" fillId="26" borderId="10" xfId="0" applyNumberFormat="1" applyFill="1" applyBorder="1" applyAlignment="1" applyProtection="1">
      <alignment horizontal="center"/>
      <protection locked="0"/>
    </xf>
    <xf numFmtId="166" fontId="2" fillId="26" borderId="246" xfId="62" applyNumberFormat="1" applyFont="1" applyFill="1" applyBorder="1" applyAlignment="1" applyProtection="1">
      <alignment horizontal="center"/>
      <protection locked="0"/>
    </xf>
    <xf numFmtId="1" fontId="0" fillId="26" borderId="59" xfId="0" applyNumberFormat="1" applyFill="1" applyBorder="1" applyAlignment="1" applyProtection="1">
      <alignment horizontal="center"/>
      <protection locked="0"/>
    </xf>
    <xf numFmtId="0" fontId="0" fillId="42" borderId="46" xfId="0" applyNumberFormat="1" applyFill="1" applyBorder="1" applyAlignment="1" applyProtection="1">
      <alignment horizontal="center"/>
      <protection locked="0"/>
    </xf>
    <xf numFmtId="0" fontId="0" fillId="42" borderId="23" xfId="0" applyNumberFormat="1" applyFill="1" applyBorder="1" applyAlignment="1" applyProtection="1">
      <alignment horizontal="center"/>
    </xf>
    <xf numFmtId="164" fontId="154" fillId="0" borderId="26" xfId="59" applyFont="1" applyFill="1" applyBorder="1" applyAlignment="1" applyProtection="1">
      <alignment vertical="center"/>
    </xf>
    <xf numFmtId="164" fontId="155" fillId="0" borderId="26" xfId="59" applyFont="1" applyFill="1" applyBorder="1" applyAlignment="1" applyProtection="1">
      <alignment vertical="center"/>
    </xf>
    <xf numFmtId="0" fontId="155" fillId="0" borderId="26" xfId="0" applyFont="1" applyBorder="1" applyProtection="1"/>
    <xf numFmtId="0" fontId="155" fillId="0" borderId="26" xfId="0" applyFont="1" applyBorder="1"/>
    <xf numFmtId="0" fontId="155" fillId="22" borderId="95" xfId="0" applyFont="1" applyFill="1" applyBorder="1"/>
    <xf numFmtId="0" fontId="156" fillId="0" borderId="10" xfId="0" applyFont="1" applyFill="1" applyBorder="1" applyAlignment="1" applyProtection="1">
      <alignment horizontal="center"/>
    </xf>
    <xf numFmtId="3" fontId="156" fillId="22" borderId="10" xfId="0" applyNumberFormat="1" applyFont="1" applyFill="1" applyBorder="1" applyAlignment="1" applyProtection="1">
      <alignment vertical="center"/>
      <protection locked="0"/>
    </xf>
    <xf numFmtId="3" fontId="156" fillId="22" borderId="10" xfId="0" applyNumberFormat="1" applyFont="1" applyFill="1" applyBorder="1" applyAlignment="1" applyProtection="1">
      <alignment horizontal="right" vertical="center"/>
      <protection locked="0"/>
    </xf>
    <xf numFmtId="3" fontId="156" fillId="22" borderId="10" xfId="0" applyNumberFormat="1" applyFont="1" applyFill="1" applyBorder="1" applyAlignment="1" applyProtection="1">
      <alignment horizontal="right" vertical="center" wrapText="1"/>
      <protection locked="0"/>
    </xf>
    <xf numFmtId="3" fontId="156" fillId="22" borderId="27" xfId="0" applyNumberFormat="1" applyFont="1" applyFill="1" applyBorder="1" applyAlignment="1" applyProtection="1">
      <alignment vertical="center"/>
      <protection locked="0"/>
    </xf>
    <xf numFmtId="0" fontId="156" fillId="24" borderId="10" xfId="0" applyFont="1" applyFill="1" applyBorder="1" applyAlignment="1" applyProtection="1">
      <alignment horizontal="center"/>
    </xf>
    <xf numFmtId="3" fontId="156" fillId="28" borderId="10" xfId="0" applyNumberFormat="1" applyFont="1" applyFill="1" applyBorder="1" applyAlignment="1" applyProtection="1">
      <alignment vertical="center"/>
      <protection locked="0"/>
    </xf>
    <xf numFmtId="3" fontId="156" fillId="23" borderId="10" xfId="0" applyNumberFormat="1" applyFont="1" applyFill="1" applyBorder="1" applyAlignment="1" applyProtection="1">
      <alignment vertical="center"/>
      <protection locked="0"/>
    </xf>
    <xf numFmtId="3" fontId="156" fillId="23" borderId="10" xfId="0" applyNumberFormat="1" applyFont="1" applyFill="1" applyBorder="1" applyAlignment="1" applyProtection="1">
      <alignment horizontal="right" vertical="center"/>
      <protection locked="0"/>
    </xf>
    <xf numFmtId="3" fontId="156" fillId="23" borderId="10" xfId="0" applyNumberFormat="1" applyFont="1" applyFill="1" applyBorder="1" applyAlignment="1" applyProtection="1">
      <alignment horizontal="right" vertical="center" wrapText="1"/>
      <protection locked="0"/>
    </xf>
    <xf numFmtId="3" fontId="156" fillId="23" borderId="27" xfId="0" applyNumberFormat="1" applyFont="1" applyFill="1" applyBorder="1" applyAlignment="1" applyProtection="1">
      <alignment vertical="center"/>
      <protection locked="0"/>
    </xf>
    <xf numFmtId="1" fontId="156" fillId="22" borderId="10" xfId="0" applyNumberFormat="1" applyFont="1" applyFill="1" applyBorder="1" applyAlignment="1" applyProtection="1">
      <alignment vertical="center"/>
      <protection locked="0"/>
    </xf>
    <xf numFmtId="3" fontId="156" fillId="28" borderId="10" xfId="0" applyNumberFormat="1" applyFont="1" applyFill="1" applyBorder="1" applyAlignment="1" applyProtection="1">
      <alignment horizontal="right" vertical="center"/>
      <protection locked="0"/>
    </xf>
    <xf numFmtId="9" fontId="156" fillId="28" borderId="10" xfId="0" applyNumberFormat="1" applyFont="1" applyFill="1" applyBorder="1" applyAlignment="1" applyProtection="1">
      <alignment horizontal="right" vertical="center"/>
      <protection locked="0"/>
    </xf>
    <xf numFmtId="3" fontId="156" fillId="28" borderId="10" xfId="0" applyNumberFormat="1" applyFont="1" applyFill="1" applyBorder="1" applyAlignment="1" applyProtection="1">
      <alignment horizontal="right" vertical="center" wrapText="1"/>
      <protection locked="0"/>
    </xf>
    <xf numFmtId="3" fontId="156" fillId="28" borderId="27" xfId="0" applyNumberFormat="1" applyFont="1" applyFill="1" applyBorder="1" applyAlignment="1" applyProtection="1">
      <alignment vertical="center"/>
      <protection locked="0"/>
    </xf>
    <xf numFmtId="3" fontId="156" fillId="29" borderId="10" xfId="0" applyNumberFormat="1" applyFont="1" applyFill="1" applyBorder="1" applyAlignment="1" applyProtection="1">
      <alignment vertical="center"/>
      <protection locked="0"/>
    </xf>
    <xf numFmtId="3" fontId="156" fillId="29" borderId="10" xfId="0" applyNumberFormat="1" applyFont="1" applyFill="1" applyBorder="1" applyAlignment="1" applyProtection="1">
      <alignment horizontal="right" vertical="center"/>
      <protection locked="0"/>
    </xf>
    <xf numFmtId="3" fontId="156" fillId="29" borderId="10" xfId="0" applyNumberFormat="1" applyFont="1" applyFill="1" applyBorder="1" applyAlignment="1" applyProtection="1">
      <alignment horizontal="right" vertical="center" wrapText="1"/>
      <protection locked="0"/>
    </xf>
    <xf numFmtId="3" fontId="156" fillId="29" borderId="27" xfId="0" applyNumberFormat="1" applyFont="1" applyFill="1" applyBorder="1" applyAlignment="1" applyProtection="1">
      <alignment vertical="center"/>
      <protection locked="0"/>
    </xf>
    <xf numFmtId="3" fontId="156" fillId="28" borderId="27" xfId="0" applyNumberFormat="1" applyFont="1" applyFill="1" applyBorder="1" applyAlignment="1" applyProtection="1">
      <alignment horizontal="right" vertical="center"/>
      <protection locked="0"/>
    </xf>
    <xf numFmtId="9" fontId="156" fillId="29" borderId="10" xfId="0" applyNumberFormat="1" applyFont="1" applyFill="1" applyBorder="1" applyAlignment="1" applyProtection="1">
      <alignment horizontal="right" vertical="center"/>
      <protection locked="0"/>
    </xf>
    <xf numFmtId="3" fontId="156" fillId="0" borderId="10" xfId="0" applyNumberFormat="1" applyFont="1" applyFill="1" applyBorder="1" applyAlignment="1" applyProtection="1">
      <alignment vertical="center"/>
    </xf>
    <xf numFmtId="3" fontId="156" fillId="0" borderId="10" xfId="0" applyNumberFormat="1" applyFont="1" applyFill="1" applyBorder="1" applyAlignment="1" applyProtection="1">
      <alignment horizontal="right" vertical="center"/>
    </xf>
    <xf numFmtId="3" fontId="156" fillId="24" borderId="10" xfId="0" applyNumberFormat="1" applyFont="1" applyFill="1" applyBorder="1" applyAlignment="1" applyProtection="1">
      <alignment vertical="center"/>
    </xf>
    <xf numFmtId="3" fontId="156" fillId="24" borderId="10" xfId="0" applyNumberFormat="1" applyFont="1" applyFill="1" applyBorder="1" applyAlignment="1" applyProtection="1">
      <alignment horizontal="right" vertical="center"/>
    </xf>
    <xf numFmtId="3" fontId="156" fillId="0" borderId="55" xfId="0" applyNumberFormat="1" applyFont="1" applyFill="1" applyBorder="1" applyAlignment="1" applyProtection="1">
      <alignment vertical="center"/>
    </xf>
    <xf numFmtId="9" fontId="156" fillId="29" borderId="10" xfId="0" applyNumberFormat="1" applyFont="1" applyFill="1" applyBorder="1" applyAlignment="1" applyProtection="1">
      <alignment vertical="center"/>
      <protection locked="0"/>
    </xf>
    <xf numFmtId="165" fontId="15" fillId="42" borderId="67" xfId="0" applyNumberFormat="1" applyFont="1" applyFill="1" applyBorder="1" applyAlignment="1" applyProtection="1">
      <alignment horizontal="center"/>
      <protection locked="0"/>
    </xf>
    <xf numFmtId="0" fontId="0" fillId="0" borderId="24" xfId="0" applyBorder="1" applyAlignment="1" applyProtection="1">
      <alignment horizontal="center" vertical="center"/>
    </xf>
    <xf numFmtId="0" fontId="0" fillId="42" borderId="23" xfId="0" applyNumberFormat="1" applyFill="1" applyBorder="1" applyAlignment="1" applyProtection="1">
      <alignment horizontal="center"/>
      <protection locked="0"/>
    </xf>
    <xf numFmtId="1" fontId="0" fillId="25" borderId="46" xfId="0" applyNumberFormat="1" applyFill="1" applyBorder="1" applyAlignment="1" applyProtection="1">
      <alignment horizontal="center"/>
      <protection locked="0"/>
    </xf>
    <xf numFmtId="1" fontId="0" fillId="42" borderId="21" xfId="0" applyNumberFormat="1" applyFill="1" applyBorder="1" applyAlignment="1" applyProtection="1">
      <alignment horizontal="center"/>
    </xf>
    <xf numFmtId="0" fontId="31" fillId="22" borderId="0" xfId="0" applyFont="1" applyFill="1" applyBorder="1" applyAlignment="1" applyProtection="1">
      <alignment horizontal="center" wrapText="1"/>
      <protection locked="0"/>
    </xf>
    <xf numFmtId="0" fontId="31" fillId="22" borderId="0" xfId="0" applyFont="1" applyFill="1" applyBorder="1" applyAlignment="1" applyProtection="1">
      <alignment horizontal="left" wrapText="1"/>
      <protection locked="0"/>
    </xf>
    <xf numFmtId="15" fontId="143" fillId="0" borderId="0" xfId="0" applyNumberFormat="1" applyFont="1" applyAlignment="1" applyProtection="1">
      <alignment horizontal="center"/>
    </xf>
    <xf numFmtId="0" fontId="35" fillId="0" borderId="10" xfId="0" applyFont="1" applyBorder="1" applyAlignment="1" applyProtection="1">
      <alignment horizontal="center" vertical="center" wrapText="1"/>
    </xf>
    <xf numFmtId="9" fontId="158" fillId="27" borderId="10" xfId="61" applyFont="1" applyFill="1" applyBorder="1" applyAlignment="1" applyProtection="1">
      <alignment horizontal="center" vertical="center" wrapText="1"/>
    </xf>
    <xf numFmtId="3" fontId="2" fillId="0" borderId="10" xfId="0" applyNumberFormat="1" applyFont="1" applyBorder="1" applyAlignment="1" applyProtection="1">
      <alignment vertical="center" wrapText="1"/>
    </xf>
    <xf numFmtId="9" fontId="22" fillId="20" borderId="10" xfId="0" applyNumberFormat="1" applyFont="1" applyFill="1" applyBorder="1" applyAlignment="1" applyProtection="1">
      <alignment horizontal="left" vertical="center" wrapText="1"/>
    </xf>
    <xf numFmtId="3" fontId="22" fillId="20" borderId="10" xfId="0" applyNumberFormat="1" applyFont="1" applyFill="1" applyBorder="1" applyAlignment="1" applyProtection="1">
      <alignment vertical="center" wrapText="1"/>
    </xf>
    <xf numFmtId="9" fontId="16" fillId="20" borderId="0" xfId="61" applyFont="1" applyFill="1" applyBorder="1"/>
    <xf numFmtId="3" fontId="22" fillId="20" borderId="10" xfId="0" applyNumberFormat="1" applyFont="1" applyFill="1" applyBorder="1" applyAlignment="1" applyProtection="1">
      <alignment horizontal="left" vertical="center" wrapText="1"/>
    </xf>
    <xf numFmtId="0" fontId="110" fillId="22" borderId="0" xfId="0" applyFont="1" applyFill="1" applyBorder="1" applyAlignment="1" applyProtection="1">
      <alignment horizontal="right" vertical="top"/>
      <protection locked="0"/>
    </xf>
    <xf numFmtId="164" fontId="29" fillId="0" borderId="0" xfId="0" applyNumberFormat="1" applyFont="1" applyAlignment="1" applyProtection="1">
      <alignment horizontal="right" vertical="top"/>
    </xf>
    <xf numFmtId="164" fontId="33" fillId="0" borderId="0" xfId="0" applyNumberFormat="1" applyFont="1" applyAlignment="1" applyProtection="1">
      <alignment horizontal="center" vertical="top"/>
    </xf>
    <xf numFmtId="0" fontId="29" fillId="0" borderId="0" xfId="0" applyFont="1" applyAlignment="1" applyProtection="1">
      <alignment vertical="top"/>
    </xf>
    <xf numFmtId="15" fontId="29" fillId="0" borderId="0" xfId="0" applyNumberFormat="1" applyFont="1" applyAlignment="1" applyProtection="1">
      <alignment horizontal="center" vertical="top"/>
    </xf>
    <xf numFmtId="0" fontId="29" fillId="0" borderId="0" xfId="0" applyFont="1" applyAlignment="1">
      <alignment vertical="top"/>
    </xf>
    <xf numFmtId="0" fontId="31" fillId="22" borderId="106" xfId="0" applyFont="1" applyFill="1" applyBorder="1" applyAlignment="1" applyProtection="1">
      <alignment horizontal="left" vertical="top"/>
      <protection locked="0"/>
    </xf>
    <xf numFmtId="0" fontId="159" fillId="22" borderId="106" xfId="0" applyFont="1" applyFill="1" applyBorder="1" applyAlignment="1" applyProtection="1">
      <alignment horizontal="left" vertical="top" wrapText="1"/>
      <protection locked="0"/>
    </xf>
    <xf numFmtId="0" fontId="159" fillId="22" borderId="106" xfId="0" applyFont="1" applyFill="1" applyBorder="1" applyAlignment="1" applyProtection="1">
      <alignment horizontal="left" vertical="top"/>
      <protection locked="0"/>
    </xf>
    <xf numFmtId="0" fontId="131" fillId="0" borderId="0" xfId="0" applyFont="1" applyAlignment="1">
      <alignment vertical="top"/>
    </xf>
    <xf numFmtId="0" fontId="64" fillId="0" borderId="42" xfId="0" applyFont="1" applyBorder="1" applyAlignment="1" applyProtection="1">
      <alignment horizontal="left" vertical="center" wrapText="1"/>
      <protection locked="0"/>
    </xf>
    <xf numFmtId="0" fontId="64" fillId="0" borderId="43" xfId="0" applyFont="1" applyBorder="1" applyAlignment="1" applyProtection="1">
      <alignment horizontal="left" vertical="center" wrapText="1"/>
      <protection locked="0"/>
    </xf>
    <xf numFmtId="0" fontId="64" fillId="0" borderId="44" xfId="0" applyFont="1" applyBorder="1" applyAlignment="1" applyProtection="1">
      <alignment horizontal="left" vertical="center" wrapText="1"/>
      <protection locked="0"/>
    </xf>
    <xf numFmtId="0" fontId="161" fillId="44" borderId="38" xfId="0" applyFont="1" applyFill="1" applyBorder="1" applyAlignment="1" applyProtection="1">
      <alignment horizontal="center"/>
    </xf>
    <xf numFmtId="0" fontId="161" fillId="0" borderId="37" xfId="0" applyFont="1" applyFill="1" applyBorder="1" applyAlignment="1" applyProtection="1">
      <alignment horizontal="center" wrapText="1"/>
    </xf>
    <xf numFmtId="0" fontId="143" fillId="0" borderId="37" xfId="0" applyFont="1" applyBorder="1" applyAlignment="1">
      <alignment horizontal="center" wrapText="1"/>
    </xf>
    <xf numFmtId="0" fontId="161" fillId="35" borderId="37" xfId="0" applyFont="1" applyFill="1" applyBorder="1" applyAlignment="1">
      <alignment horizontal="center" wrapText="1"/>
    </xf>
    <xf numFmtId="0" fontId="161" fillId="0" borderId="37" xfId="0" applyFont="1" applyBorder="1" applyAlignment="1">
      <alignment horizontal="center" wrapText="1"/>
    </xf>
    <xf numFmtId="0" fontId="143" fillId="0" borderId="37" xfId="0" applyFont="1" applyBorder="1" applyAlignment="1">
      <alignment horizontal="center" vertical="center" wrapText="1"/>
    </xf>
    <xf numFmtId="0" fontId="161" fillId="0" borderId="51" xfId="0" applyFont="1" applyFill="1" applyBorder="1" applyAlignment="1" applyProtection="1">
      <alignment horizontal="center" wrapText="1"/>
    </xf>
    <xf numFmtId="0" fontId="22" fillId="25" borderId="10" xfId="0" applyNumberFormat="1" applyFont="1" applyFill="1" applyBorder="1" applyAlignment="1" applyProtection="1">
      <alignment horizontal="center" vertical="center"/>
      <protection locked="0"/>
    </xf>
    <xf numFmtId="0" fontId="22" fillId="0" borderId="10" xfId="0" applyNumberFormat="1" applyFont="1" applyFill="1" applyBorder="1" applyAlignment="1" applyProtection="1">
      <alignment horizontal="center" vertical="center"/>
    </xf>
    <xf numFmtId="3" fontId="22" fillId="0" borderId="10" xfId="0" applyNumberFormat="1" applyFont="1" applyFill="1" applyBorder="1" applyAlignment="1" applyProtection="1">
      <alignment horizontal="center" vertical="center"/>
    </xf>
    <xf numFmtId="168" fontId="22" fillId="0" borderId="10" xfId="0" applyNumberFormat="1" applyFont="1" applyFill="1" applyBorder="1" applyAlignment="1" applyProtection="1">
      <alignment horizontal="center" vertical="center"/>
    </xf>
    <xf numFmtId="168" fontId="22" fillId="0" borderId="50" xfId="0" applyNumberFormat="1" applyFont="1" applyFill="1" applyBorder="1" applyAlignment="1" applyProtection="1">
      <alignment horizontal="center" vertical="center"/>
    </xf>
    <xf numFmtId="3" fontId="22" fillId="36" borderId="10" xfId="0" applyNumberFormat="1" applyFont="1" applyFill="1" applyBorder="1" applyAlignment="1" applyProtection="1">
      <alignment horizontal="center" vertical="center"/>
      <protection locked="0"/>
    </xf>
    <xf numFmtId="3" fontId="22" fillId="36" borderId="10" xfId="0" applyNumberFormat="1" applyFont="1" applyFill="1" applyBorder="1" applyAlignment="1" applyProtection="1">
      <alignment horizontal="center" vertical="top"/>
      <protection locked="0"/>
    </xf>
    <xf numFmtId="3" fontId="22" fillId="0" borderId="10" xfId="0" applyNumberFormat="1" applyFont="1" applyFill="1" applyBorder="1" applyAlignment="1" applyProtection="1">
      <alignment horizontal="center" vertical="top"/>
    </xf>
    <xf numFmtId="168" fontId="22" fillId="0" borderId="10" xfId="0" applyNumberFormat="1" applyFont="1" applyFill="1" applyBorder="1" applyAlignment="1" applyProtection="1">
      <alignment horizontal="center" vertical="top"/>
    </xf>
    <xf numFmtId="168" fontId="22" fillId="0" borderId="50" xfId="0" applyNumberFormat="1" applyFont="1" applyFill="1" applyBorder="1" applyAlignment="1" applyProtection="1">
      <alignment horizontal="center" vertical="top"/>
    </xf>
    <xf numFmtId="3" fontId="0" fillId="36" borderId="10" xfId="0" applyNumberFormat="1" applyFill="1" applyBorder="1" applyAlignment="1" applyProtection="1">
      <alignment horizontal="center" vertical="top"/>
      <protection locked="0"/>
    </xf>
    <xf numFmtId="49" fontId="0" fillId="35" borderId="93" xfId="0" applyNumberFormat="1" applyFill="1" applyBorder="1" applyAlignment="1" applyProtection="1">
      <alignment horizontal="left"/>
      <protection locked="0"/>
    </xf>
    <xf numFmtId="0" fontId="22" fillId="25" borderId="93" xfId="0" applyNumberFormat="1" applyFont="1" applyFill="1" applyBorder="1" applyAlignment="1" applyProtection="1">
      <alignment horizontal="center" vertical="center"/>
      <protection locked="0"/>
    </xf>
    <xf numFmtId="3" fontId="0" fillId="36" borderId="93" xfId="0" applyNumberFormat="1" applyFill="1" applyBorder="1" applyAlignment="1" applyProtection="1">
      <alignment horizontal="center" vertical="top"/>
      <protection locked="0"/>
    </xf>
    <xf numFmtId="3" fontId="22" fillId="0" borderId="93" xfId="0" applyNumberFormat="1" applyFont="1" applyFill="1" applyBorder="1" applyAlignment="1" applyProtection="1">
      <alignment horizontal="center" vertical="top"/>
    </xf>
    <xf numFmtId="49" fontId="0" fillId="35" borderId="58" xfId="0" applyNumberFormat="1" applyFill="1" applyBorder="1" applyAlignment="1" applyProtection="1">
      <alignment horizontal="left"/>
      <protection locked="0"/>
    </xf>
    <xf numFmtId="0" fontId="22" fillId="25" borderId="58" xfId="0" applyNumberFormat="1" applyFont="1" applyFill="1" applyBorder="1" applyAlignment="1" applyProtection="1">
      <alignment horizontal="center" vertical="center"/>
      <protection locked="0"/>
    </xf>
    <xf numFmtId="0" fontId="22" fillId="0" borderId="58" xfId="0" applyNumberFormat="1" applyFont="1" applyFill="1" applyBorder="1" applyAlignment="1" applyProtection="1">
      <alignment horizontal="center" vertical="center"/>
    </xf>
    <xf numFmtId="3" fontId="0" fillId="36" borderId="58" xfId="0" applyNumberFormat="1" applyFill="1" applyBorder="1" applyAlignment="1" applyProtection="1">
      <alignment horizontal="center" vertical="top"/>
      <protection locked="0"/>
    </xf>
    <xf numFmtId="3" fontId="22" fillId="0" borderId="58" xfId="0" applyNumberFormat="1" applyFont="1" applyFill="1" applyBorder="1" applyAlignment="1" applyProtection="1">
      <alignment horizontal="center" vertical="top"/>
    </xf>
    <xf numFmtId="168" fontId="22" fillId="0" borderId="58" xfId="0" applyNumberFormat="1" applyFont="1" applyFill="1" applyBorder="1" applyAlignment="1" applyProtection="1">
      <alignment horizontal="center" vertical="top"/>
    </xf>
    <xf numFmtId="0" fontId="22" fillId="25" borderId="58" xfId="0" applyNumberFormat="1" applyFont="1" applyFill="1" applyBorder="1" applyAlignment="1" applyProtection="1">
      <alignment horizontal="center" vertical="top"/>
      <protection locked="0"/>
    </xf>
    <xf numFmtId="168" fontId="22" fillId="0" borderId="53" xfId="0" applyNumberFormat="1" applyFont="1" applyFill="1" applyBorder="1" applyAlignment="1" applyProtection="1">
      <alignment horizontal="center" vertical="top"/>
    </xf>
    <xf numFmtId="0" fontId="29" fillId="0" borderId="38" xfId="0" applyFont="1" applyFill="1" applyBorder="1" applyAlignment="1" applyProtection="1">
      <alignment horizontal="center" wrapText="1"/>
    </xf>
    <xf numFmtId="0" fontId="29" fillId="0" borderId="37" xfId="0" applyFont="1" applyFill="1" applyBorder="1" applyAlignment="1" applyProtection="1">
      <alignment wrapText="1"/>
    </xf>
    <xf numFmtId="0" fontId="35" fillId="0" borderId="37" xfId="0" applyFont="1" applyFill="1" applyBorder="1" applyAlignment="1" applyProtection="1">
      <alignment horizontal="center" wrapText="1"/>
    </xf>
    <xf numFmtId="0" fontId="29" fillId="0" borderId="37" xfId="0" applyFont="1" applyFill="1" applyBorder="1" applyAlignment="1" applyProtection="1">
      <alignment horizontal="center" wrapText="1"/>
    </xf>
    <xf numFmtId="0" fontId="35" fillId="0" borderId="51" xfId="0" applyFont="1" applyFill="1" applyBorder="1" applyAlignment="1" applyProtection="1">
      <alignment horizontal="center" wrapText="1"/>
    </xf>
    <xf numFmtId="0" fontId="0" fillId="47" borderId="10" xfId="0" applyFill="1" applyBorder="1"/>
    <xf numFmtId="1" fontId="0" fillId="47" borderId="10" xfId="0" applyNumberFormat="1" applyFill="1" applyBorder="1"/>
    <xf numFmtId="0" fontId="0" fillId="48" borderId="10" xfId="0" applyFill="1" applyBorder="1"/>
    <xf numFmtId="1" fontId="0" fillId="48" borderId="10" xfId="0" applyNumberFormat="1" applyFill="1" applyBorder="1"/>
    <xf numFmtId="0" fontId="31" fillId="22" borderId="0" xfId="0" applyFont="1" applyFill="1" applyBorder="1" applyAlignment="1" applyProtection="1">
      <alignment horizontal="left" vertical="center"/>
      <protection locked="0"/>
    </xf>
    <xf numFmtId="0" fontId="22" fillId="25" borderId="90" xfId="0" applyNumberFormat="1" applyFont="1" applyFill="1" applyBorder="1" applyAlignment="1" applyProtection="1">
      <alignment horizontal="center" vertical="center"/>
      <protection locked="0"/>
    </xf>
    <xf numFmtId="168" fontId="138" fillId="0" borderId="50" xfId="64" applyNumberFormat="1" applyFill="1" applyBorder="1" applyAlignment="1" applyProtection="1">
      <alignment horizontal="center" vertical="top"/>
    </xf>
    <xf numFmtId="168" fontId="138" fillId="0" borderId="10" xfId="64" applyNumberFormat="1" applyFill="1" applyBorder="1" applyAlignment="1" applyProtection="1">
      <alignment horizontal="center" vertical="top"/>
    </xf>
    <xf numFmtId="3" fontId="163" fillId="45" borderId="10" xfId="64" applyNumberFormat="1" applyFont="1" applyFill="1" applyBorder="1" applyAlignment="1">
      <alignment horizontal="center" vertical="top"/>
    </xf>
    <xf numFmtId="3" fontId="138" fillId="0" borderId="10" xfId="64" applyNumberFormat="1" applyFill="1" applyBorder="1" applyAlignment="1" applyProtection="1">
      <alignment horizontal="center" vertical="top"/>
    </xf>
    <xf numFmtId="0" fontId="163" fillId="45" borderId="10" xfId="64" applyFont="1" applyFill="1" applyBorder="1" applyAlignment="1">
      <alignment horizontal="center" vertical="top"/>
    </xf>
    <xf numFmtId="0" fontId="138" fillId="0" borderId="10" xfId="64" applyNumberFormat="1" applyFill="1" applyBorder="1" applyAlignment="1" applyProtection="1">
      <alignment horizontal="center" vertical="top"/>
    </xf>
    <xf numFmtId="0" fontId="138" fillId="25" borderId="10" xfId="64" applyNumberFormat="1" applyFill="1" applyBorder="1" applyAlignment="1" applyProtection="1">
      <alignment horizontal="center" vertical="top"/>
      <protection locked="0"/>
    </xf>
    <xf numFmtId="49" fontId="138" fillId="25" borderId="10" xfId="64" applyNumberFormat="1" applyFill="1" applyBorder="1" applyAlignment="1" applyProtection="1">
      <alignment horizontal="center" vertical="top"/>
      <protection locked="0"/>
    </xf>
    <xf numFmtId="168" fontId="22" fillId="0" borderId="216" xfId="0" applyNumberFormat="1" applyFont="1" applyFill="1" applyBorder="1" applyAlignment="1" applyProtection="1">
      <alignment horizontal="center" vertical="center"/>
    </xf>
    <xf numFmtId="168" fontId="22" fillId="0" borderId="90" xfId="0" applyNumberFormat="1" applyFont="1" applyFill="1" applyBorder="1" applyAlignment="1" applyProtection="1">
      <alignment horizontal="center" vertical="center"/>
    </xf>
    <xf numFmtId="3" fontId="22" fillId="0" borderId="90" xfId="0" applyNumberFormat="1" applyFont="1" applyFill="1" applyBorder="1" applyAlignment="1" applyProtection="1">
      <alignment horizontal="center" vertical="center"/>
    </xf>
    <xf numFmtId="3" fontId="22" fillId="36" borderId="90" xfId="0" applyNumberFormat="1" applyFont="1" applyFill="1" applyBorder="1" applyAlignment="1" applyProtection="1">
      <alignment horizontal="center" vertical="center"/>
      <protection locked="0"/>
    </xf>
    <xf numFmtId="0" fontId="22" fillId="0" borderId="90" xfId="0" applyNumberFormat="1" applyFont="1" applyFill="1" applyBorder="1" applyAlignment="1" applyProtection="1">
      <alignment horizontal="center" vertical="center"/>
    </xf>
    <xf numFmtId="49" fontId="0" fillId="0" borderId="90" xfId="0" applyNumberFormat="1" applyFill="1" applyBorder="1" applyProtection="1">
      <protection locked="0"/>
    </xf>
    <xf numFmtId="0" fontId="64" fillId="0" borderId="42" xfId="0" applyFont="1" applyBorder="1" applyAlignment="1" applyProtection="1">
      <alignment horizontal="left" vertical="center" wrapText="1"/>
      <protection locked="0"/>
    </xf>
    <xf numFmtId="0" fontId="64" fillId="0" borderId="43" xfId="0" applyFont="1" applyBorder="1" applyAlignment="1" applyProtection="1">
      <alignment horizontal="left" vertical="center" wrapText="1"/>
      <protection locked="0"/>
    </xf>
    <xf numFmtId="0" fontId="64" fillId="0" borderId="44" xfId="0" applyFont="1" applyBorder="1" applyAlignment="1" applyProtection="1">
      <alignment horizontal="left" vertical="center" wrapText="1"/>
      <protection locked="0"/>
    </xf>
    <xf numFmtId="164" fontId="34" fillId="0" borderId="0" xfId="0" applyNumberFormat="1" applyFont="1" applyAlignment="1">
      <alignment horizontal="center"/>
    </xf>
    <xf numFmtId="0" fontId="0" fillId="0" borderId="0" xfId="0" applyAlignment="1"/>
    <xf numFmtId="0" fontId="125" fillId="0" borderId="0" xfId="0" applyFont="1" applyAlignment="1">
      <alignment horizontal="center"/>
    </xf>
    <xf numFmtId="0" fontId="126" fillId="0" borderId="0" xfId="0" applyFont="1" applyAlignment="1">
      <alignment horizontal="center"/>
    </xf>
    <xf numFmtId="164" fontId="136" fillId="30" borderId="0" xfId="47" applyFont="1" applyFill="1" applyAlignment="1">
      <alignment horizontal="center" vertical="center"/>
    </xf>
    <xf numFmtId="0" fontId="89" fillId="35" borderId="42" xfId="0" applyFont="1" applyFill="1" applyBorder="1" applyAlignment="1" applyProtection="1">
      <alignment vertical="center" wrapText="1"/>
      <protection locked="0"/>
    </xf>
    <xf numFmtId="0" fontId="89" fillId="35" borderId="43" xfId="0" applyFont="1" applyFill="1" applyBorder="1" applyAlignment="1" applyProtection="1">
      <alignment vertical="center" wrapText="1"/>
      <protection locked="0"/>
    </xf>
    <xf numFmtId="0" fontId="89" fillId="35" borderId="44" xfId="0" applyFont="1" applyFill="1" applyBorder="1" applyAlignment="1" applyProtection="1">
      <alignment vertical="center" wrapText="1"/>
      <protection locked="0"/>
    </xf>
    <xf numFmtId="0" fontId="64" fillId="0" borderId="42" xfId="0" applyFont="1" applyBorder="1" applyAlignment="1" applyProtection="1">
      <alignment horizontal="left" vertical="center" wrapText="1"/>
      <protection locked="0"/>
    </xf>
    <xf numFmtId="0" fontId="64" fillId="0" borderId="43" xfId="0" applyFont="1" applyBorder="1" applyAlignment="1" applyProtection="1">
      <alignment horizontal="left" vertical="center" wrapText="1"/>
      <protection locked="0"/>
    </xf>
    <xf numFmtId="0" fontId="64" fillId="0" borderId="44" xfId="0" applyFont="1" applyBorder="1" applyAlignment="1" applyProtection="1">
      <alignment horizontal="left" vertical="center" wrapText="1"/>
      <protection locked="0"/>
    </xf>
    <xf numFmtId="0" fontId="93" fillId="22" borderId="42" xfId="0" applyFont="1" applyFill="1" applyBorder="1" applyAlignment="1">
      <alignment horizontal="center" vertical="center"/>
    </xf>
    <xf numFmtId="0" fontId="93" fillId="22" borderId="43" xfId="0" applyFont="1" applyFill="1" applyBorder="1" applyAlignment="1">
      <alignment horizontal="center" vertical="center"/>
    </xf>
    <xf numFmtId="0" fontId="93" fillId="22" borderId="44" xfId="0" applyFont="1" applyFill="1" applyBorder="1" applyAlignment="1">
      <alignment horizontal="center" vertical="center"/>
    </xf>
    <xf numFmtId="0" fontId="64" fillId="0" borderId="42" xfId="0" applyFont="1" applyBorder="1" applyAlignment="1" applyProtection="1">
      <alignment horizontal="justify" vertical="center" wrapText="1"/>
      <protection locked="0"/>
    </xf>
    <xf numFmtId="0" fontId="89" fillId="0" borderId="43" xfId="0" applyFont="1" applyBorder="1" applyAlignment="1" applyProtection="1">
      <alignment horizontal="justify" vertical="center" wrapText="1"/>
      <protection locked="0"/>
    </xf>
    <xf numFmtId="0" fontId="89" fillId="0" borderId="44" xfId="0" applyFont="1" applyBorder="1" applyAlignment="1" applyProtection="1">
      <alignment horizontal="justify" vertical="center" wrapText="1"/>
      <protection locked="0"/>
    </xf>
    <xf numFmtId="0" fontId="64" fillId="0" borderId="43" xfId="0" applyFont="1" applyBorder="1" applyAlignment="1" applyProtection="1">
      <alignment horizontal="justify" vertical="center" wrapText="1"/>
      <protection locked="0"/>
    </xf>
    <xf numFmtId="0" fontId="64" fillId="0" borderId="44" xfId="0" applyFont="1" applyBorder="1" applyAlignment="1" applyProtection="1">
      <alignment horizontal="justify" vertical="center" wrapText="1"/>
      <protection locked="0"/>
    </xf>
    <xf numFmtId="0" fontId="64" fillId="35" borderId="42" xfId="0" applyFont="1" applyFill="1" applyBorder="1" applyAlignment="1" applyProtection="1">
      <alignment horizontal="left" vertical="center" wrapText="1"/>
      <protection locked="0"/>
    </xf>
    <xf numFmtId="0" fontId="64" fillId="35" borderId="43" xfId="0" applyFont="1" applyFill="1" applyBorder="1" applyAlignment="1" applyProtection="1">
      <alignment horizontal="left" vertical="center" wrapText="1"/>
      <protection locked="0"/>
    </xf>
    <xf numFmtId="0" fontId="64" fillId="35" borderId="44" xfId="0" applyFont="1" applyFill="1" applyBorder="1" applyAlignment="1" applyProtection="1">
      <alignment horizontal="left" vertical="center" wrapText="1"/>
      <protection locked="0"/>
    </xf>
    <xf numFmtId="0" fontId="64" fillId="0" borderId="42" xfId="0" applyFont="1" applyBorder="1" applyAlignment="1">
      <alignment horizontal="left" vertical="center" wrapText="1"/>
    </xf>
    <xf numFmtId="0" fontId="64" fillId="0" borderId="43" xfId="0" applyFont="1" applyBorder="1" applyAlignment="1">
      <alignment horizontal="left" vertical="center" wrapText="1"/>
    </xf>
    <xf numFmtId="0" fontId="64" fillId="0" borderId="44" xfId="0" applyFont="1" applyBorder="1" applyAlignment="1">
      <alignment horizontal="left" vertical="center" wrapText="1"/>
    </xf>
    <xf numFmtId="164" fontId="88" fillId="0" borderId="42" xfId="0" applyNumberFormat="1" applyFont="1" applyBorder="1" applyAlignment="1">
      <alignment horizontal="left" vertical="center" wrapText="1"/>
    </xf>
    <xf numFmtId="0" fontId="88" fillId="0" borderId="43" xfId="0" applyFont="1" applyBorder="1" applyAlignment="1">
      <alignment horizontal="left" vertical="center" wrapText="1"/>
    </xf>
    <xf numFmtId="0" fontId="88" fillId="0" borderId="44" xfId="0" applyFont="1" applyBorder="1" applyAlignment="1">
      <alignment horizontal="left" vertical="center" wrapText="1"/>
    </xf>
    <xf numFmtId="0" fontId="89" fillId="0" borderId="43" xfId="0" applyFont="1" applyBorder="1" applyAlignment="1">
      <alignment horizontal="left" vertical="center" wrapText="1"/>
    </xf>
    <xf numFmtId="0" fontId="89" fillId="0" borderId="44" xfId="0" applyFont="1" applyBorder="1" applyAlignment="1">
      <alignment horizontal="left" vertical="center" wrapText="1"/>
    </xf>
    <xf numFmtId="0" fontId="86" fillId="0" borderId="0" xfId="0" applyFont="1" applyAlignment="1">
      <alignment horizontal="center"/>
    </xf>
    <xf numFmtId="0" fontId="15" fillId="22" borderId="42" xfId="0" applyFont="1" applyFill="1" applyBorder="1" applyAlignment="1">
      <alignment horizontal="center" vertical="center" wrapText="1"/>
    </xf>
    <xf numFmtId="0" fontId="94" fillId="22" borderId="43" xfId="0" applyFont="1" applyFill="1" applyBorder="1" applyAlignment="1">
      <alignment horizontal="center" vertical="center"/>
    </xf>
    <xf numFmtId="0" fontId="94" fillId="22" borderId="44" xfId="0" applyFont="1" applyFill="1" applyBorder="1" applyAlignment="1">
      <alignment horizontal="center" vertical="center"/>
    </xf>
    <xf numFmtId="0" fontId="160" fillId="22" borderId="42" xfId="0" applyFont="1" applyFill="1" applyBorder="1" applyAlignment="1">
      <alignment horizontal="center" vertical="center"/>
    </xf>
    <xf numFmtId="0" fontId="160" fillId="22" borderId="43" xfId="0" applyFont="1" applyFill="1" applyBorder="1" applyAlignment="1">
      <alignment horizontal="center" vertical="center"/>
    </xf>
    <xf numFmtId="0" fontId="160" fillId="22" borderId="44" xfId="0" applyFont="1" applyFill="1" applyBorder="1" applyAlignment="1">
      <alignment horizontal="center" vertical="center"/>
    </xf>
    <xf numFmtId="164" fontId="88" fillId="0" borderId="98" xfId="0" applyNumberFormat="1" applyFont="1" applyBorder="1" applyAlignment="1">
      <alignment vertical="center" wrapText="1"/>
    </xf>
    <xf numFmtId="0" fontId="88" fillId="0" borderId="97" xfId="0" applyFont="1" applyBorder="1" applyAlignment="1">
      <alignment vertical="center" wrapText="1"/>
    </xf>
    <xf numFmtId="0" fontId="88" fillId="0" borderId="99" xfId="0" applyFont="1" applyBorder="1" applyAlignment="1">
      <alignment vertical="center" wrapText="1"/>
    </xf>
    <xf numFmtId="0" fontId="88" fillId="0" borderId="91" xfId="0" applyFont="1" applyBorder="1" applyAlignment="1">
      <alignment vertical="center" wrapText="1"/>
    </xf>
    <xf numFmtId="0" fontId="88" fillId="0" borderId="100" xfId="0" applyFont="1" applyBorder="1" applyAlignment="1">
      <alignment vertical="center" wrapText="1"/>
    </xf>
    <xf numFmtId="0" fontId="88" fillId="0" borderId="101" xfId="0" applyFont="1" applyBorder="1" applyAlignment="1">
      <alignment vertical="center" wrapText="1"/>
    </xf>
    <xf numFmtId="0" fontId="64" fillId="0" borderId="98" xfId="0" applyFont="1" applyBorder="1" applyAlignment="1">
      <alignment horizontal="justify" wrapText="1"/>
    </xf>
    <xf numFmtId="0" fontId="64" fillId="0" borderId="97" xfId="0" applyFont="1" applyBorder="1" applyAlignment="1">
      <alignment horizontal="justify" wrapText="1"/>
    </xf>
    <xf numFmtId="0" fontId="64" fillId="0" borderId="99" xfId="0" applyFont="1" applyBorder="1" applyAlignment="1">
      <alignment horizontal="justify" wrapText="1"/>
    </xf>
    <xf numFmtId="0" fontId="87" fillId="25" borderId="42" xfId="0" applyFont="1" applyFill="1" applyBorder="1" applyAlignment="1">
      <alignment horizontal="center"/>
    </xf>
    <xf numFmtId="0" fontId="87" fillId="25" borderId="43" xfId="0" applyFont="1" applyFill="1" applyBorder="1" applyAlignment="1">
      <alignment horizontal="center"/>
    </xf>
    <xf numFmtId="0" fontId="87" fillId="25" borderId="44" xfId="0" applyFont="1" applyFill="1" applyBorder="1" applyAlignment="1">
      <alignment horizontal="center"/>
    </xf>
    <xf numFmtId="0" fontId="0" fillId="0" borderId="0" xfId="0" applyBorder="1" applyAlignment="1">
      <alignment horizontal="center" wrapText="1"/>
    </xf>
    <xf numFmtId="0" fontId="64" fillId="0" borderId="98" xfId="0" applyFont="1" applyBorder="1" applyAlignment="1">
      <alignment horizontal="left" vertical="center" wrapText="1"/>
    </xf>
    <xf numFmtId="0" fontId="64" fillId="0" borderId="97" xfId="0" applyFont="1" applyBorder="1" applyAlignment="1">
      <alignment horizontal="left" vertical="center" wrapText="1"/>
    </xf>
    <xf numFmtId="0" fontId="64" fillId="0" borderId="99" xfId="0" applyFont="1" applyBorder="1" applyAlignment="1">
      <alignment horizontal="left" vertical="center" wrapText="1"/>
    </xf>
    <xf numFmtId="0" fontId="64" fillId="0" borderId="91" xfId="0" applyFont="1" applyBorder="1" applyAlignment="1">
      <alignment horizontal="left" vertical="center" wrapText="1"/>
    </xf>
    <xf numFmtId="0" fontId="64" fillId="0" borderId="100" xfId="0" applyFont="1" applyBorder="1" applyAlignment="1">
      <alignment horizontal="left" vertical="center" wrapText="1"/>
    </xf>
    <xf numFmtId="0" fontId="64" fillId="0" borderId="101" xfId="0" applyFont="1" applyBorder="1" applyAlignment="1">
      <alignment horizontal="left" vertical="center" wrapText="1"/>
    </xf>
    <xf numFmtId="0" fontId="119" fillId="0" borderId="42" xfId="0" applyFont="1" applyBorder="1" applyAlignment="1">
      <alignment horizontal="justify" vertical="center" wrapText="1"/>
    </xf>
    <xf numFmtId="0" fontId="119" fillId="0" borderId="43" xfId="0" applyFont="1" applyBorder="1" applyAlignment="1">
      <alignment horizontal="justify" vertical="center" wrapText="1"/>
    </xf>
    <xf numFmtId="0" fontId="119" fillId="0" borderId="44" xfId="0" applyFont="1" applyBorder="1" applyAlignment="1">
      <alignment horizontal="justify" vertical="center" wrapText="1"/>
    </xf>
    <xf numFmtId="0" fontId="119" fillId="0" borderId="42" xfId="0" applyFont="1" applyBorder="1" applyAlignment="1">
      <alignment horizontal="left" vertical="center" wrapText="1"/>
    </xf>
    <xf numFmtId="0" fontId="117" fillId="0" borderId="43" xfId="0" applyFont="1" applyBorder="1" applyAlignment="1">
      <alignment horizontal="left" vertical="center" wrapText="1"/>
    </xf>
    <xf numFmtId="0" fontId="117" fillId="0" borderId="44" xfId="0" applyFont="1" applyBorder="1" applyAlignment="1">
      <alignment horizontal="left" vertical="center" wrapText="1"/>
    </xf>
    <xf numFmtId="0" fontId="64" fillId="0" borderId="42" xfId="0" applyFont="1" applyFill="1" applyBorder="1" applyAlignment="1">
      <alignment horizontal="left" vertical="center" wrapText="1"/>
    </xf>
    <xf numFmtId="0" fontId="64" fillId="0" borderId="43" xfId="0" applyFont="1" applyFill="1" applyBorder="1" applyAlignment="1">
      <alignment horizontal="left" vertical="center" wrapText="1"/>
    </xf>
    <xf numFmtId="0" fontId="64" fillId="0" borderId="44" xfId="0" applyFont="1" applyFill="1" applyBorder="1" applyAlignment="1">
      <alignment horizontal="left" vertical="center" wrapText="1"/>
    </xf>
    <xf numFmtId="0" fontId="0" fillId="0" borderId="0" xfId="0" applyBorder="1" applyAlignment="1">
      <alignment horizontal="center"/>
    </xf>
    <xf numFmtId="164" fontId="88" fillId="0" borderId="42" xfId="0" applyNumberFormat="1" applyFont="1" applyBorder="1" applyAlignment="1">
      <alignment vertical="center" wrapText="1"/>
    </xf>
    <xf numFmtId="0" fontId="88" fillId="0" borderId="43" xfId="0" applyFont="1" applyBorder="1" applyAlignment="1">
      <alignment vertical="center" wrapText="1"/>
    </xf>
    <xf numFmtId="0" fontId="88" fillId="0" borderId="44" xfId="0" applyFont="1" applyBorder="1" applyAlignment="1">
      <alignment vertical="center" wrapText="1"/>
    </xf>
    <xf numFmtId="0" fontId="89" fillId="0" borderId="42" xfId="0" applyFont="1" applyBorder="1" applyAlignment="1">
      <alignment horizontal="left" vertical="center" wrapText="1"/>
    </xf>
    <xf numFmtId="0" fontId="119" fillId="0" borderId="43" xfId="0" applyFont="1" applyBorder="1" applyAlignment="1">
      <alignment horizontal="left" vertical="center" wrapText="1"/>
    </xf>
    <xf numFmtId="0" fontId="119" fillId="0" borderId="44" xfId="0" applyFont="1" applyBorder="1" applyAlignment="1">
      <alignment horizontal="left" vertical="center" wrapText="1"/>
    </xf>
    <xf numFmtId="0" fontId="89" fillId="0" borderId="91" xfId="0" applyFont="1" applyBorder="1" applyAlignment="1">
      <alignment horizontal="justify" vertical="center" wrapText="1"/>
    </xf>
    <xf numFmtId="0" fontId="89" fillId="0" borderId="100" xfId="0" applyFont="1" applyBorder="1" applyAlignment="1">
      <alignment horizontal="justify" vertical="center" wrapText="1"/>
    </xf>
    <xf numFmtId="0" fontId="89" fillId="0" borderId="101" xfId="0" applyFont="1" applyBorder="1" applyAlignment="1">
      <alignment horizontal="justify" vertical="center" wrapText="1"/>
    </xf>
    <xf numFmtId="164" fontId="18" fillId="30" borderId="0" xfId="46" applyFont="1" applyFill="1" applyAlignment="1" applyProtection="1">
      <alignment horizontal="center" vertical="center"/>
    </xf>
    <xf numFmtId="0" fontId="64" fillId="0" borderId="42" xfId="0" applyFont="1" applyBorder="1" applyAlignment="1">
      <alignment vertical="center" wrapText="1"/>
    </xf>
    <xf numFmtId="0" fontId="64" fillId="0" borderId="43" xfId="0" applyFont="1" applyBorder="1" applyAlignment="1">
      <alignment vertical="center" wrapText="1"/>
    </xf>
    <xf numFmtId="0" fontId="64" fillId="0" borderId="44" xfId="0" applyFont="1" applyBorder="1" applyAlignment="1">
      <alignment vertical="center" wrapText="1"/>
    </xf>
    <xf numFmtId="0" fontId="87" fillId="26" borderId="42" xfId="0" applyFont="1" applyFill="1" applyBorder="1" applyAlignment="1">
      <alignment horizontal="center"/>
    </xf>
    <xf numFmtId="0" fontId="87" fillId="26" borderId="43" xfId="0" applyFont="1" applyFill="1" applyBorder="1" applyAlignment="1">
      <alignment horizontal="center"/>
    </xf>
    <xf numFmtId="0" fontId="87" fillId="26" borderId="44" xfId="0" applyFont="1" applyFill="1" applyBorder="1" applyAlignment="1">
      <alignment horizontal="center"/>
    </xf>
    <xf numFmtId="9" fontId="89" fillId="0" borderId="42" xfId="61" applyFont="1" applyBorder="1" applyAlignment="1">
      <alignment horizontal="left" vertical="center" wrapText="1"/>
    </xf>
    <xf numFmtId="9" fontId="89" fillId="0" borderId="43" xfId="61" applyFont="1" applyBorder="1" applyAlignment="1">
      <alignment horizontal="left" vertical="center" wrapText="1"/>
    </xf>
    <xf numFmtId="9" fontId="89" fillId="0" borderId="44" xfId="61" applyFont="1" applyBorder="1" applyAlignment="1">
      <alignment horizontal="left" vertical="center" wrapText="1"/>
    </xf>
    <xf numFmtId="0" fontId="88" fillId="0" borderId="43" xfId="0" applyFont="1" applyBorder="1" applyAlignment="1">
      <alignment horizontal="left" vertical="center"/>
    </xf>
    <xf numFmtId="0" fontId="88" fillId="0" borderId="44" xfId="0" applyFont="1" applyBorder="1" applyAlignment="1">
      <alignment horizontal="left" vertical="center"/>
    </xf>
    <xf numFmtId="0" fontId="0" fillId="0" borderId="43" xfId="0" applyFont="1" applyBorder="1" applyAlignment="1">
      <alignment horizontal="justify" vertical="center" wrapText="1"/>
    </xf>
    <xf numFmtId="0" fontId="0" fillId="0" borderId="44" xfId="0" applyFont="1" applyBorder="1" applyAlignment="1">
      <alignment horizontal="justify" vertical="center" wrapText="1"/>
    </xf>
    <xf numFmtId="0" fontId="88" fillId="0" borderId="43" xfId="0" applyFont="1" applyBorder="1" applyAlignment="1">
      <alignment vertical="center"/>
    </xf>
    <xf numFmtId="0" fontId="88" fillId="0" borderId="44" xfId="0" applyFont="1" applyBorder="1" applyAlignment="1">
      <alignment vertical="center"/>
    </xf>
    <xf numFmtId="0" fontId="0" fillId="0" borderId="97" xfId="0" applyBorder="1" applyAlignment="1">
      <alignment horizontal="center"/>
    </xf>
    <xf numFmtId="0" fontId="0" fillId="0" borderId="97" xfId="0" applyBorder="1" applyAlignment="1">
      <alignment horizont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64" fillId="0" borderId="42" xfId="0" applyFont="1" applyBorder="1" applyAlignment="1" applyProtection="1">
      <alignment horizontal="justify" vertical="top" wrapText="1"/>
      <protection locked="0"/>
    </xf>
    <xf numFmtId="0" fontId="0" fillId="0" borderId="43" xfId="0" applyFont="1" applyBorder="1" applyAlignment="1">
      <alignment horizontal="justify" vertical="top" wrapText="1"/>
    </xf>
    <xf numFmtId="0" fontId="0" fillId="0" borderId="44" xfId="0" applyFont="1" applyBorder="1" applyAlignment="1">
      <alignment horizontal="justify" vertical="top" wrapText="1"/>
    </xf>
    <xf numFmtId="0" fontId="0" fillId="0" borderId="43" xfId="0" applyBorder="1" applyAlignment="1">
      <alignment horizontal="left"/>
    </xf>
    <xf numFmtId="0" fontId="0" fillId="0" borderId="44" xfId="0" applyBorder="1" applyAlignment="1">
      <alignment horizontal="left"/>
    </xf>
    <xf numFmtId="0" fontId="25" fillId="22" borderId="42" xfId="0" applyFont="1" applyFill="1"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93" fillId="22" borderId="42" xfId="0" applyFont="1" applyFill="1" applyBorder="1" applyAlignment="1">
      <alignment horizontal="center"/>
    </xf>
    <xf numFmtId="0" fontId="93" fillId="22" borderId="43" xfId="0" applyFont="1" applyFill="1" applyBorder="1" applyAlignment="1">
      <alignment horizontal="center"/>
    </xf>
    <xf numFmtId="0" fontId="93" fillId="22" borderId="44" xfId="0" applyFont="1" applyFill="1" applyBorder="1" applyAlignment="1">
      <alignment horizontal="center"/>
    </xf>
    <xf numFmtId="0" fontId="25" fillId="22" borderId="42" xfId="0" applyFont="1" applyFill="1" applyBorder="1" applyAlignment="1">
      <alignment horizontal="center" wrapText="1"/>
    </xf>
    <xf numFmtId="0" fontId="93" fillId="22" borderId="43" xfId="0" applyFont="1" applyFill="1" applyBorder="1" applyAlignment="1">
      <alignment horizontal="center" wrapText="1"/>
    </xf>
    <xf numFmtId="0" fontId="93" fillId="22" borderId="44" xfId="0" applyFont="1" applyFill="1" applyBorder="1" applyAlignment="1">
      <alignment horizontal="center" wrapText="1"/>
    </xf>
    <xf numFmtId="0" fontId="89" fillId="0" borderId="42" xfId="0" applyFont="1" applyBorder="1" applyAlignment="1" applyProtection="1">
      <alignment vertical="center" wrapText="1"/>
      <protection locked="0"/>
    </xf>
    <xf numFmtId="0" fontId="89" fillId="0" borderId="43" xfId="0" applyFont="1" applyBorder="1" applyAlignment="1" applyProtection="1">
      <alignment vertical="center" wrapText="1"/>
      <protection locked="0"/>
    </xf>
    <xf numFmtId="0" fontId="89" fillId="0" borderId="44" xfId="0" applyFont="1" applyBorder="1" applyAlignment="1" applyProtection="1">
      <alignment vertical="center" wrapText="1"/>
      <protection locked="0"/>
    </xf>
    <xf numFmtId="0" fontId="98" fillId="0" borderId="42" xfId="0" applyFont="1" applyFill="1" applyBorder="1" applyAlignment="1" applyProtection="1">
      <alignment vertical="center" wrapText="1"/>
      <protection locked="0"/>
    </xf>
    <xf numFmtId="0" fontId="0" fillId="0" borderId="43" xfId="0" applyBorder="1" applyAlignment="1">
      <alignment vertical="center" wrapText="1"/>
    </xf>
    <xf numFmtId="0" fontId="0" fillId="0" borderId="44" xfId="0" applyBorder="1" applyAlignment="1">
      <alignment vertical="center" wrapText="1"/>
    </xf>
    <xf numFmtId="0" fontId="0" fillId="0" borderId="43" xfId="0" applyBorder="1" applyAlignment="1">
      <alignment horizontal="justify" vertical="center" wrapText="1"/>
    </xf>
    <xf numFmtId="0" fontId="0" fillId="0" borderId="44" xfId="0" applyBorder="1" applyAlignment="1">
      <alignment horizontal="justify" vertical="center" wrapText="1"/>
    </xf>
    <xf numFmtId="0" fontId="25" fillId="0" borderId="42" xfId="0" applyFont="1" applyBorder="1" applyAlignment="1">
      <alignment horizontal="center" vertical="center" wrapText="1"/>
    </xf>
    <xf numFmtId="0" fontId="25" fillId="0" borderId="43" xfId="0" applyFont="1" applyBorder="1" applyAlignment="1">
      <alignment horizontal="center" vertical="center" wrapText="1"/>
    </xf>
    <xf numFmtId="0" fontId="25" fillId="0" borderId="44" xfId="0" applyFont="1" applyBorder="1" applyAlignment="1">
      <alignment horizontal="center" vertical="center" wrapText="1"/>
    </xf>
    <xf numFmtId="0" fontId="98" fillId="0" borderId="43" xfId="0" applyFont="1" applyFill="1" applyBorder="1" applyAlignment="1" applyProtection="1">
      <alignment vertical="center" wrapText="1"/>
      <protection locked="0"/>
    </xf>
    <xf numFmtId="0" fontId="98" fillId="0" borderId="44" xfId="0" applyFont="1" applyFill="1" applyBorder="1" applyAlignment="1" applyProtection="1">
      <alignment vertical="center" wrapText="1"/>
      <protection locked="0"/>
    </xf>
    <xf numFmtId="0" fontId="64" fillId="0" borderId="42" xfId="0" applyNumberFormat="1" applyFont="1" applyBorder="1" applyAlignment="1" applyProtection="1">
      <alignment horizontal="left" vertical="center" wrapText="1"/>
      <protection locked="0"/>
    </xf>
    <xf numFmtId="0" fontId="64" fillId="0" borderId="43" xfId="0" applyNumberFormat="1" applyFont="1" applyBorder="1" applyAlignment="1" applyProtection="1">
      <alignment horizontal="left" vertical="center" wrapText="1"/>
      <protection locked="0"/>
    </xf>
    <xf numFmtId="0" fontId="64" fillId="0" borderId="44" xfId="0" applyNumberFormat="1" applyFont="1" applyBorder="1" applyAlignment="1" applyProtection="1">
      <alignment horizontal="left" vertical="center" wrapText="1"/>
      <protection locked="0"/>
    </xf>
    <xf numFmtId="0" fontId="156" fillId="0" borderId="105" xfId="0" applyFont="1" applyFill="1" applyBorder="1" applyAlignment="1" applyProtection="1">
      <alignment horizontal="center" vertical="center" wrapText="1"/>
    </xf>
    <xf numFmtId="0" fontId="156" fillId="0" borderId="115" xfId="0" applyFont="1" applyFill="1" applyBorder="1" applyAlignment="1" applyProtection="1">
      <alignment horizontal="center" vertical="center" wrapText="1"/>
    </xf>
    <xf numFmtId="0" fontId="156" fillId="0" borderId="44" xfId="0" applyFont="1" applyFill="1" applyBorder="1" applyAlignment="1" applyProtection="1">
      <alignment horizontal="center" vertical="center" wrapText="1"/>
    </xf>
    <xf numFmtId="0" fontId="156" fillId="0" borderId="116" xfId="0" applyFont="1" applyFill="1" applyBorder="1" applyAlignment="1" applyProtection="1">
      <alignment horizontal="center" vertical="center" wrapText="1"/>
    </xf>
    <xf numFmtId="0" fontId="156" fillId="24" borderId="109" xfId="0" applyFont="1" applyFill="1" applyBorder="1" applyAlignment="1" applyProtection="1">
      <alignment horizontal="left" vertical="center" wrapText="1"/>
    </xf>
    <xf numFmtId="0" fontId="156" fillId="24" borderId="43" xfId="0" applyFont="1" applyFill="1" applyBorder="1" applyAlignment="1" applyProtection="1">
      <alignment horizontal="left" vertical="center" wrapText="1"/>
    </xf>
    <xf numFmtId="0" fontId="156" fillId="24" borderId="110" xfId="0" applyFont="1" applyFill="1" applyBorder="1" applyAlignment="1" applyProtection="1">
      <alignment horizontal="left" vertical="center" wrapText="1"/>
    </xf>
    <xf numFmtId="0" fontId="156" fillId="24" borderId="111" xfId="0" applyFont="1" applyFill="1" applyBorder="1" applyAlignment="1" applyProtection="1">
      <alignment horizontal="left" vertical="center" wrapText="1"/>
    </xf>
    <xf numFmtId="0" fontId="156" fillId="24" borderId="112" xfId="0" applyFont="1" applyFill="1" applyBorder="1" applyAlignment="1" applyProtection="1">
      <alignment horizontal="left" vertical="center" wrapText="1"/>
    </xf>
    <xf numFmtId="0" fontId="156" fillId="24" borderId="113" xfId="0" applyFont="1" applyFill="1" applyBorder="1" applyAlignment="1" applyProtection="1">
      <alignment horizontal="left" vertical="center" wrapText="1"/>
    </xf>
    <xf numFmtId="49" fontId="156" fillId="28" borderId="44" xfId="0" applyNumberFormat="1" applyFont="1" applyFill="1" applyBorder="1" applyAlignment="1" applyProtection="1">
      <alignment horizontal="center" vertical="center" wrapText="1"/>
      <protection locked="0"/>
    </xf>
    <xf numFmtId="49" fontId="156" fillId="43" borderId="114" xfId="0" applyNumberFormat="1" applyFont="1" applyFill="1" applyBorder="1" applyAlignment="1" applyProtection="1">
      <alignment horizontal="left" vertical="center" wrapText="1"/>
      <protection locked="0"/>
    </xf>
    <xf numFmtId="49" fontId="156" fillId="43" borderId="10" xfId="0" applyNumberFormat="1" applyFont="1" applyFill="1" applyBorder="1" applyAlignment="1" applyProtection="1">
      <alignment horizontal="left" vertical="center" wrapText="1"/>
      <protection locked="0"/>
    </xf>
    <xf numFmtId="49" fontId="156" fillId="43" borderId="42" xfId="0" applyNumberFormat="1" applyFont="1" applyFill="1" applyBorder="1" applyAlignment="1" applyProtection="1">
      <alignment horizontal="left" vertical="center" wrapText="1"/>
      <protection locked="0"/>
    </xf>
    <xf numFmtId="0" fontId="156" fillId="22" borderId="105" xfId="0" applyNumberFormat="1" applyFont="1" applyFill="1" applyBorder="1" applyAlignment="1" applyProtection="1">
      <alignment horizontal="center" vertical="center" wrapText="1"/>
      <protection locked="0"/>
    </xf>
    <xf numFmtId="0" fontId="156" fillId="0" borderId="109" xfId="0" applyFont="1" applyFill="1" applyBorder="1" applyAlignment="1" applyProtection="1">
      <alignment horizontal="left" vertical="center" wrapText="1"/>
    </xf>
    <xf numFmtId="0" fontId="156" fillId="0" borderId="43" xfId="0" applyFont="1" applyFill="1" applyBorder="1" applyAlignment="1" applyProtection="1">
      <alignment horizontal="left" vertical="center" wrapText="1"/>
    </xf>
    <xf numFmtId="0" fontId="156" fillId="0" borderId="110" xfId="0" applyFont="1" applyFill="1" applyBorder="1" applyAlignment="1" applyProtection="1">
      <alignment horizontal="left" vertical="center" wrapText="1"/>
    </xf>
    <xf numFmtId="0" fontId="156" fillId="0" borderId="111" xfId="0" applyFont="1" applyFill="1" applyBorder="1" applyAlignment="1" applyProtection="1">
      <alignment horizontal="left" vertical="center" wrapText="1"/>
    </xf>
    <xf numFmtId="0" fontId="156" fillId="0" borderId="112" xfId="0" applyFont="1" applyFill="1" applyBorder="1" applyAlignment="1" applyProtection="1">
      <alignment horizontal="left" vertical="center" wrapText="1"/>
    </xf>
    <xf numFmtId="0" fontId="156" fillId="0" borderId="113" xfId="0" applyFont="1" applyFill="1" applyBorder="1" applyAlignment="1" applyProtection="1">
      <alignment horizontal="left" vertical="center" wrapText="1"/>
    </xf>
    <xf numFmtId="9" fontId="34" fillId="0" borderId="102" xfId="61" applyFont="1" applyFill="1" applyBorder="1" applyAlignment="1" applyProtection="1">
      <alignment horizontal="center" vertical="center"/>
    </xf>
    <xf numFmtId="9" fontId="34" fillId="0" borderId="103" xfId="61" applyFont="1" applyFill="1" applyBorder="1" applyAlignment="1" applyProtection="1">
      <alignment horizontal="center" vertical="center"/>
    </xf>
    <xf numFmtId="9" fontId="34" fillId="0" borderId="104" xfId="61" applyFont="1" applyFill="1" applyBorder="1" applyAlignment="1" applyProtection="1">
      <alignment horizontal="center" vertical="center"/>
    </xf>
    <xf numFmtId="49" fontId="68" fillId="22" borderId="244" xfId="0" applyNumberFormat="1" applyFont="1" applyFill="1" applyBorder="1" applyAlignment="1" applyProtection="1">
      <alignment horizontal="center" vertical="center" wrapText="1"/>
      <protection locked="0"/>
    </xf>
    <xf numFmtId="49" fontId="68" fillId="22" borderId="125" xfId="0" applyNumberFormat="1" applyFont="1" applyFill="1" applyBorder="1" applyAlignment="1" applyProtection="1">
      <alignment horizontal="center" vertical="center" wrapText="1"/>
      <protection locked="0"/>
    </xf>
    <xf numFmtId="49" fontId="156" fillId="28" borderId="114" xfId="0" applyNumberFormat="1" applyFont="1" applyFill="1" applyBorder="1" applyAlignment="1" applyProtection="1">
      <alignment horizontal="left" vertical="center" wrapText="1"/>
      <protection locked="0"/>
    </xf>
    <xf numFmtId="49" fontId="156" fillId="28" borderId="10" xfId="0" applyNumberFormat="1" applyFont="1" applyFill="1" applyBorder="1" applyAlignment="1" applyProtection="1">
      <alignment horizontal="left" vertical="center" wrapText="1"/>
      <protection locked="0"/>
    </xf>
    <xf numFmtId="49" fontId="156" fillId="28" borderId="42" xfId="0" applyNumberFormat="1" applyFont="1" applyFill="1" applyBorder="1" applyAlignment="1" applyProtection="1">
      <alignment horizontal="left" vertical="center" wrapText="1"/>
      <protection locked="0"/>
    </xf>
    <xf numFmtId="0" fontId="156" fillId="28" borderId="105" xfId="0" applyNumberFormat="1" applyFont="1" applyFill="1" applyBorder="1" applyAlignment="1" applyProtection="1">
      <alignment horizontal="center" vertical="center" wrapText="1"/>
      <protection locked="0"/>
    </xf>
    <xf numFmtId="49" fontId="156" fillId="22" borderId="114" xfId="0" applyNumberFormat="1" applyFont="1" applyFill="1" applyBorder="1" applyAlignment="1" applyProtection="1">
      <alignment horizontal="left" vertical="center" wrapText="1"/>
      <protection locked="0"/>
    </xf>
    <xf numFmtId="49" fontId="156" fillId="22" borderId="10" xfId="0" applyNumberFormat="1" applyFont="1" applyFill="1" applyBorder="1" applyAlignment="1" applyProtection="1">
      <alignment horizontal="left" vertical="center" wrapText="1"/>
      <protection locked="0"/>
    </xf>
    <xf numFmtId="49" fontId="156" fillId="22" borderId="42" xfId="0" applyNumberFormat="1" applyFont="1" applyFill="1" applyBorder="1" applyAlignment="1" applyProtection="1">
      <alignment horizontal="left" vertical="center" wrapText="1"/>
      <protection locked="0"/>
    </xf>
    <xf numFmtId="49" fontId="156" fillId="22" borderId="44" xfId="0" applyNumberFormat="1" applyFont="1" applyFill="1" applyBorder="1" applyAlignment="1" applyProtection="1">
      <alignment horizontal="center" vertical="center" wrapText="1"/>
      <protection locked="0"/>
    </xf>
    <xf numFmtId="0" fontId="156" fillId="24" borderId="105" xfId="0" applyFont="1" applyFill="1" applyBorder="1" applyAlignment="1" applyProtection="1">
      <alignment horizontal="center" vertical="center" wrapText="1"/>
    </xf>
    <xf numFmtId="0" fontId="156" fillId="24" borderId="44" xfId="0" applyFont="1" applyFill="1" applyBorder="1" applyAlignment="1" applyProtection="1">
      <alignment horizontal="center" vertical="center" wrapText="1"/>
    </xf>
    <xf numFmtId="0" fontId="161" fillId="44" borderId="49" xfId="0" applyFont="1" applyFill="1" applyBorder="1" applyAlignment="1" applyProtection="1">
      <alignment horizontal="center" vertical="center"/>
      <protection locked="0"/>
    </xf>
    <xf numFmtId="0" fontId="161" fillId="44" borderId="49" xfId="0" applyFont="1" applyFill="1" applyBorder="1" applyAlignment="1" applyProtection="1">
      <alignment horizontal="center" vertical="center"/>
    </xf>
    <xf numFmtId="0" fontId="161" fillId="44" borderId="118" xfId="0" applyFont="1" applyFill="1" applyBorder="1" applyAlignment="1" applyProtection="1">
      <alignment horizontal="center" vertical="center"/>
    </xf>
    <xf numFmtId="0" fontId="161" fillId="44" borderId="52" xfId="0" applyFont="1" applyFill="1" applyBorder="1" applyAlignment="1" applyProtection="1">
      <alignment horizontal="center" vertical="center"/>
    </xf>
    <xf numFmtId="0" fontId="0" fillId="31" borderId="106" xfId="0" applyFill="1" applyBorder="1" applyAlignment="1" applyProtection="1">
      <alignment horizontal="center"/>
    </xf>
    <xf numFmtId="0" fontId="0" fillId="31" borderId="107" xfId="0" applyFill="1" applyBorder="1" applyAlignment="1" applyProtection="1">
      <alignment horizontal="center"/>
    </xf>
    <xf numFmtId="0" fontId="0" fillId="31" borderId="108" xfId="0" applyFill="1" applyBorder="1" applyAlignment="1" applyProtection="1">
      <alignment horizontal="center"/>
    </xf>
    <xf numFmtId="0" fontId="78" fillId="0" borderId="122" xfId="0" applyFont="1" applyFill="1" applyBorder="1" applyAlignment="1" applyProtection="1">
      <alignment horizontal="center" vertical="center"/>
    </xf>
    <xf numFmtId="0" fontId="78" fillId="0" borderId="123" xfId="0" applyFont="1" applyFill="1" applyBorder="1" applyAlignment="1" applyProtection="1">
      <alignment horizontal="center" vertical="center"/>
    </xf>
    <xf numFmtId="0" fontId="78" fillId="0" borderId="124" xfId="0" applyFont="1" applyFill="1" applyBorder="1" applyAlignment="1" applyProtection="1">
      <alignment horizontal="center" vertical="center"/>
    </xf>
    <xf numFmtId="49" fontId="156" fillId="22" borderId="125" xfId="0" applyNumberFormat="1" applyFont="1" applyFill="1" applyBorder="1" applyAlignment="1" applyProtection="1">
      <alignment horizontal="left" vertical="center" wrapText="1"/>
      <protection locked="0"/>
    </xf>
    <xf numFmtId="49" fontId="156" fillId="22" borderId="90" xfId="0" applyNumberFormat="1" applyFont="1" applyFill="1" applyBorder="1" applyAlignment="1" applyProtection="1">
      <alignment horizontal="left" vertical="center" wrapText="1"/>
      <protection locked="0"/>
    </xf>
    <xf numFmtId="49" fontId="156" fillId="22" borderId="91" xfId="0" applyNumberFormat="1" applyFont="1" applyFill="1" applyBorder="1" applyAlignment="1" applyProtection="1">
      <alignment horizontal="left" vertical="center" wrapText="1"/>
      <protection locked="0"/>
    </xf>
    <xf numFmtId="49" fontId="3" fillId="28" borderId="244" xfId="0" applyNumberFormat="1" applyFont="1" applyFill="1" applyBorder="1" applyAlignment="1" applyProtection="1">
      <alignment horizontal="center" vertical="center" wrapText="1"/>
      <protection locked="0"/>
    </xf>
    <xf numFmtId="49" fontId="3" fillId="28" borderId="125" xfId="0" applyNumberFormat="1" applyFont="1" applyFill="1" applyBorder="1" applyAlignment="1" applyProtection="1">
      <alignment horizontal="center" vertical="center" wrapText="1"/>
      <protection locked="0"/>
    </xf>
    <xf numFmtId="0" fontId="68" fillId="0" borderId="254" xfId="0" applyFont="1" applyFill="1" applyBorder="1" applyAlignment="1" applyProtection="1">
      <alignment horizontal="left" vertical="center" wrapText="1"/>
    </xf>
    <xf numFmtId="0" fontId="68" fillId="0" borderId="255" xfId="0" applyFont="1" applyFill="1" applyBorder="1" applyAlignment="1" applyProtection="1">
      <alignment horizontal="left" vertical="center" wrapText="1"/>
    </xf>
    <xf numFmtId="0" fontId="68" fillId="0" borderId="256" xfId="0" applyFont="1" applyFill="1" applyBorder="1" applyAlignment="1" applyProtection="1">
      <alignment horizontal="left" vertical="center" wrapText="1"/>
    </xf>
    <xf numFmtId="0" fontId="68" fillId="0" borderId="257" xfId="0" applyFont="1" applyFill="1" applyBorder="1" applyAlignment="1" applyProtection="1">
      <alignment horizontal="left" vertical="center" wrapText="1"/>
    </xf>
    <xf numFmtId="0" fontId="68" fillId="0" borderId="26" xfId="0" applyFont="1" applyFill="1" applyBorder="1" applyAlignment="1" applyProtection="1">
      <alignment horizontal="left" vertical="center" wrapText="1"/>
    </xf>
    <xf numFmtId="0" fontId="68" fillId="0" borderId="258" xfId="0" applyFont="1" applyFill="1" applyBorder="1" applyAlignment="1" applyProtection="1">
      <alignment horizontal="left" vertical="center" wrapText="1"/>
    </xf>
    <xf numFmtId="0" fontId="68" fillId="24" borderId="242" xfId="0" applyFont="1" applyFill="1" applyBorder="1" applyAlignment="1" applyProtection="1">
      <alignment horizontal="center" vertical="center" wrapText="1"/>
    </xf>
    <xf numFmtId="0" fontId="68" fillId="24" borderId="243" xfId="0" applyFont="1" applyFill="1" applyBorder="1" applyAlignment="1" applyProtection="1">
      <alignment horizontal="center" vertical="center" wrapText="1"/>
    </xf>
    <xf numFmtId="0" fontId="68" fillId="0" borderId="242" xfId="0" applyFont="1" applyFill="1" applyBorder="1" applyAlignment="1" applyProtection="1">
      <alignment horizontal="center" vertical="center" wrapText="1"/>
    </xf>
    <xf numFmtId="0" fontId="68" fillId="0" borderId="253" xfId="0" applyFont="1" applyFill="1" applyBorder="1" applyAlignment="1" applyProtection="1">
      <alignment horizontal="center" vertical="center" wrapText="1"/>
    </xf>
    <xf numFmtId="0" fontId="68" fillId="0" borderId="238" xfId="0" applyFont="1" applyFill="1" applyBorder="1" applyAlignment="1" applyProtection="1">
      <alignment horizontal="left" vertical="center" wrapText="1"/>
    </xf>
    <xf numFmtId="0" fontId="68" fillId="0" borderId="97" xfId="0" applyFont="1" applyFill="1" applyBorder="1" applyAlignment="1" applyProtection="1">
      <alignment horizontal="left" vertical="center" wrapText="1"/>
    </xf>
    <xf numFmtId="0" fontId="68" fillId="0" borderId="239" xfId="0" applyFont="1" applyFill="1" applyBorder="1" applyAlignment="1" applyProtection="1">
      <alignment horizontal="left" vertical="center" wrapText="1"/>
    </xf>
    <xf numFmtId="0" fontId="68" fillId="24" borderId="254" xfId="0" applyFont="1" applyFill="1" applyBorder="1" applyAlignment="1" applyProtection="1">
      <alignment horizontal="left" vertical="center" wrapText="1"/>
    </xf>
    <xf numFmtId="0" fontId="68" fillId="24" borderId="255" xfId="0" applyFont="1" applyFill="1" applyBorder="1" applyAlignment="1" applyProtection="1">
      <alignment horizontal="left" vertical="center" wrapText="1"/>
    </xf>
    <xf numFmtId="0" fontId="68" fillId="24" borderId="256" xfId="0" applyFont="1" applyFill="1" applyBorder="1" applyAlignment="1" applyProtection="1">
      <alignment horizontal="left" vertical="center" wrapText="1"/>
    </xf>
    <xf numFmtId="0" fontId="68" fillId="24" borderId="257" xfId="0" applyFont="1" applyFill="1" applyBorder="1" applyAlignment="1" applyProtection="1">
      <alignment horizontal="left" vertical="center" wrapText="1"/>
    </xf>
    <xf numFmtId="0" fontId="68" fillId="24" borderId="26" xfId="0" applyFont="1" applyFill="1" applyBorder="1" applyAlignment="1" applyProtection="1">
      <alignment horizontal="left" vertical="center" wrapText="1"/>
    </xf>
    <xf numFmtId="0" fontId="68" fillId="24" borderId="258" xfId="0" applyFont="1" applyFill="1" applyBorder="1" applyAlignment="1" applyProtection="1">
      <alignment horizontal="left" vertical="center" wrapText="1"/>
    </xf>
    <xf numFmtId="0" fontId="68" fillId="0" borderId="244" xfId="0" applyFont="1" applyFill="1" applyBorder="1" applyAlignment="1" applyProtection="1">
      <alignment horizontal="center" vertical="center" wrapText="1"/>
    </xf>
    <xf numFmtId="0" fontId="68" fillId="0" borderId="252" xfId="0" applyFont="1" applyFill="1" applyBorder="1" applyAlignment="1" applyProtection="1">
      <alignment horizontal="center" vertical="center" wrapText="1"/>
    </xf>
    <xf numFmtId="0" fontId="68" fillId="24" borderId="244" xfId="0" applyFont="1" applyFill="1" applyBorder="1" applyAlignment="1" applyProtection="1">
      <alignment horizontal="center" vertical="center" wrapText="1"/>
    </xf>
    <xf numFmtId="0" fontId="68" fillId="24" borderId="125" xfId="0" applyFont="1" applyFill="1" applyBorder="1" applyAlignment="1" applyProtection="1">
      <alignment horizontal="center" vertical="center" wrapText="1"/>
    </xf>
    <xf numFmtId="0" fontId="68" fillId="0" borderId="243" xfId="0" applyFont="1" applyFill="1" applyBorder="1" applyAlignment="1" applyProtection="1">
      <alignment horizontal="center" vertical="center" wrapText="1"/>
    </xf>
    <xf numFmtId="0" fontId="68" fillId="0" borderId="125" xfId="0" applyFont="1" applyFill="1" applyBorder="1" applyAlignment="1" applyProtection="1">
      <alignment horizontal="center" vertical="center" wrapText="1"/>
    </xf>
    <xf numFmtId="49" fontId="3" fillId="39" borderId="238" xfId="0" applyNumberFormat="1" applyFont="1" applyFill="1" applyBorder="1" applyAlignment="1" applyProtection="1">
      <alignment horizontal="left" vertical="center" wrapText="1"/>
      <protection locked="0"/>
    </xf>
    <xf numFmtId="49" fontId="3" fillId="39" borderId="97" xfId="0" applyNumberFormat="1" applyFont="1" applyFill="1" applyBorder="1" applyAlignment="1" applyProtection="1">
      <alignment horizontal="left" vertical="center" wrapText="1"/>
      <protection locked="0"/>
    </xf>
    <xf numFmtId="49" fontId="3" fillId="39" borderId="239" xfId="0" applyNumberFormat="1" applyFont="1" applyFill="1" applyBorder="1" applyAlignment="1" applyProtection="1">
      <alignment horizontal="left" vertical="center" wrapText="1"/>
      <protection locked="0"/>
    </xf>
    <xf numFmtId="49" fontId="3" fillId="39" borderId="240" xfId="0" applyNumberFormat="1" applyFont="1" applyFill="1" applyBorder="1" applyAlignment="1" applyProtection="1">
      <alignment horizontal="left" vertical="center" wrapText="1"/>
      <protection locked="0"/>
    </xf>
    <xf numFmtId="49" fontId="3" fillId="39" borderId="100" xfId="0" applyNumberFormat="1" applyFont="1" applyFill="1" applyBorder="1" applyAlignment="1" applyProtection="1">
      <alignment horizontal="left" vertical="center" wrapText="1"/>
      <protection locked="0"/>
    </xf>
    <xf numFmtId="49" fontId="3" fillId="39" borderId="241" xfId="0" applyNumberFormat="1" applyFont="1" applyFill="1" applyBorder="1" applyAlignment="1" applyProtection="1">
      <alignment horizontal="left" vertical="center" wrapText="1"/>
      <protection locked="0"/>
    </xf>
    <xf numFmtId="49" fontId="3" fillId="38" borderId="238" xfId="0" applyNumberFormat="1" applyFont="1" applyFill="1" applyBorder="1" applyAlignment="1" applyProtection="1">
      <alignment horizontal="left" vertical="center" wrapText="1"/>
      <protection locked="0"/>
    </xf>
    <xf numFmtId="49" fontId="3" fillId="38" borderId="97" xfId="0" applyNumberFormat="1" applyFont="1" applyFill="1" applyBorder="1" applyAlignment="1" applyProtection="1">
      <alignment horizontal="left" vertical="center" wrapText="1"/>
      <protection locked="0"/>
    </xf>
    <xf numFmtId="49" fontId="3" fillId="38" borderId="239" xfId="0" applyNumberFormat="1" applyFont="1" applyFill="1" applyBorder="1" applyAlignment="1" applyProtection="1">
      <alignment horizontal="left" vertical="center" wrapText="1"/>
      <protection locked="0"/>
    </xf>
    <xf numFmtId="49" fontId="3" fillId="38" borderId="240" xfId="0" applyNumberFormat="1" applyFont="1" applyFill="1" applyBorder="1" applyAlignment="1" applyProtection="1">
      <alignment horizontal="left" vertical="center" wrapText="1"/>
      <protection locked="0"/>
    </xf>
    <xf numFmtId="49" fontId="3" fillId="38" borderId="100" xfId="0" applyNumberFormat="1" applyFont="1" applyFill="1" applyBorder="1" applyAlignment="1" applyProtection="1">
      <alignment horizontal="left" vertical="center" wrapText="1"/>
      <protection locked="0"/>
    </xf>
    <xf numFmtId="49" fontId="3" fillId="38" borderId="241" xfId="0" applyNumberFormat="1" applyFont="1" applyFill="1" applyBorder="1" applyAlignment="1" applyProtection="1">
      <alignment horizontal="left" vertical="center" wrapText="1"/>
      <protection locked="0"/>
    </xf>
    <xf numFmtId="49" fontId="3" fillId="22" borderId="244" xfId="0" applyNumberFormat="1" applyFont="1" applyFill="1" applyBorder="1" applyAlignment="1" applyProtection="1">
      <alignment horizontal="center" vertical="center" wrapText="1"/>
      <protection locked="0"/>
    </xf>
    <xf numFmtId="49" fontId="3" fillId="22" borderId="125" xfId="0" applyNumberFormat="1" applyFont="1" applyFill="1" applyBorder="1" applyAlignment="1" applyProtection="1">
      <alignment horizontal="center" vertical="center" wrapText="1"/>
      <protection locked="0"/>
    </xf>
    <xf numFmtId="49" fontId="3" fillId="40" borderId="238" xfId="0" applyNumberFormat="1" applyFont="1" applyFill="1" applyBorder="1" applyAlignment="1" applyProtection="1">
      <alignment horizontal="left" vertical="center" wrapText="1"/>
      <protection locked="0"/>
    </xf>
    <xf numFmtId="49" fontId="3" fillId="40" borderId="97" xfId="0" applyNumberFormat="1" applyFont="1" applyFill="1" applyBorder="1" applyAlignment="1" applyProtection="1">
      <alignment horizontal="left" vertical="center" wrapText="1"/>
      <protection locked="0"/>
    </xf>
    <xf numFmtId="49" fontId="3" fillId="40" borderId="239" xfId="0" applyNumberFormat="1" applyFont="1" applyFill="1" applyBorder="1" applyAlignment="1" applyProtection="1">
      <alignment horizontal="left" vertical="center" wrapText="1"/>
      <protection locked="0"/>
    </xf>
    <xf numFmtId="49" fontId="3" fillId="40" borderId="240" xfId="0" applyNumberFormat="1" applyFont="1" applyFill="1" applyBorder="1" applyAlignment="1" applyProtection="1">
      <alignment horizontal="left" vertical="center" wrapText="1"/>
      <protection locked="0"/>
    </xf>
    <xf numFmtId="49" fontId="3" fillId="40" borderId="100" xfId="0" applyNumberFormat="1" applyFont="1" applyFill="1" applyBorder="1" applyAlignment="1" applyProtection="1">
      <alignment horizontal="left" vertical="center" wrapText="1"/>
      <protection locked="0"/>
    </xf>
    <xf numFmtId="49" fontId="3" fillId="40" borderId="241" xfId="0" applyNumberFormat="1" applyFont="1" applyFill="1" applyBorder="1" applyAlignment="1" applyProtection="1">
      <alignment horizontal="left" vertical="center" wrapText="1"/>
      <protection locked="0"/>
    </xf>
    <xf numFmtId="49" fontId="15" fillId="0" borderId="249" xfId="0" applyNumberFormat="1" applyFont="1" applyFill="1" applyBorder="1" applyAlignment="1" applyProtection="1">
      <alignment horizontal="center"/>
    </xf>
    <xf numFmtId="49" fontId="15" fillId="0" borderId="44" xfId="0" applyNumberFormat="1" applyFont="1" applyFill="1" applyBorder="1" applyAlignment="1" applyProtection="1">
      <alignment horizontal="center"/>
    </xf>
    <xf numFmtId="49" fontId="15" fillId="0" borderId="247" xfId="0" applyNumberFormat="1" applyFont="1" applyFill="1" applyBorder="1" applyAlignment="1" applyProtection="1">
      <alignment horizontal="center"/>
    </xf>
    <xf numFmtId="49" fontId="15" fillId="0" borderId="248" xfId="0" applyNumberFormat="1" applyFont="1" applyFill="1" applyBorder="1" applyAlignment="1" applyProtection="1">
      <alignment horizontal="center"/>
    </xf>
    <xf numFmtId="49" fontId="68" fillId="28" borderId="244" xfId="0" applyNumberFormat="1" applyFont="1" applyFill="1" applyBorder="1" applyAlignment="1" applyProtection="1">
      <alignment horizontal="center" vertical="center" wrapText="1"/>
      <protection locked="0"/>
    </xf>
    <xf numFmtId="49" fontId="68" fillId="28" borderId="125" xfId="0" applyNumberFormat="1" applyFont="1" applyFill="1" applyBorder="1" applyAlignment="1" applyProtection="1">
      <alignment horizontal="center" vertical="center" wrapText="1"/>
      <protection locked="0"/>
    </xf>
    <xf numFmtId="0" fontId="85" fillId="0" borderId="117" xfId="0" applyFont="1" applyBorder="1" applyAlignment="1" applyProtection="1">
      <alignment horizontal="right"/>
    </xf>
    <xf numFmtId="0" fontId="120" fillId="0" borderId="117" xfId="0" applyFont="1" applyBorder="1" applyAlignment="1"/>
    <xf numFmtId="0" fontId="0" fillId="0" borderId="250" xfId="0" applyBorder="1" applyAlignment="1" applyProtection="1">
      <alignment horizontal="center"/>
    </xf>
    <xf numFmtId="0" fontId="0" fillId="0" borderId="251" xfId="0" applyBorder="1" applyAlignment="1" applyProtection="1">
      <alignment horizontal="center"/>
    </xf>
    <xf numFmtId="0" fontId="27" fillId="0" borderId="106" xfId="0" applyFont="1" applyBorder="1" applyAlignment="1" applyProtection="1">
      <alignment horizontal="center" wrapText="1"/>
    </xf>
    <xf numFmtId="0" fontId="27" fillId="0" borderId="107" xfId="0" applyFont="1" applyBorder="1" applyAlignment="1" applyProtection="1">
      <alignment horizontal="center" wrapText="1"/>
    </xf>
    <xf numFmtId="0" fontId="27" fillId="0" borderId="108" xfId="0" applyFont="1" applyBorder="1" applyAlignment="1" applyProtection="1">
      <alignment horizontal="center" wrapText="1"/>
    </xf>
    <xf numFmtId="164" fontId="15" fillId="0" borderId="119" xfId="0" applyNumberFormat="1" applyFont="1" applyBorder="1" applyAlignment="1" applyProtection="1">
      <alignment horizontal="center"/>
    </xf>
    <xf numFmtId="0" fontId="15" fillId="0" borderId="120" xfId="0" applyFont="1" applyBorder="1" applyAlignment="1" applyProtection="1">
      <alignment horizontal="center"/>
    </xf>
    <xf numFmtId="0" fontId="15" fillId="0" borderId="121" xfId="0" applyFont="1" applyBorder="1" applyAlignment="1" applyProtection="1">
      <alignment horizontal="center"/>
    </xf>
    <xf numFmtId="0" fontId="114" fillId="0" borderId="0" xfId="0" applyFont="1" applyBorder="1" applyAlignment="1" applyProtection="1">
      <alignment horizontal="right"/>
    </xf>
    <xf numFmtId="0" fontId="114" fillId="0" borderId="126" xfId="0" applyFont="1" applyBorder="1" applyAlignment="1" applyProtection="1">
      <alignment horizontal="right"/>
    </xf>
    <xf numFmtId="0" fontId="114" fillId="0" borderId="48" xfId="0" applyFont="1" applyBorder="1" applyAlignment="1" applyProtection="1">
      <alignment horizontal="right"/>
    </xf>
    <xf numFmtId="164" fontId="16" fillId="32" borderId="10" xfId="56" applyFont="1" applyFill="1" applyBorder="1" applyAlignment="1" applyProtection="1">
      <alignment horizontal="center"/>
      <protection locked="0"/>
    </xf>
    <xf numFmtId="0" fontId="114" fillId="0" borderId="0" xfId="0" applyFont="1" applyAlignment="1" applyProtection="1">
      <alignment horizontal="right"/>
    </xf>
    <xf numFmtId="0" fontId="0" fillId="22" borderId="42" xfId="0" applyFill="1" applyBorder="1" applyAlignment="1" applyProtection="1">
      <alignment horizontal="center"/>
    </xf>
    <xf numFmtId="0" fontId="0" fillId="22" borderId="44" xfId="0" applyFill="1" applyBorder="1" applyAlignment="1" applyProtection="1">
      <alignment horizontal="center"/>
    </xf>
    <xf numFmtId="0" fontId="0" fillId="0" borderId="0" xfId="0" applyAlignment="1" applyProtection="1"/>
    <xf numFmtId="49" fontId="0" fillId="0" borderId="42" xfId="0" applyNumberFormat="1" applyBorder="1" applyAlignment="1" applyProtection="1">
      <alignment horizontal="center"/>
      <protection locked="0"/>
    </xf>
    <xf numFmtId="49" fontId="0" fillId="0" borderId="44" xfId="0" applyNumberFormat="1" applyBorder="1" applyAlignment="1" applyProtection="1">
      <alignment horizontal="center"/>
      <protection locked="0"/>
    </xf>
    <xf numFmtId="164" fontId="62" fillId="30" borderId="0" xfId="38" applyFont="1" applyFill="1" applyAlignment="1" applyProtection="1">
      <alignment horizontal="center" vertical="center"/>
    </xf>
    <xf numFmtId="3" fontId="0" fillId="0" borderId="42" xfId="0" applyNumberFormat="1" applyBorder="1" applyAlignment="1" applyProtection="1">
      <alignment horizontal="center"/>
      <protection locked="0"/>
    </xf>
    <xf numFmtId="3" fontId="0" fillId="0" borderId="44"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38" fillId="0" borderId="10" xfId="56" applyNumberFormat="1" applyFill="1" applyBorder="1" applyAlignment="1" applyProtection="1">
      <alignment horizontal="center"/>
      <protection locked="0"/>
    </xf>
    <xf numFmtId="49" fontId="150" fillId="0" borderId="10" xfId="0" applyNumberFormat="1" applyFont="1" applyFill="1" applyBorder="1" applyAlignment="1" applyProtection="1">
      <alignment horizontal="center"/>
      <protection locked="0"/>
    </xf>
    <xf numFmtId="49" fontId="0" fillId="0" borderId="43" xfId="0" applyNumberFormat="1" applyBorder="1" applyAlignment="1" applyProtection="1">
      <alignment horizontal="center"/>
      <protection locked="0"/>
    </xf>
    <xf numFmtId="49" fontId="0" fillId="0" borderId="10" xfId="0" applyNumberFormat="1" applyBorder="1" applyAlignment="1" applyProtection="1">
      <alignment horizontal="center"/>
      <protection locked="0"/>
    </xf>
    <xf numFmtId="164" fontId="25" fillId="25" borderId="39" xfId="56" applyFont="1" applyFill="1" applyBorder="1" applyAlignment="1" applyProtection="1">
      <alignment horizontal="center"/>
    </xf>
    <xf numFmtId="164" fontId="2" fillId="0" borderId="39" xfId="56" applyFont="1" applyFill="1" applyBorder="1" applyAlignment="1" applyProtection="1">
      <alignment horizontal="right" vertical="top" wrapText="1"/>
    </xf>
    <xf numFmtId="0" fontId="0" fillId="0" borderId="39" xfId="0" applyBorder="1"/>
    <xf numFmtId="164" fontId="115" fillId="33" borderId="39" xfId="56" applyFont="1" applyFill="1" applyBorder="1" applyAlignment="1" applyProtection="1">
      <alignment horizontal="center" wrapText="1"/>
    </xf>
    <xf numFmtId="164" fontId="2" fillId="0" borderId="39" xfId="56" applyFont="1" applyFill="1" applyBorder="1" applyAlignment="1" applyProtection="1">
      <alignment horizontal="right" wrapText="1"/>
    </xf>
    <xf numFmtId="15" fontId="25" fillId="25" borderId="39" xfId="56" applyNumberFormat="1" applyFont="1" applyFill="1" applyBorder="1" applyAlignment="1" applyProtection="1">
      <alignment horizontal="center"/>
    </xf>
    <xf numFmtId="0" fontId="0" fillId="0" borderId="39" xfId="0" applyBorder="1" applyAlignment="1"/>
    <xf numFmtId="164" fontId="106" fillId="30" borderId="0" xfId="38" applyFont="1" applyFill="1" applyAlignment="1" applyProtection="1">
      <alignment horizontal="center" vertical="center"/>
    </xf>
    <xf numFmtId="164" fontId="34" fillId="25" borderId="0" xfId="49" applyFont="1" applyFill="1" applyAlignment="1" applyProtection="1">
      <alignment horizontal="center" vertical="center" wrapText="1"/>
    </xf>
    <xf numFmtId="173" fontId="25" fillId="25" borderId="39" xfId="56" applyNumberFormat="1" applyFont="1" applyFill="1" applyBorder="1" applyAlignment="1" applyProtection="1">
      <alignment horizontal="center" vertical="center"/>
    </xf>
    <xf numFmtId="164" fontId="2" fillId="0" borderId="39" xfId="56" applyFont="1" applyBorder="1" applyAlignment="1" applyProtection="1">
      <alignment horizontal="right"/>
    </xf>
    <xf numFmtId="164" fontId="21" fillId="0" borderId="0" xfId="49" applyFont="1" applyFill="1" applyAlignment="1" applyProtection="1">
      <alignment horizontal="right" vertical="center"/>
    </xf>
    <xf numFmtId="164" fontId="25" fillId="25" borderId="0" xfId="49" applyFont="1" applyFill="1" applyAlignment="1" applyProtection="1">
      <alignment horizontal="center" vertical="center" wrapText="1"/>
    </xf>
    <xf numFmtId="0" fontId="35" fillId="22" borderId="42" xfId="0" applyFont="1" applyFill="1" applyBorder="1" applyAlignment="1" applyProtection="1">
      <alignment horizontal="left" wrapText="1"/>
      <protection locked="0"/>
    </xf>
    <xf numFmtId="0" fontId="0" fillId="0" borderId="43" xfId="0" applyBorder="1" applyAlignment="1" applyProtection="1">
      <alignment horizontal="left" wrapText="1"/>
      <protection locked="0"/>
    </xf>
    <xf numFmtId="0" fontId="0" fillId="0" borderId="44" xfId="0" applyBorder="1" applyAlignment="1" applyProtection="1">
      <alignment horizontal="left" wrapText="1"/>
      <protection locked="0"/>
    </xf>
    <xf numFmtId="0" fontId="116" fillId="0" borderId="127" xfId="0" applyFont="1" applyFill="1" applyBorder="1" applyAlignment="1" applyProtection="1">
      <alignment horizontal="left" wrapText="1"/>
    </xf>
    <xf numFmtId="0" fontId="116" fillId="0" borderId="76" xfId="0" applyFont="1" applyFill="1" applyBorder="1" applyAlignment="1" applyProtection="1">
      <alignment horizontal="left" wrapText="1"/>
    </xf>
    <xf numFmtId="0" fontId="116" fillId="0" borderId="128" xfId="0" applyFont="1" applyFill="1" applyBorder="1" applyAlignment="1" applyProtection="1">
      <alignment horizontal="left" wrapText="1"/>
    </xf>
    <xf numFmtId="0" fontId="116" fillId="0" borderId="129" xfId="0" applyFont="1" applyFill="1" applyBorder="1" applyAlignment="1" applyProtection="1">
      <alignment horizontal="left" wrapText="1"/>
    </xf>
    <xf numFmtId="164" fontId="62" fillId="30" borderId="0" xfId="47" applyFont="1" applyFill="1" applyAlignment="1">
      <alignment horizontal="center" vertical="center"/>
    </xf>
    <xf numFmtId="164" fontId="15" fillId="0" borderId="0" xfId="0" applyNumberFormat="1" applyFont="1" applyAlignment="1" applyProtection="1">
      <alignment horizontal="center" wrapText="1"/>
    </xf>
    <xf numFmtId="164" fontId="29" fillId="0" borderId="0" xfId="0" applyNumberFormat="1" applyFont="1" applyAlignment="1" applyProtection="1">
      <alignment horizontal="right"/>
    </xf>
    <xf numFmtId="15" fontId="29" fillId="0" borderId="0" xfId="0" applyNumberFormat="1" applyFont="1" applyAlignment="1" applyProtection="1">
      <alignment horizontal="right"/>
    </xf>
    <xf numFmtId="164" fontId="15" fillId="0" borderId="0" xfId="0" applyNumberFormat="1" applyFont="1" applyAlignment="1" applyProtection="1">
      <alignment horizontal="center"/>
    </xf>
    <xf numFmtId="164" fontId="29" fillId="0" borderId="0" xfId="0" applyNumberFormat="1" applyFont="1" applyAlignment="1" applyProtection="1">
      <alignment horizontal="left"/>
    </xf>
    <xf numFmtId="164" fontId="16" fillId="33" borderId="0" xfId="56" applyFont="1" applyFill="1" applyBorder="1" applyAlignment="1" applyProtection="1">
      <alignment horizontal="center" wrapText="1"/>
    </xf>
    <xf numFmtId="0" fontId="112" fillId="0" borderId="0" xfId="0" applyFont="1" applyAlignment="1" applyProtection="1">
      <alignment horizontal="center"/>
    </xf>
    <xf numFmtId="164" fontId="111" fillId="0" borderId="106" xfId="0" applyNumberFormat="1" applyFont="1" applyBorder="1" applyAlignment="1" applyProtection="1">
      <alignment horizontal="center" vertical="center" wrapText="1"/>
    </xf>
    <xf numFmtId="164" fontId="111" fillId="0" borderId="107" xfId="0" applyNumberFormat="1" applyFont="1" applyBorder="1" applyAlignment="1" applyProtection="1">
      <alignment horizontal="center" vertical="center" wrapText="1"/>
    </xf>
    <xf numFmtId="164" fontId="111" fillId="0" borderId="108" xfId="0" applyNumberFormat="1" applyFont="1" applyBorder="1" applyAlignment="1" applyProtection="1">
      <alignment horizontal="center" vertical="center" wrapText="1"/>
    </xf>
    <xf numFmtId="0" fontId="0" fillId="0" borderId="130" xfId="0" applyBorder="1" applyAlignment="1" applyProtection="1">
      <alignment horizontal="center"/>
    </xf>
    <xf numFmtId="0" fontId="0" fillId="0" borderId="57" xfId="0" applyBorder="1" applyAlignment="1" applyProtection="1">
      <alignment horizontal="center"/>
    </xf>
    <xf numFmtId="0" fontId="31" fillId="22" borderId="42" xfId="0" applyFont="1" applyFill="1" applyBorder="1" applyAlignment="1" applyProtection="1">
      <alignment horizontal="left" wrapText="1"/>
      <protection locked="0"/>
    </xf>
    <xf numFmtId="0" fontId="35" fillId="22" borderId="43" xfId="0" applyFont="1" applyFill="1" applyBorder="1" applyAlignment="1" applyProtection="1">
      <alignment horizontal="left" wrapText="1"/>
      <protection locked="0"/>
    </xf>
    <xf numFmtId="0" fontId="35" fillId="22" borderId="44" xfId="0" applyFont="1" applyFill="1" applyBorder="1" applyAlignment="1" applyProtection="1">
      <alignment horizontal="left" wrapText="1"/>
      <protection locked="0"/>
    </xf>
    <xf numFmtId="164" fontId="16" fillId="33" borderId="0" xfId="56" applyFont="1" applyFill="1" applyBorder="1" applyAlignment="1" applyProtection="1">
      <alignment horizontal="center" vertical="center" wrapText="1"/>
    </xf>
    <xf numFmtId="164" fontId="15" fillId="0" borderId="0" xfId="0" applyNumberFormat="1" applyFont="1" applyAlignment="1">
      <alignment horizontal="center"/>
    </xf>
    <xf numFmtId="164" fontId="29" fillId="0" borderId="0" xfId="0" applyNumberFormat="1" applyFont="1" applyAlignment="1">
      <alignment horizontal="right"/>
    </xf>
    <xf numFmtId="0" fontId="35" fillId="22" borderId="107" xfId="0" applyFont="1" applyFill="1" applyBorder="1" applyAlignment="1" applyProtection="1">
      <alignment horizontal="left" vertical="top" wrapText="1"/>
      <protection locked="0"/>
    </xf>
    <xf numFmtId="0" fontId="35" fillId="22" borderId="108" xfId="0" applyFont="1" applyFill="1" applyBorder="1" applyAlignment="1" applyProtection="1">
      <alignment horizontal="left" vertical="top" wrapText="1"/>
      <protection locked="0"/>
    </xf>
    <xf numFmtId="164" fontId="36" fillId="0" borderId="0" xfId="0" applyNumberFormat="1" applyFont="1" applyAlignment="1">
      <alignment horizontal="left" vertical="center" wrapText="1"/>
    </xf>
    <xf numFmtId="0" fontId="15" fillId="0" borderId="0" xfId="0" applyFont="1" applyBorder="1" applyAlignment="1">
      <alignment horizontal="center"/>
    </xf>
    <xf numFmtId="164" fontId="29" fillId="0" borderId="0" xfId="0" applyNumberFormat="1" applyFont="1" applyAlignment="1">
      <alignment horizontal="left" vertical="center" wrapText="1"/>
    </xf>
    <xf numFmtId="0" fontId="0" fillId="48" borderId="93" xfId="0" applyFill="1" applyBorder="1" applyAlignment="1">
      <alignment vertical="top"/>
    </xf>
    <xf numFmtId="0" fontId="0" fillId="0" borderId="75" xfId="0" applyBorder="1" applyAlignment="1">
      <alignment vertical="top"/>
    </xf>
    <xf numFmtId="0" fontId="0" fillId="0" borderId="90" xfId="0" applyBorder="1" applyAlignment="1">
      <alignment vertical="top"/>
    </xf>
    <xf numFmtId="0" fontId="131" fillId="22" borderId="107" xfId="0" applyFont="1" applyFill="1" applyBorder="1" applyAlignment="1" applyProtection="1">
      <alignment horizontal="left" vertical="top" wrapText="1"/>
      <protection locked="0"/>
    </xf>
    <xf numFmtId="0" fontId="131" fillId="22" borderId="108" xfId="0" applyFont="1" applyFill="1" applyBorder="1" applyAlignment="1" applyProtection="1">
      <alignment horizontal="left" vertical="top" wrapText="1"/>
      <protection locked="0"/>
    </xf>
    <xf numFmtId="0" fontId="31" fillId="22" borderId="42" xfId="0" applyFont="1" applyFill="1" applyBorder="1" applyAlignment="1" applyProtection="1">
      <alignment horizontal="left" vertical="center" wrapText="1"/>
      <protection locked="0"/>
    </xf>
    <xf numFmtId="0" fontId="31" fillId="22" borderId="43" xfId="0" applyFont="1" applyFill="1" applyBorder="1" applyAlignment="1" applyProtection="1">
      <alignment horizontal="left" vertical="center" wrapText="1"/>
      <protection locked="0"/>
    </xf>
    <xf numFmtId="0" fontId="31" fillId="22" borderId="44" xfId="0" applyFont="1" applyFill="1" applyBorder="1" applyAlignment="1" applyProtection="1">
      <alignment horizontal="left" vertical="center" wrapText="1"/>
      <protection locked="0"/>
    </xf>
    <xf numFmtId="0" fontId="35" fillId="22" borderId="42" xfId="0" applyFont="1" applyFill="1" applyBorder="1" applyAlignment="1" applyProtection="1">
      <alignment horizontal="left" vertical="center" wrapText="1"/>
      <protection locked="0"/>
    </xf>
    <xf numFmtId="0" fontId="35" fillId="22" borderId="43" xfId="0" applyFont="1" applyFill="1" applyBorder="1" applyAlignment="1" applyProtection="1">
      <alignment horizontal="left" vertical="center" wrapText="1"/>
      <protection locked="0"/>
    </xf>
    <xf numFmtId="0" fontId="35" fillId="22" borderId="44" xfId="0" applyFont="1" applyFill="1" applyBorder="1" applyAlignment="1" applyProtection="1">
      <alignment horizontal="left" vertical="center" wrapText="1"/>
      <protection locked="0"/>
    </xf>
    <xf numFmtId="0" fontId="0" fillId="47" borderId="93" xfId="0" applyFill="1" applyBorder="1" applyAlignment="1">
      <alignment vertical="top"/>
    </xf>
    <xf numFmtId="0" fontId="22" fillId="35" borderId="42" xfId="0" applyFont="1" applyFill="1" applyBorder="1" applyAlignment="1" applyProtection="1">
      <alignment vertical="center" wrapText="1"/>
    </xf>
    <xf numFmtId="0" fontId="22" fillId="35" borderId="43" xfId="0" applyFont="1" applyFill="1" applyBorder="1" applyAlignment="1" applyProtection="1">
      <alignment vertical="center" wrapText="1"/>
    </xf>
    <xf numFmtId="0" fontId="22" fillId="35" borderId="44" xfId="0" applyFont="1" applyFill="1" applyBorder="1" applyAlignment="1" applyProtection="1">
      <alignment vertical="center" wrapText="1"/>
    </xf>
    <xf numFmtId="9" fontId="2" fillId="0" borderId="42" xfId="84" applyFont="1" applyBorder="1" applyAlignment="1" applyProtection="1">
      <alignment horizontal="center" vertical="center" wrapText="1"/>
    </xf>
    <xf numFmtId="9" fontId="2" fillId="0" borderId="43" xfId="84" applyFont="1" applyBorder="1" applyAlignment="1" applyProtection="1">
      <alignment horizontal="center" vertical="center" wrapText="1"/>
    </xf>
    <xf numFmtId="9" fontId="2" fillId="0" borderId="44" xfId="84" applyFont="1" applyBorder="1" applyAlignment="1" applyProtection="1">
      <alignment horizontal="center" vertical="center" wrapText="1"/>
    </xf>
    <xf numFmtId="9" fontId="2" fillId="46" borderId="10" xfId="84" applyFont="1" applyFill="1" applyBorder="1" applyAlignment="1" applyProtection="1">
      <alignment horizontal="left" vertical="center" wrapText="1"/>
      <protection locked="0"/>
    </xf>
    <xf numFmtId="9" fontId="22" fillId="46" borderId="42" xfId="84" applyFont="1" applyFill="1" applyBorder="1" applyAlignment="1" applyProtection="1">
      <alignment horizontal="left" vertical="center" wrapText="1"/>
      <protection locked="0"/>
    </xf>
    <xf numFmtId="9" fontId="2" fillId="35" borderId="42" xfId="84" applyFont="1" applyFill="1" applyBorder="1" applyAlignment="1" applyProtection="1">
      <alignment horizontal="center" vertical="center" wrapText="1"/>
    </xf>
    <xf numFmtId="0" fontId="0" fillId="35" borderId="43" xfId="0" applyFill="1" applyBorder="1" applyAlignment="1">
      <alignment horizontal="center" vertical="center" wrapText="1"/>
    </xf>
    <xf numFmtId="0" fontId="0" fillId="35" borderId="44" xfId="0" applyFill="1" applyBorder="1" applyAlignment="1">
      <alignment horizontal="center" vertical="center" wrapText="1"/>
    </xf>
    <xf numFmtId="9" fontId="2" fillId="35" borderId="42" xfId="84" applyNumberFormat="1" applyFont="1" applyFill="1" applyBorder="1" applyAlignment="1" applyProtection="1">
      <alignment horizontal="center" vertical="center" wrapText="1"/>
    </xf>
    <xf numFmtId="9" fontId="2" fillId="35" borderId="43" xfId="84" applyNumberFormat="1" applyFont="1" applyFill="1" applyBorder="1" applyAlignment="1" applyProtection="1">
      <alignment horizontal="center" vertical="center" wrapText="1"/>
    </xf>
    <xf numFmtId="9" fontId="2" fillId="35" borderId="44" xfId="84" applyNumberFormat="1" applyFont="1" applyFill="1" applyBorder="1" applyAlignment="1" applyProtection="1">
      <alignment horizontal="center" vertical="center" wrapText="1"/>
    </xf>
    <xf numFmtId="9" fontId="29" fillId="0" borderId="42" xfId="61" applyFont="1" applyBorder="1" applyAlignment="1" applyProtection="1">
      <alignment horizontal="center" vertical="center" wrapText="1"/>
    </xf>
    <xf numFmtId="9" fontId="29" fillId="0" borderId="43" xfId="61" applyFont="1" applyBorder="1" applyAlignment="1" applyProtection="1">
      <alignment horizontal="center" vertical="center" wrapText="1"/>
    </xf>
    <xf numFmtId="9" fontId="29" fillId="0" borderId="44" xfId="61" applyFont="1" applyBorder="1" applyAlignment="1" applyProtection="1">
      <alignment horizontal="center" vertical="center" wrapText="1"/>
    </xf>
    <xf numFmtId="9" fontId="35" fillId="22" borderId="10" xfId="61" applyFont="1" applyFill="1" applyBorder="1" applyAlignment="1" applyProtection="1">
      <alignment horizontal="left" vertical="center" wrapText="1"/>
      <protection locked="0"/>
    </xf>
    <xf numFmtId="164" fontId="62" fillId="30" borderId="0" xfId="47" applyFont="1" applyFill="1" applyAlignment="1" applyProtection="1">
      <alignment horizontal="center" vertical="center"/>
    </xf>
    <xf numFmtId="0" fontId="35" fillId="0" borderId="97" xfId="0" applyFont="1" applyBorder="1" applyAlignment="1" applyProtection="1">
      <alignment horizontal="left" vertical="center"/>
    </xf>
    <xf numFmtId="164" fontId="34" fillId="0" borderId="0" xfId="0" applyNumberFormat="1" applyFont="1" applyAlignment="1" applyProtection="1">
      <alignment horizontal="center"/>
    </xf>
    <xf numFmtId="164" fontId="16" fillId="33" borderId="0" xfId="57" applyFont="1" applyFill="1" applyBorder="1" applyAlignment="1" applyProtection="1">
      <alignment horizontal="center"/>
    </xf>
    <xf numFmtId="164" fontId="128" fillId="0" borderId="0" xfId="0" applyNumberFormat="1" applyFont="1" applyAlignment="1" applyProtection="1">
      <alignment horizontal="center"/>
    </xf>
    <xf numFmtId="0" fontId="0" fillId="0" borderId="0" xfId="0" applyAlignment="1">
      <alignment horizontal="center"/>
    </xf>
    <xf numFmtId="164" fontId="112" fillId="0" borderId="0" xfId="0" applyNumberFormat="1" applyFont="1" applyAlignment="1" applyProtection="1">
      <alignment horizontal="center"/>
    </xf>
    <xf numFmtId="0" fontId="21" fillId="22" borderId="42" xfId="0" applyFont="1" applyFill="1" applyBorder="1" applyAlignment="1" applyProtection="1">
      <alignment horizontal="left" vertical="top" wrapText="1"/>
      <protection locked="0"/>
    </xf>
    <xf numFmtId="0" fontId="21" fillId="0" borderId="43" xfId="0" applyFont="1" applyBorder="1" applyAlignment="1">
      <alignment horizontal="left" vertical="top" wrapText="1"/>
    </xf>
    <xf numFmtId="0" fontId="21" fillId="0" borderId="44" xfId="0" applyFont="1" applyBorder="1" applyAlignment="1">
      <alignment horizontal="left" vertical="top" wrapText="1"/>
    </xf>
    <xf numFmtId="0" fontId="34" fillId="0" borderId="100" xfId="0" applyFont="1" applyBorder="1" applyAlignment="1" applyProtection="1">
      <alignment horizontal="center"/>
    </xf>
    <xf numFmtId="0" fontId="35" fillId="0" borderId="10" xfId="0" applyFont="1" applyBorder="1" applyAlignment="1" applyProtection="1">
      <alignment horizontal="center" vertical="center" wrapText="1"/>
    </xf>
    <xf numFmtId="9" fontId="2" fillId="0" borderId="42" xfId="84" applyNumberFormat="1" applyFont="1" applyBorder="1" applyAlignment="1" applyProtection="1">
      <alignment horizontal="center" vertical="center" wrapText="1"/>
    </xf>
    <xf numFmtId="9" fontId="2" fillId="0" borderId="43" xfId="84" applyNumberFormat="1" applyFont="1" applyBorder="1" applyAlignment="1" applyProtection="1">
      <alignment horizontal="center" vertical="center" wrapText="1"/>
    </xf>
    <xf numFmtId="9" fontId="2" fillId="0" borderId="44" xfId="84" applyNumberFormat="1" applyFont="1" applyBorder="1" applyAlignment="1" applyProtection="1">
      <alignment horizontal="center" vertical="center" wrapText="1"/>
    </xf>
    <xf numFmtId="0" fontId="22" fillId="35" borderId="42" xfId="0" applyFont="1" applyFill="1" applyBorder="1" applyAlignment="1" applyProtection="1">
      <alignment horizontal="left" vertical="center" wrapText="1"/>
    </xf>
    <xf numFmtId="0" fontId="22" fillId="35" borderId="43" xfId="0" applyFont="1" applyFill="1" applyBorder="1" applyAlignment="1" applyProtection="1">
      <alignment horizontal="left" vertical="center" wrapText="1"/>
    </xf>
    <xf numFmtId="0" fontId="22" fillId="35" borderId="44" xfId="0" applyFont="1" applyFill="1" applyBorder="1" applyAlignment="1" applyProtection="1">
      <alignment horizontal="left" vertical="center" wrapText="1"/>
    </xf>
    <xf numFmtId="9" fontId="22" fillId="46" borderId="10" xfId="84" applyFont="1" applyFill="1" applyBorder="1" applyAlignment="1" applyProtection="1">
      <alignment horizontal="left" vertical="center" wrapText="1"/>
      <protection locked="0"/>
    </xf>
    <xf numFmtId="0" fontId="35" fillId="20" borderId="0" xfId="0" applyFont="1" applyFill="1" applyAlignment="1" applyProtection="1">
      <alignment horizontal="center" vertical="center" wrapText="1"/>
    </xf>
    <xf numFmtId="0" fontId="144" fillId="20" borderId="10" xfId="0" applyFont="1" applyFill="1" applyBorder="1" applyAlignment="1" applyProtection="1">
      <alignment vertical="center" wrapText="1"/>
    </xf>
    <xf numFmtId="9" fontId="29" fillId="41" borderId="42" xfId="61" applyFont="1" applyFill="1" applyBorder="1" applyAlignment="1" applyProtection="1">
      <alignment horizontal="center" vertical="center" wrapText="1"/>
    </xf>
    <xf numFmtId="9" fontId="29" fillId="41" borderId="43" xfId="61" applyFont="1" applyFill="1" applyBorder="1" applyAlignment="1" applyProtection="1">
      <alignment horizontal="center" vertical="center" wrapText="1"/>
    </xf>
    <xf numFmtId="9" fontId="29" fillId="41" borderId="44" xfId="61" applyFont="1" applyFill="1" applyBorder="1" applyAlignment="1" applyProtection="1">
      <alignment horizontal="center" vertical="center" wrapText="1"/>
    </xf>
    <xf numFmtId="0" fontId="35" fillId="20" borderId="0" xfId="0" applyFont="1" applyFill="1" applyAlignment="1" applyProtection="1">
      <alignment horizontal="left"/>
      <protection locked="0"/>
    </xf>
    <xf numFmtId="0" fontId="35" fillId="20" borderId="40" xfId="0" applyFont="1" applyFill="1" applyBorder="1" applyAlignment="1" applyProtection="1">
      <alignment horizontal="left"/>
      <protection locked="0"/>
    </xf>
    <xf numFmtId="0" fontId="35" fillId="20" borderId="131" xfId="0" applyFont="1" applyFill="1" applyBorder="1" applyAlignment="1" applyProtection="1">
      <alignment horizontal="left"/>
      <protection locked="0"/>
    </xf>
    <xf numFmtId="0" fontId="35" fillId="20" borderId="0" xfId="0" applyFont="1" applyFill="1" applyBorder="1" applyAlignment="1" applyProtection="1">
      <alignment horizontal="left"/>
      <protection locked="0"/>
    </xf>
    <xf numFmtId="0" fontId="35" fillId="20" borderId="97" xfId="0" applyFont="1" applyFill="1" applyBorder="1" applyAlignment="1" applyProtection="1">
      <alignment horizontal="left"/>
    </xf>
    <xf numFmtId="0" fontId="35" fillId="20" borderId="97" xfId="0" applyFont="1" applyFill="1" applyBorder="1" applyAlignment="1" applyProtection="1">
      <alignment horizontal="left" vertical="center" wrapText="1"/>
    </xf>
    <xf numFmtId="0" fontId="35" fillId="20" borderId="0" xfId="0" applyFont="1" applyFill="1" applyBorder="1" applyAlignment="1" applyProtection="1">
      <alignment horizontal="left"/>
    </xf>
    <xf numFmtId="0" fontId="0" fillId="35" borderId="43" xfId="0" applyFill="1" applyBorder="1" applyAlignment="1">
      <alignment vertical="center" wrapText="1"/>
    </xf>
    <xf numFmtId="0" fontId="0" fillId="35" borderId="44" xfId="0" applyFill="1" applyBorder="1" applyAlignment="1">
      <alignment vertical="center" wrapText="1"/>
    </xf>
    <xf numFmtId="0" fontId="35" fillId="22" borderId="42" xfId="0" applyFont="1" applyFill="1" applyBorder="1" applyAlignment="1" applyProtection="1">
      <alignment horizontal="left" vertical="top" wrapText="1"/>
      <protection locked="0"/>
    </xf>
    <xf numFmtId="0" fontId="0" fillId="0" borderId="43" xfId="0" applyBorder="1" applyAlignment="1">
      <alignment horizontal="left" vertical="top" wrapText="1"/>
    </xf>
    <xf numFmtId="0" fontId="0" fillId="0" borderId="44" xfId="0" applyBorder="1" applyAlignment="1">
      <alignment horizontal="left" vertical="top" wrapText="1"/>
    </xf>
    <xf numFmtId="0" fontId="143" fillId="0" borderId="10" xfId="0" applyFont="1" applyBorder="1" applyAlignment="1" applyProtection="1">
      <alignment vertical="center" wrapText="1"/>
    </xf>
    <xf numFmtId="9" fontId="140" fillId="31" borderId="42" xfId="61" applyFont="1" applyFill="1" applyBorder="1" applyAlignment="1" applyProtection="1">
      <alignment horizontal="center" vertical="center" wrapText="1"/>
    </xf>
    <xf numFmtId="9" fontId="140" fillId="31" borderId="44" xfId="61" applyFont="1" applyFill="1" applyBorder="1" applyAlignment="1" applyProtection="1">
      <alignment horizontal="center" vertical="center" wrapText="1"/>
    </xf>
    <xf numFmtId="9" fontId="141" fillId="34" borderId="42" xfId="61" applyFont="1" applyFill="1" applyBorder="1" applyAlignment="1" applyProtection="1">
      <alignment horizontal="center" vertical="center" wrapText="1"/>
    </xf>
    <xf numFmtId="9" fontId="141" fillId="34" borderId="44" xfId="61" applyFont="1" applyFill="1" applyBorder="1" applyAlignment="1" applyProtection="1">
      <alignment horizontal="center" vertical="center" wrapText="1"/>
    </xf>
    <xf numFmtId="0" fontId="143" fillId="0" borderId="10" xfId="0" applyFont="1" applyBorder="1" applyAlignment="1" applyProtection="1">
      <alignment horizontal="center" vertical="center" wrapText="1"/>
    </xf>
    <xf numFmtId="49" fontId="143" fillId="0" borderId="10" xfId="0" applyNumberFormat="1" applyFont="1" applyBorder="1" applyAlignment="1" applyProtection="1">
      <alignment vertical="center" wrapText="1"/>
    </xf>
    <xf numFmtId="0" fontId="35" fillId="0" borderId="42" xfId="0" applyFont="1" applyBorder="1" applyAlignment="1" applyProtection="1">
      <alignment horizontal="center" vertical="center"/>
    </xf>
    <xf numFmtId="0" fontId="35" fillId="0" borderId="43" xfId="0" applyFont="1" applyBorder="1" applyAlignment="1" applyProtection="1">
      <alignment horizontal="center" vertical="center"/>
    </xf>
    <xf numFmtId="0" fontId="35" fillId="0" borderId="44" xfId="0" applyFont="1" applyBorder="1" applyAlignment="1" applyProtection="1">
      <alignment horizontal="center" vertical="center"/>
    </xf>
    <xf numFmtId="9" fontId="29" fillId="0" borderId="42" xfId="61" applyFont="1" applyFill="1" applyBorder="1" applyAlignment="1" applyProtection="1">
      <alignment horizontal="center" vertical="center" wrapText="1"/>
    </xf>
    <xf numFmtId="9" fontId="29" fillId="0" borderId="43" xfId="61" applyFont="1" applyFill="1" applyBorder="1" applyAlignment="1" applyProtection="1">
      <alignment horizontal="center" vertical="center" wrapText="1"/>
    </xf>
    <xf numFmtId="9" fontId="29" fillId="0" borderId="44" xfId="61" applyFont="1" applyFill="1" applyBorder="1" applyAlignment="1" applyProtection="1">
      <alignment horizontal="center" vertical="center" wrapText="1"/>
    </xf>
    <xf numFmtId="9" fontId="157" fillId="31" borderId="42" xfId="61" applyFont="1" applyFill="1" applyBorder="1" applyAlignment="1" applyProtection="1">
      <alignment horizontal="center" vertical="center" wrapText="1"/>
    </xf>
    <xf numFmtId="9" fontId="157" fillId="31" borderId="44" xfId="61" applyFont="1" applyFill="1" applyBorder="1" applyAlignment="1" applyProtection="1">
      <alignment horizontal="center" vertical="center" wrapText="1"/>
    </xf>
    <xf numFmtId="9" fontId="38" fillId="34" borderId="42" xfId="61" applyFont="1" applyFill="1" applyBorder="1" applyAlignment="1" applyProtection="1">
      <alignment horizontal="center" vertical="center" wrapText="1"/>
    </xf>
    <xf numFmtId="9" fontId="38" fillId="34" borderId="44" xfId="61" applyFont="1" applyFill="1" applyBorder="1" applyAlignment="1" applyProtection="1">
      <alignment horizontal="center" vertical="center" wrapText="1"/>
    </xf>
    <xf numFmtId="0" fontId="2" fillId="35" borderId="10" xfId="0" applyFont="1" applyFill="1" applyBorder="1" applyAlignment="1" applyProtection="1">
      <alignment vertical="center" wrapText="1"/>
    </xf>
    <xf numFmtId="0" fontId="2" fillId="35" borderId="42" xfId="0" applyFont="1" applyFill="1" applyBorder="1" applyAlignment="1" applyProtection="1">
      <alignment vertical="center" wrapText="1"/>
    </xf>
    <xf numFmtId="0" fontId="2" fillId="35" borderId="43" xfId="0" applyFont="1" applyFill="1" applyBorder="1" applyAlignment="1" applyProtection="1">
      <alignment vertical="center" wrapText="1"/>
    </xf>
    <xf numFmtId="0" fontId="2" fillId="35" borderId="44" xfId="0" applyFont="1" applyFill="1" applyBorder="1" applyAlignment="1" applyProtection="1">
      <alignment vertical="center" wrapText="1"/>
    </xf>
    <xf numFmtId="9" fontId="22" fillId="46" borderId="43" xfId="84" applyFont="1" applyFill="1" applyBorder="1" applyAlignment="1" applyProtection="1">
      <alignment horizontal="left" vertical="center" wrapText="1"/>
      <protection locked="0"/>
    </xf>
    <xf numFmtId="9" fontId="22" fillId="46" borderId="44" xfId="84" applyFont="1" applyFill="1" applyBorder="1" applyAlignment="1" applyProtection="1">
      <alignment horizontal="left" vertical="center" wrapText="1"/>
      <protection locked="0"/>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0" fontId="0" fillId="35" borderId="44" xfId="0" applyFill="1" applyBorder="1" applyAlignment="1">
      <alignment horizontal="left" vertical="center" wrapText="1"/>
    </xf>
    <xf numFmtId="0" fontId="3" fillId="22" borderId="132" xfId="0" applyFont="1" applyFill="1" applyBorder="1" applyAlignment="1" applyProtection="1">
      <alignment horizontal="center" vertical="top" wrapText="1"/>
      <protection locked="0"/>
    </xf>
    <xf numFmtId="0" fontId="3" fillId="22" borderId="133" xfId="0" applyFont="1" applyFill="1" applyBorder="1" applyAlignment="1" applyProtection="1">
      <alignment horizontal="center" vertical="top" wrapText="1"/>
      <protection locked="0"/>
    </xf>
    <xf numFmtId="0" fontId="3" fillId="22" borderId="134" xfId="0" applyFont="1" applyFill="1" applyBorder="1" applyAlignment="1" applyProtection="1">
      <alignment horizontal="center" vertical="top" wrapText="1"/>
      <protection locked="0"/>
    </xf>
    <xf numFmtId="0" fontId="81" fillId="0" borderId="135" xfId="0" applyNumberFormat="1" applyFont="1" applyFill="1" applyBorder="1" applyAlignment="1" applyProtection="1">
      <alignment horizontal="left" vertical="top" wrapText="1"/>
    </xf>
    <xf numFmtId="0" fontId="81" fillId="0" borderId="136" xfId="0" applyNumberFormat="1" applyFont="1" applyFill="1" applyBorder="1" applyAlignment="1" applyProtection="1">
      <alignment horizontal="left" vertical="top" wrapText="1"/>
    </xf>
    <xf numFmtId="0" fontId="81" fillId="0" borderId="137" xfId="0" applyNumberFormat="1" applyFont="1" applyFill="1" applyBorder="1" applyAlignment="1" applyProtection="1">
      <alignment horizontal="left" vertical="top" wrapText="1"/>
    </xf>
    <xf numFmtId="49" fontId="3" fillId="26" borderId="138" xfId="0" applyNumberFormat="1" applyFont="1" applyFill="1" applyBorder="1" applyAlignment="1" applyProtection="1">
      <alignment horizontal="center" vertical="center"/>
      <protection locked="0"/>
    </xf>
    <xf numFmtId="49" fontId="3" fillId="26" borderId="139" xfId="0" applyNumberFormat="1" applyFont="1" applyFill="1" applyBorder="1" applyAlignment="1" applyProtection="1">
      <alignment horizontal="center" vertical="center"/>
      <protection locked="0"/>
    </xf>
    <xf numFmtId="49" fontId="3" fillId="26" borderId="140" xfId="0" applyNumberFormat="1" applyFont="1" applyFill="1" applyBorder="1" applyAlignment="1" applyProtection="1">
      <alignment horizontal="center" vertical="center"/>
      <protection locked="0"/>
    </xf>
    <xf numFmtId="0" fontId="81" fillId="0" borderId="0" xfId="0" applyNumberFormat="1" applyFont="1" applyFill="1" applyBorder="1" applyAlignment="1" applyProtection="1">
      <alignment horizontal="left" vertical="top" wrapText="1"/>
    </xf>
    <xf numFmtId="0" fontId="81" fillId="0" borderId="141" xfId="0" applyNumberFormat="1" applyFont="1" applyFill="1" applyBorder="1" applyAlignment="1" applyProtection="1">
      <alignment horizontal="left" vertical="top" wrapText="1"/>
    </xf>
    <xf numFmtId="0" fontId="122" fillId="25" borderId="157" xfId="0" applyFont="1" applyFill="1" applyBorder="1" applyAlignment="1" applyProtection="1">
      <alignment horizontal="center" vertical="center"/>
    </xf>
    <xf numFmtId="0" fontId="122" fillId="25" borderId="158" xfId="0" applyFont="1" applyFill="1" applyBorder="1" applyAlignment="1" applyProtection="1">
      <alignment horizontal="center" vertical="center"/>
    </xf>
    <xf numFmtId="0" fontId="0" fillId="0" borderId="158" xfId="0" applyBorder="1" applyAlignment="1">
      <alignment horizontal="center" vertical="center"/>
    </xf>
    <xf numFmtId="0" fontId="0" fillId="0" borderId="159" xfId="0" applyBorder="1" applyAlignment="1">
      <alignment horizontal="center" vertical="center"/>
    </xf>
    <xf numFmtId="0" fontId="122" fillId="25" borderId="160" xfId="0" applyFont="1" applyFill="1" applyBorder="1" applyAlignment="1" applyProtection="1">
      <alignment horizontal="center" vertical="center"/>
    </xf>
    <xf numFmtId="0" fontId="122" fillId="25" borderId="161" xfId="0" applyFont="1" applyFill="1" applyBorder="1" applyAlignment="1" applyProtection="1">
      <alignment horizontal="center" vertical="center"/>
    </xf>
    <xf numFmtId="0" fontId="122" fillId="25" borderId="162" xfId="0" applyFont="1" applyFill="1" applyBorder="1" applyAlignment="1" applyProtection="1">
      <alignment horizontal="center" vertical="center"/>
    </xf>
    <xf numFmtId="0" fontId="3" fillId="25" borderId="165" xfId="0" applyFont="1" applyFill="1" applyBorder="1" applyAlignment="1" applyProtection="1">
      <alignment horizontal="left" vertical="top" wrapText="1"/>
      <protection locked="0"/>
    </xf>
    <xf numFmtId="0" fontId="3" fillId="25" borderId="166" xfId="0" applyFont="1" applyFill="1" applyBorder="1" applyAlignment="1" applyProtection="1">
      <alignment horizontal="left" vertical="top" wrapText="1"/>
      <protection locked="0"/>
    </xf>
    <xf numFmtId="0" fontId="3" fillId="25" borderId="167" xfId="0" applyFont="1" applyFill="1" applyBorder="1" applyAlignment="1" applyProtection="1">
      <alignment horizontal="left" vertical="top" wrapText="1"/>
      <protection locked="0"/>
    </xf>
    <xf numFmtId="0" fontId="81" fillId="0" borderId="168" xfId="0" applyNumberFormat="1" applyFont="1" applyFill="1" applyBorder="1" applyAlignment="1" applyProtection="1">
      <alignment horizontal="left" vertical="top" wrapText="1"/>
    </xf>
    <xf numFmtId="0" fontId="81" fillId="0" borderId="169" xfId="0" applyNumberFormat="1" applyFont="1" applyFill="1" applyBorder="1" applyAlignment="1" applyProtection="1">
      <alignment horizontal="left" vertical="top" wrapText="1"/>
    </xf>
    <xf numFmtId="0" fontId="81" fillId="0" borderId="170" xfId="0" applyNumberFormat="1" applyFont="1" applyFill="1" applyBorder="1" applyAlignment="1" applyProtection="1">
      <alignment horizontal="left" vertical="top" wrapText="1"/>
    </xf>
    <xf numFmtId="0" fontId="81" fillId="0" borderId="171" xfId="0" applyNumberFormat="1" applyFont="1" applyFill="1" applyBorder="1" applyAlignment="1" applyProtection="1">
      <alignment horizontal="left" vertical="top" wrapText="1"/>
    </xf>
    <xf numFmtId="0" fontId="3" fillId="25" borderId="172" xfId="0" applyFont="1" applyFill="1" applyBorder="1" applyAlignment="1" applyProtection="1">
      <alignment horizontal="left" vertical="top" wrapText="1"/>
      <protection locked="0"/>
    </xf>
    <xf numFmtId="0" fontId="3" fillId="25" borderId="173" xfId="0" applyFont="1" applyFill="1" applyBorder="1" applyAlignment="1" applyProtection="1">
      <alignment horizontal="left" vertical="top" wrapText="1"/>
      <protection locked="0"/>
    </xf>
    <xf numFmtId="0" fontId="3" fillId="25" borderId="174" xfId="0" applyFont="1" applyFill="1" applyBorder="1" applyAlignment="1" applyProtection="1">
      <alignment horizontal="left" vertical="top" wrapText="1"/>
      <protection locked="0"/>
    </xf>
    <xf numFmtId="9" fontId="3" fillId="0" borderId="163" xfId="61" applyNumberFormat="1" applyFont="1" applyFill="1" applyBorder="1" applyAlignment="1" applyProtection="1">
      <alignment horizontal="left" vertical="center" wrapText="1"/>
    </xf>
    <xf numFmtId="0" fontId="3" fillId="0" borderId="139" xfId="61" applyNumberFormat="1" applyFont="1" applyFill="1" applyBorder="1" applyAlignment="1" applyProtection="1">
      <alignment horizontal="left" vertical="center" wrapText="1"/>
    </xf>
    <xf numFmtId="0" fontId="3" fillId="0" borderId="164" xfId="61" applyNumberFormat="1" applyFont="1" applyFill="1" applyBorder="1" applyAlignment="1" applyProtection="1">
      <alignment horizontal="left" vertical="center" wrapText="1"/>
    </xf>
    <xf numFmtId="0" fontId="128" fillId="0" borderId="0" xfId="0" applyFont="1" applyBorder="1" applyAlignment="1" applyProtection="1">
      <alignment horizontal="center"/>
    </xf>
    <xf numFmtId="0" fontId="112" fillId="0" borderId="0" xfId="0" applyFont="1" applyBorder="1" applyAlignment="1" applyProtection="1">
      <alignment horizontal="center"/>
    </xf>
    <xf numFmtId="0" fontId="80" fillId="19" borderId="12" xfId="0" applyFont="1" applyFill="1" applyBorder="1" applyAlignment="1" applyProtection="1">
      <alignment horizontal="center" vertical="center"/>
    </xf>
    <xf numFmtId="0" fontId="61" fillId="26" borderId="145" xfId="0" applyFont="1" applyFill="1" applyBorder="1" applyAlignment="1" applyProtection="1">
      <alignment horizontal="center" vertical="center"/>
    </xf>
    <xf numFmtId="0" fontId="61" fillId="26" borderId="146" xfId="0" applyFont="1" applyFill="1" applyBorder="1" applyAlignment="1" applyProtection="1">
      <alignment horizontal="center" vertical="center"/>
    </xf>
    <xf numFmtId="0" fontId="61" fillId="26" borderId="147" xfId="0" applyFont="1" applyFill="1" applyBorder="1" applyAlignment="1" applyProtection="1">
      <alignment horizontal="center" vertical="center"/>
    </xf>
    <xf numFmtId="0" fontId="81" fillId="0" borderId="14" xfId="0" applyNumberFormat="1" applyFont="1" applyFill="1" applyBorder="1" applyAlignment="1" applyProtection="1">
      <alignment horizontal="left" vertical="top" wrapText="1"/>
    </xf>
    <xf numFmtId="0" fontId="81" fillId="0" borderId="148" xfId="0" applyNumberFormat="1" applyFont="1" applyFill="1" applyBorder="1" applyAlignment="1" applyProtection="1">
      <alignment horizontal="left" vertical="top" wrapText="1"/>
    </xf>
    <xf numFmtId="0" fontId="81" fillId="0" borderId="149" xfId="0" applyNumberFormat="1" applyFont="1" applyFill="1" applyBorder="1" applyAlignment="1" applyProtection="1">
      <alignment horizontal="left" vertical="top" wrapText="1"/>
    </xf>
    <xf numFmtId="0" fontId="81" fillId="0" borderId="150" xfId="0" applyNumberFormat="1" applyFont="1" applyFill="1" applyBorder="1" applyAlignment="1" applyProtection="1">
      <alignment horizontal="left" vertical="top" wrapText="1"/>
    </xf>
    <xf numFmtId="0" fontId="81" fillId="0" borderId="151" xfId="0" applyNumberFormat="1" applyFont="1" applyFill="1" applyBorder="1" applyAlignment="1" applyProtection="1">
      <alignment horizontal="left" vertical="top" wrapText="1"/>
    </xf>
    <xf numFmtId="49" fontId="3" fillId="26" borderId="152" xfId="0" applyNumberFormat="1" applyFont="1" applyFill="1" applyBorder="1" applyAlignment="1" applyProtection="1">
      <alignment horizontal="center" vertical="center"/>
      <protection locked="0"/>
    </xf>
    <xf numFmtId="49" fontId="3" fillId="26" borderId="14" xfId="0" applyNumberFormat="1" applyFont="1" applyFill="1" applyBorder="1" applyAlignment="1" applyProtection="1">
      <alignment horizontal="center" vertical="center"/>
      <protection locked="0"/>
    </xf>
    <xf numFmtId="49" fontId="3" fillId="26" borderId="148"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xf>
    <xf numFmtId="0" fontId="79" fillId="0" borderId="153" xfId="0" applyFont="1" applyFill="1" applyBorder="1" applyAlignment="1" applyProtection="1">
      <alignment horizontal="center"/>
    </xf>
    <xf numFmtId="49" fontId="3" fillId="26" borderId="154" xfId="0" applyNumberFormat="1" applyFont="1" applyFill="1" applyBorder="1" applyAlignment="1" applyProtection="1">
      <alignment horizontal="center" vertical="center"/>
      <protection locked="0"/>
    </xf>
    <xf numFmtId="49" fontId="3" fillId="26" borderId="155" xfId="0" applyNumberFormat="1" applyFont="1" applyFill="1" applyBorder="1" applyAlignment="1" applyProtection="1">
      <alignment horizontal="center" vertical="center"/>
      <protection locked="0"/>
    </xf>
    <xf numFmtId="49" fontId="3" fillId="26" borderId="156" xfId="0" applyNumberFormat="1" applyFont="1" applyFill="1" applyBorder="1" applyAlignment="1" applyProtection="1">
      <alignment horizontal="center" vertical="center"/>
      <protection locked="0"/>
    </xf>
    <xf numFmtId="0" fontId="79" fillId="0" borderId="175" xfId="0" applyFont="1" applyFill="1" applyBorder="1" applyAlignment="1" applyProtection="1">
      <alignment horizontal="center"/>
    </xf>
    <xf numFmtId="0" fontId="3" fillId="25" borderId="176" xfId="0" applyFont="1" applyFill="1" applyBorder="1" applyAlignment="1" applyProtection="1">
      <alignment horizontal="left" vertical="top" wrapText="1"/>
      <protection locked="0"/>
    </xf>
    <xf numFmtId="0" fontId="3" fillId="25" borderId="177" xfId="0" applyFont="1" applyFill="1" applyBorder="1" applyAlignment="1" applyProtection="1">
      <alignment horizontal="left" vertical="top" wrapText="1"/>
      <protection locked="0"/>
    </xf>
    <xf numFmtId="0" fontId="3" fillId="25" borderId="178" xfId="0" applyFont="1" applyFill="1" applyBorder="1" applyAlignment="1" applyProtection="1">
      <alignment horizontal="left" vertical="top" wrapText="1"/>
      <protection locked="0"/>
    </xf>
    <xf numFmtId="0" fontId="3" fillId="22" borderId="179" xfId="0" applyFont="1" applyFill="1" applyBorder="1" applyAlignment="1" applyProtection="1">
      <alignment horizontal="center" vertical="top" wrapText="1"/>
      <protection locked="0"/>
    </xf>
    <xf numFmtId="0" fontId="3" fillId="22" borderId="180" xfId="0" applyFont="1" applyFill="1" applyBorder="1" applyAlignment="1" applyProtection="1">
      <alignment horizontal="center" vertical="top" wrapText="1"/>
      <protection locked="0"/>
    </xf>
    <xf numFmtId="0" fontId="3" fillId="22" borderId="181" xfId="0" applyFont="1" applyFill="1" applyBorder="1" applyAlignment="1" applyProtection="1">
      <alignment horizontal="center" vertical="top" wrapText="1"/>
      <protection locked="0"/>
    </xf>
    <xf numFmtId="0" fontId="3" fillId="0" borderId="163" xfId="61" applyNumberFormat="1" applyFont="1" applyFill="1" applyBorder="1" applyAlignment="1" applyProtection="1">
      <alignment horizontal="left" vertical="center" wrapText="1"/>
    </xf>
    <xf numFmtId="0" fontId="81" fillId="0" borderId="182" xfId="0" applyNumberFormat="1" applyFont="1" applyFill="1" applyBorder="1" applyAlignment="1" applyProtection="1">
      <alignment horizontal="left" vertical="top" wrapText="1"/>
    </xf>
    <xf numFmtId="0" fontId="81" fillId="0" borderId="183" xfId="0" applyNumberFormat="1" applyFont="1" applyFill="1" applyBorder="1" applyAlignment="1" applyProtection="1">
      <alignment horizontal="left" vertical="top" wrapText="1"/>
    </xf>
    <xf numFmtId="0" fontId="81" fillId="0" borderId="184" xfId="0" applyNumberFormat="1" applyFont="1" applyFill="1" applyBorder="1" applyAlignment="1" applyProtection="1">
      <alignment horizontal="left" vertical="top" wrapText="1"/>
    </xf>
    <xf numFmtId="9" fontId="3" fillId="0" borderId="185" xfId="61" applyNumberFormat="1" applyFont="1" applyFill="1" applyBorder="1" applyAlignment="1" applyProtection="1">
      <alignment horizontal="left" vertical="center" wrapText="1"/>
    </xf>
    <xf numFmtId="0" fontId="3" fillId="0" borderId="186" xfId="61" applyNumberFormat="1" applyFont="1" applyFill="1" applyBorder="1" applyAlignment="1" applyProtection="1">
      <alignment horizontal="left" vertical="center" wrapText="1"/>
    </xf>
    <xf numFmtId="0" fontId="3" fillId="0" borderId="187" xfId="61" applyNumberFormat="1" applyFont="1" applyFill="1" applyBorder="1" applyAlignment="1" applyProtection="1">
      <alignment horizontal="left" vertical="center" wrapText="1"/>
    </xf>
    <xf numFmtId="0" fontId="61" fillId="22" borderId="188" xfId="0" applyFont="1" applyFill="1" applyBorder="1" applyAlignment="1" applyProtection="1">
      <alignment horizontal="center" vertical="center"/>
    </xf>
    <xf numFmtId="0" fontId="61" fillId="22" borderId="189" xfId="0" applyFont="1" applyFill="1" applyBorder="1" applyAlignment="1" applyProtection="1">
      <alignment horizontal="center" vertical="center"/>
    </xf>
    <xf numFmtId="0" fontId="61" fillId="22" borderId="190" xfId="0" applyFont="1" applyFill="1" applyBorder="1" applyAlignment="1" applyProtection="1">
      <alignment horizontal="center" vertical="center"/>
    </xf>
    <xf numFmtId="0" fontId="81" fillId="0" borderId="191" xfId="0" applyNumberFormat="1" applyFont="1" applyFill="1" applyBorder="1" applyAlignment="1" applyProtection="1">
      <alignment horizontal="left" vertical="center" wrapText="1"/>
    </xf>
    <xf numFmtId="0" fontId="81" fillId="0" borderId="192" xfId="0" applyNumberFormat="1" applyFont="1" applyFill="1" applyBorder="1" applyAlignment="1" applyProtection="1">
      <alignment horizontal="left" vertical="center" wrapText="1"/>
    </xf>
    <xf numFmtId="0" fontId="81" fillId="0" borderId="193" xfId="0" applyNumberFormat="1" applyFont="1" applyFill="1" applyBorder="1" applyAlignment="1" applyProtection="1">
      <alignment horizontal="left" vertical="center" wrapText="1"/>
    </xf>
    <xf numFmtId="0" fontId="3" fillId="22" borderId="142" xfId="0" applyFont="1" applyFill="1" applyBorder="1" applyAlignment="1" applyProtection="1">
      <alignment horizontal="center" vertical="top" wrapText="1"/>
      <protection locked="0"/>
    </xf>
    <xf numFmtId="0" fontId="3" fillId="22" borderId="143" xfId="0" applyFont="1" applyFill="1" applyBorder="1" applyAlignment="1" applyProtection="1">
      <alignment horizontal="center" vertical="top" wrapText="1"/>
      <protection locked="0"/>
    </xf>
    <xf numFmtId="0" fontId="3" fillId="22" borderId="144" xfId="0" applyFont="1" applyFill="1" applyBorder="1" applyAlignment="1" applyProtection="1">
      <alignment horizontal="center" vertical="top" wrapText="1"/>
      <protection locked="0"/>
    </xf>
    <xf numFmtId="0" fontId="3" fillId="22" borderId="132" xfId="0" applyFont="1" applyFill="1" applyBorder="1" applyAlignment="1" applyProtection="1">
      <alignment horizontal="left" vertical="top" wrapText="1"/>
      <protection locked="0"/>
    </xf>
    <xf numFmtId="0" fontId="3" fillId="22" borderId="133" xfId="0" applyFont="1" applyFill="1" applyBorder="1" applyAlignment="1" applyProtection="1">
      <alignment horizontal="left" vertical="top" wrapText="1"/>
      <protection locked="0"/>
    </xf>
    <xf numFmtId="0" fontId="3" fillId="22" borderId="134" xfId="0" applyFont="1" applyFill="1" applyBorder="1" applyAlignment="1" applyProtection="1">
      <alignment horizontal="left" vertical="top" wrapText="1"/>
      <protection locked="0"/>
    </xf>
    <xf numFmtId="0" fontId="22" fillId="0" borderId="203" xfId="0" applyFont="1" applyFill="1" applyBorder="1" applyAlignment="1" applyProtection="1">
      <alignment horizontal="left" wrapText="1"/>
      <protection locked="0"/>
    </xf>
    <xf numFmtId="0" fontId="22" fillId="0" borderId="204" xfId="0" applyFont="1" applyFill="1" applyBorder="1" applyAlignment="1" applyProtection="1">
      <alignment horizontal="left" wrapText="1"/>
      <protection locked="0"/>
    </xf>
    <xf numFmtId="0" fontId="22" fillId="0" borderId="205" xfId="0" applyFont="1" applyFill="1" applyBorder="1" applyAlignment="1" applyProtection="1">
      <alignment horizontal="left" wrapText="1"/>
      <protection locked="0"/>
    </xf>
    <xf numFmtId="0" fontId="22" fillId="0" borderId="206" xfId="0" applyFont="1" applyFill="1" applyBorder="1" applyAlignment="1" applyProtection="1">
      <alignment horizontal="left" wrapText="1"/>
      <protection locked="0"/>
    </xf>
    <xf numFmtId="0" fontId="22" fillId="0" borderId="207" xfId="0" applyFont="1" applyFill="1" applyBorder="1" applyAlignment="1" applyProtection="1">
      <alignment horizontal="left" vertical="top" wrapText="1"/>
      <protection locked="0"/>
    </xf>
    <xf numFmtId="0" fontId="22" fillId="0" borderId="208" xfId="0" applyFont="1" applyFill="1" applyBorder="1" applyAlignment="1" applyProtection="1">
      <alignment horizontal="left" vertical="top" wrapText="1"/>
      <protection locked="0"/>
    </xf>
    <xf numFmtId="0" fontId="22" fillId="0" borderId="209" xfId="0" applyFont="1" applyFill="1" applyBorder="1" applyAlignment="1" applyProtection="1">
      <alignment horizontal="left" vertical="top" wrapText="1"/>
      <protection locked="0"/>
    </xf>
    <xf numFmtId="0" fontId="22" fillId="0" borderId="201" xfId="0" applyFont="1" applyFill="1" applyBorder="1" applyAlignment="1" applyProtection="1">
      <alignment horizontal="left" vertical="top" wrapText="1"/>
      <protection locked="0"/>
    </xf>
    <xf numFmtId="0" fontId="22" fillId="0" borderId="155" xfId="0" applyFont="1" applyFill="1" applyBorder="1" applyAlignment="1" applyProtection="1">
      <alignment horizontal="left" vertical="top" wrapText="1"/>
      <protection locked="0"/>
    </xf>
    <xf numFmtId="0" fontId="22" fillId="0" borderId="202" xfId="0" applyFont="1" applyFill="1" applyBorder="1" applyAlignment="1" applyProtection="1">
      <alignment horizontal="left" vertical="top" wrapText="1"/>
      <protection locked="0"/>
    </xf>
    <xf numFmtId="0" fontId="78" fillId="21" borderId="210" xfId="52" applyNumberFormat="1" applyFont="1" applyFill="1" applyBorder="1" applyAlignment="1">
      <alignment horizontal="center" vertical="center" wrapText="1"/>
    </xf>
    <xf numFmtId="0" fontId="78" fillId="21" borderId="13" xfId="52" applyNumberFormat="1" applyFont="1" applyFill="1" applyBorder="1" applyAlignment="1">
      <alignment horizontal="center" vertical="center" wrapText="1"/>
    </xf>
    <xf numFmtId="0" fontId="22" fillId="0" borderId="211" xfId="0" applyFont="1" applyFill="1" applyBorder="1" applyAlignment="1" applyProtection="1">
      <alignment horizontal="left"/>
      <protection locked="0"/>
    </xf>
    <xf numFmtId="0" fontId="22" fillId="0" borderId="212" xfId="0" applyFont="1" applyFill="1" applyBorder="1" applyAlignment="1" applyProtection="1">
      <alignment horizontal="left"/>
      <protection locked="0"/>
    </xf>
    <xf numFmtId="0" fontId="22" fillId="0" borderId="229" xfId="0" applyFont="1" applyFill="1" applyBorder="1" applyAlignment="1" applyProtection="1">
      <alignment horizontal="left" wrapText="1"/>
      <protection locked="0"/>
    </xf>
    <xf numFmtId="0" fontId="22" fillId="0" borderId="35" xfId="0" applyFont="1" applyFill="1" applyBorder="1" applyAlignment="1" applyProtection="1">
      <alignment horizontal="left" wrapText="1"/>
      <protection locked="0"/>
    </xf>
    <xf numFmtId="0" fontId="22" fillId="0" borderId="220" xfId="0" applyFont="1" applyFill="1" applyBorder="1" applyAlignment="1" applyProtection="1">
      <alignment horizontal="left" wrapText="1"/>
      <protection locked="0"/>
    </xf>
    <xf numFmtId="0" fontId="22" fillId="0" borderId="211" xfId="0" applyFont="1" applyFill="1" applyBorder="1" applyAlignment="1" applyProtection="1">
      <alignment horizontal="left" wrapText="1"/>
      <protection locked="0"/>
    </xf>
    <xf numFmtId="14" fontId="22" fillId="0" borderId="211" xfId="0" applyNumberFormat="1" applyFont="1" applyFill="1" applyBorder="1" applyAlignment="1" applyProtection="1">
      <alignment horizontal="left"/>
      <protection locked="0"/>
    </xf>
    <xf numFmtId="14" fontId="22" fillId="0" borderId="35" xfId="0" applyNumberFormat="1" applyFont="1" applyFill="1" applyBorder="1" applyAlignment="1" applyProtection="1">
      <alignment horizontal="left"/>
      <protection locked="0"/>
    </xf>
    <xf numFmtId="0" fontId="99" fillId="21" borderId="214" xfId="0" applyFont="1" applyFill="1" applyBorder="1" applyAlignment="1">
      <alignment horizontal="center" vertical="center" textRotation="90" wrapText="1"/>
    </xf>
    <xf numFmtId="0" fontId="99" fillId="21" borderId="215" xfId="0" applyFont="1" applyFill="1" applyBorder="1" applyAlignment="1">
      <alignment horizontal="center" vertical="center" textRotation="90" wrapText="1"/>
    </xf>
    <xf numFmtId="0" fontId="99" fillId="21" borderId="216" xfId="0" applyFont="1" applyFill="1" applyBorder="1" applyAlignment="1">
      <alignment horizontal="center" vertical="center" textRotation="90" wrapText="1"/>
    </xf>
    <xf numFmtId="0" fontId="78" fillId="21" borderId="217" xfId="52" applyNumberFormat="1" applyFont="1" applyFill="1" applyBorder="1" applyAlignment="1">
      <alignment horizontal="center" vertical="center" wrapText="1"/>
    </xf>
    <xf numFmtId="0" fontId="78" fillId="21" borderId="218" xfId="52" applyNumberFormat="1" applyFont="1" applyFill="1" applyBorder="1" applyAlignment="1">
      <alignment horizontal="center" vertical="center" wrapText="1"/>
    </xf>
    <xf numFmtId="0" fontId="78" fillId="21" borderId="219" xfId="52" applyNumberFormat="1" applyFont="1" applyFill="1" applyBorder="1" applyAlignment="1">
      <alignment horizontal="center" vertical="center" wrapText="1"/>
    </xf>
    <xf numFmtId="0" fontId="78" fillId="21" borderId="221" xfId="52" applyNumberFormat="1" applyFont="1" applyFill="1" applyBorder="1" applyAlignment="1">
      <alignment horizontal="center" vertical="center" wrapText="1"/>
    </xf>
    <xf numFmtId="0" fontId="22" fillId="0" borderId="222" xfId="0" applyFont="1" applyFill="1" applyBorder="1" applyAlignment="1" applyProtection="1">
      <alignment horizontal="left" wrapText="1"/>
      <protection locked="0"/>
    </xf>
    <xf numFmtId="0" fontId="22" fillId="0" borderId="223" xfId="0" applyFont="1" applyFill="1" applyBorder="1" applyAlignment="1" applyProtection="1">
      <alignment horizontal="left" wrapText="1"/>
      <protection locked="0"/>
    </xf>
    <xf numFmtId="0" fontId="22" fillId="0" borderId="207" xfId="0" applyFont="1" applyBorder="1" applyAlignment="1" applyProtection="1">
      <alignment horizontal="left"/>
      <protection locked="0"/>
    </xf>
    <xf numFmtId="0" fontId="22" fillId="0" borderId="208" xfId="0" applyFont="1" applyBorder="1" applyAlignment="1" applyProtection="1">
      <alignment horizontal="left"/>
      <protection locked="0"/>
    </xf>
    <xf numFmtId="0" fontId="22" fillId="0" borderId="209" xfId="0" applyFont="1" applyBorder="1" applyAlignment="1" applyProtection="1">
      <alignment horizontal="left"/>
      <protection locked="0"/>
    </xf>
    <xf numFmtId="0" fontId="22" fillId="0" borderId="201" xfId="0" applyFont="1" applyBorder="1" applyAlignment="1" applyProtection="1">
      <alignment horizontal="left"/>
      <protection locked="0"/>
    </xf>
    <xf numFmtId="0" fontId="22" fillId="0" borderId="155" xfId="0" applyFont="1" applyBorder="1" applyAlignment="1" applyProtection="1">
      <alignment horizontal="left"/>
      <protection locked="0"/>
    </xf>
    <xf numFmtId="0" fontId="22" fillId="0" borderId="202" xfId="0" applyFont="1" applyBorder="1" applyAlignment="1" applyProtection="1">
      <alignment horizontal="left"/>
      <protection locked="0"/>
    </xf>
    <xf numFmtId="0" fontId="22" fillId="0" borderId="198" xfId="0" applyFont="1" applyFill="1" applyBorder="1" applyAlignment="1" applyProtection="1">
      <alignment horizontal="left" vertical="top" wrapText="1"/>
      <protection locked="0"/>
    </xf>
    <xf numFmtId="0" fontId="22" fillId="0" borderId="199" xfId="0" applyFont="1" applyFill="1" applyBorder="1" applyAlignment="1" applyProtection="1">
      <alignment horizontal="left" vertical="top" wrapText="1"/>
      <protection locked="0"/>
    </xf>
    <xf numFmtId="0" fontId="22" fillId="0" borderId="224" xfId="0" applyFont="1" applyFill="1" applyBorder="1" applyAlignment="1" applyProtection="1">
      <alignment horizontal="left" vertical="top" wrapText="1"/>
      <protection locked="0"/>
    </xf>
    <xf numFmtId="0" fontId="22" fillId="0" borderId="206" xfId="0" applyFont="1" applyFill="1" applyBorder="1" applyAlignment="1" applyProtection="1">
      <alignment horizontal="left" vertical="top" wrapText="1"/>
      <protection locked="0"/>
    </xf>
    <xf numFmtId="0" fontId="22" fillId="0" borderId="207" xfId="0" applyFont="1" applyFill="1" applyBorder="1" applyAlignment="1" applyProtection="1">
      <alignment horizontal="left"/>
      <protection locked="0"/>
    </xf>
    <xf numFmtId="0" fontId="22" fillId="0" borderId="208" xfId="0" applyFont="1" applyFill="1" applyBorder="1" applyAlignment="1" applyProtection="1">
      <alignment horizontal="left"/>
      <protection locked="0"/>
    </xf>
    <xf numFmtId="0" fontId="22" fillId="0" borderId="204" xfId="0" applyFont="1" applyFill="1" applyBorder="1" applyAlignment="1" applyProtection="1">
      <alignment horizontal="left"/>
      <protection locked="0"/>
    </xf>
    <xf numFmtId="0" fontId="22" fillId="0" borderId="225" xfId="0" applyFont="1" applyFill="1" applyBorder="1" applyAlignment="1" applyProtection="1">
      <alignment horizontal="left"/>
      <protection locked="0"/>
    </xf>
    <xf numFmtId="0" fontId="22" fillId="0" borderId="226" xfId="0" applyFont="1" applyFill="1" applyBorder="1" applyAlignment="1" applyProtection="1">
      <alignment horizontal="left"/>
      <protection locked="0"/>
    </xf>
    <xf numFmtId="0" fontId="22" fillId="0" borderId="227" xfId="0" applyFont="1" applyFill="1" applyBorder="1" applyAlignment="1" applyProtection="1">
      <alignment horizontal="left"/>
      <protection locked="0"/>
    </xf>
    <xf numFmtId="0" fontId="22" fillId="0" borderId="225" xfId="0" applyFont="1" applyBorder="1" applyAlignment="1" applyProtection="1">
      <alignment horizontal="left"/>
      <protection locked="0"/>
    </xf>
    <xf numFmtId="0" fontId="22" fillId="0" borderId="226" xfId="0" applyFont="1" applyBorder="1" applyAlignment="1" applyProtection="1">
      <alignment horizontal="left"/>
      <protection locked="0"/>
    </xf>
    <xf numFmtId="0" fontId="22" fillId="0" borderId="228" xfId="0" applyFont="1" applyBorder="1" applyAlignment="1" applyProtection="1">
      <alignment horizontal="left"/>
      <protection locked="0"/>
    </xf>
    <xf numFmtId="0" fontId="22" fillId="0" borderId="207" xfId="0" applyFont="1" applyBorder="1" applyAlignment="1" applyProtection="1">
      <alignment horizontal="left" wrapText="1"/>
      <protection locked="0"/>
    </xf>
    <xf numFmtId="0" fontId="22" fillId="0" borderId="208" xfId="0" applyFont="1" applyBorder="1" applyAlignment="1" applyProtection="1">
      <alignment horizontal="left" wrapText="1"/>
      <protection locked="0"/>
    </xf>
    <xf numFmtId="0" fontId="22" fillId="0" borderId="209" xfId="0" applyFont="1" applyBorder="1" applyAlignment="1" applyProtection="1">
      <alignment horizontal="left" wrapText="1"/>
      <protection locked="0"/>
    </xf>
    <xf numFmtId="0" fontId="22" fillId="0" borderId="201" xfId="0" applyFont="1" applyBorder="1" applyAlignment="1" applyProtection="1">
      <alignment horizontal="left" wrapText="1"/>
      <protection locked="0"/>
    </xf>
    <xf numFmtId="0" fontId="22" fillId="0" borderId="155" xfId="0" applyFont="1" applyBorder="1" applyAlignment="1" applyProtection="1">
      <alignment horizontal="left" wrapText="1"/>
      <protection locked="0"/>
    </xf>
    <xf numFmtId="0" fontId="22" fillId="0" borderId="202" xfId="0" applyFont="1" applyBorder="1" applyAlignment="1" applyProtection="1">
      <alignment horizontal="left" wrapText="1"/>
      <protection locked="0"/>
    </xf>
    <xf numFmtId="0" fontId="22" fillId="0" borderId="139" xfId="0" applyFont="1" applyFill="1" applyBorder="1" applyAlignment="1" applyProtection="1">
      <alignment horizontal="left" vertical="center" wrapText="1"/>
      <protection locked="0"/>
    </xf>
    <xf numFmtId="0" fontId="22" fillId="0" borderId="195" xfId="0" applyFont="1" applyFill="1" applyBorder="1" applyAlignment="1" applyProtection="1">
      <alignment horizontal="left" vertical="center" wrapText="1"/>
      <protection locked="0"/>
    </xf>
    <xf numFmtId="0" fontId="22" fillId="0" borderId="196" xfId="0" applyFont="1" applyFill="1" applyBorder="1" applyAlignment="1" applyProtection="1">
      <alignment horizontal="left" vertical="center" wrapText="1"/>
      <protection locked="0"/>
    </xf>
    <xf numFmtId="0" fontId="22" fillId="0" borderId="197" xfId="0" applyFont="1" applyFill="1" applyBorder="1" applyAlignment="1" applyProtection="1">
      <alignment horizontal="left" vertical="center" wrapText="1"/>
      <protection locked="0"/>
    </xf>
    <xf numFmtId="0" fontId="22" fillId="0" borderId="198" xfId="0" applyFont="1" applyBorder="1" applyAlignment="1" applyProtection="1">
      <alignment horizontal="left" wrapText="1"/>
      <protection locked="0"/>
    </xf>
    <xf numFmtId="0" fontId="22" fillId="0" borderId="199" xfId="0" applyFont="1" applyBorder="1" applyAlignment="1" applyProtection="1">
      <alignment horizontal="left" wrapText="1"/>
      <protection locked="0"/>
    </xf>
    <xf numFmtId="0" fontId="22" fillId="0" borderId="200" xfId="0" applyFont="1" applyBorder="1" applyAlignment="1" applyProtection="1">
      <alignment horizontal="left" wrapText="1"/>
      <protection locked="0"/>
    </xf>
    <xf numFmtId="0" fontId="99" fillId="21" borderId="93" xfId="0" applyFont="1" applyFill="1" applyBorder="1" applyAlignment="1">
      <alignment horizontal="center" vertical="center" textRotation="90"/>
    </xf>
    <xf numFmtId="0" fontId="0" fillId="21" borderId="75" xfId="0" applyFill="1" applyBorder="1" applyAlignment="1">
      <alignment horizontal="center" vertical="center" textRotation="90"/>
    </xf>
    <xf numFmtId="0" fontId="0" fillId="21" borderId="90" xfId="0" applyFill="1" applyBorder="1" applyAlignment="1">
      <alignment horizontal="center" vertical="center" textRotation="90"/>
    </xf>
    <xf numFmtId="0" fontId="22" fillId="0" borderId="231" xfId="0" applyFont="1" applyFill="1" applyBorder="1" applyAlignment="1" applyProtection="1">
      <alignment horizontal="left" wrapText="1"/>
      <protection locked="0"/>
    </xf>
    <xf numFmtId="0" fontId="22" fillId="0" borderId="201" xfId="0" applyFont="1" applyFill="1" applyBorder="1" applyAlignment="1" applyProtection="1">
      <alignment horizontal="left"/>
      <protection locked="0"/>
    </xf>
    <xf numFmtId="0" fontId="22" fillId="0" borderId="155" xfId="0" applyFont="1" applyFill="1" applyBorder="1" applyAlignment="1" applyProtection="1">
      <alignment horizontal="left"/>
      <protection locked="0"/>
    </xf>
    <xf numFmtId="0" fontId="22" fillId="0" borderId="206" xfId="0" applyFont="1" applyFill="1" applyBorder="1" applyAlignment="1" applyProtection="1">
      <alignment horizontal="left"/>
      <protection locked="0"/>
    </xf>
    <xf numFmtId="0" fontId="22" fillId="0" borderId="229" xfId="0" applyFont="1" applyBorder="1" applyAlignment="1" applyProtection="1">
      <alignment horizontal="left"/>
      <protection locked="0"/>
    </xf>
    <xf numFmtId="0" fontId="22" fillId="0" borderId="35" xfId="0" applyFont="1" applyBorder="1" applyAlignment="1" applyProtection="1">
      <alignment horizontal="left"/>
      <protection locked="0"/>
    </xf>
    <xf numFmtId="0" fontId="22" fillId="0" borderId="207" xfId="0" applyFont="1" applyFill="1" applyBorder="1" applyAlignment="1" applyProtection="1">
      <alignment horizontal="left" wrapText="1"/>
      <protection locked="0"/>
    </xf>
    <xf numFmtId="0" fontId="22" fillId="0" borderId="208" xfId="0" applyFont="1" applyFill="1" applyBorder="1" applyAlignment="1" applyProtection="1">
      <alignment horizontal="left" wrapText="1"/>
      <protection locked="0"/>
    </xf>
    <xf numFmtId="0" fontId="22" fillId="0" borderId="201" xfId="0" applyFont="1" applyFill="1" applyBorder="1" applyAlignment="1" applyProtection="1">
      <alignment horizontal="left" wrapText="1"/>
      <protection locked="0"/>
    </xf>
    <xf numFmtId="0" fontId="22" fillId="0" borderId="155" xfId="0" applyFont="1" applyFill="1" applyBorder="1" applyAlignment="1" applyProtection="1">
      <alignment horizontal="left" wrapText="1"/>
      <protection locked="0"/>
    </xf>
    <xf numFmtId="14" fontId="22" fillId="0" borderId="229" xfId="0" applyNumberFormat="1" applyFont="1" applyBorder="1" applyAlignment="1" applyProtection="1">
      <alignment horizontal="left"/>
      <protection locked="0"/>
    </xf>
    <xf numFmtId="0" fontId="22" fillId="0" borderId="223" xfId="0" applyFont="1" applyFill="1" applyBorder="1" applyAlignment="1" applyProtection="1">
      <alignment horizontal="left"/>
      <protection locked="0"/>
    </xf>
    <xf numFmtId="164" fontId="16" fillId="33" borderId="0" xfId="58" applyFont="1" applyFill="1" applyBorder="1" applyAlignment="1" applyProtection="1">
      <alignment horizontal="center"/>
      <protection locked="0"/>
    </xf>
    <xf numFmtId="0" fontId="22" fillId="0" borderId="232" xfId="0" applyFont="1" applyFill="1" applyBorder="1" applyAlignment="1" applyProtection="1">
      <alignment horizontal="left" wrapText="1"/>
      <protection locked="0"/>
    </xf>
    <xf numFmtId="0" fontId="22" fillId="0" borderId="224" xfId="0" applyFont="1" applyFill="1" applyBorder="1" applyAlignment="1" applyProtection="1">
      <alignment horizontal="left" wrapText="1"/>
      <protection locked="0"/>
    </xf>
    <xf numFmtId="15" fontId="29" fillId="0" borderId="0" xfId="0" applyNumberFormat="1" applyFont="1" applyAlignment="1">
      <alignment horizontal="right"/>
    </xf>
    <xf numFmtId="0" fontId="128" fillId="0" borderId="0" xfId="0" applyFont="1" applyAlignment="1">
      <alignment horizontal="center"/>
    </xf>
    <xf numFmtId="0" fontId="112" fillId="0" borderId="0" xfId="0" applyFont="1" applyAlignment="1">
      <alignment horizontal="center"/>
    </xf>
    <xf numFmtId="164" fontId="29" fillId="0" borderId="0" xfId="0" applyNumberFormat="1" applyFont="1" applyAlignment="1">
      <alignment horizontal="left"/>
    </xf>
    <xf numFmtId="0" fontId="0" fillId="22" borderId="9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9" xfId="0" applyFill="1" applyBorder="1" applyAlignment="1" applyProtection="1">
      <alignment horizontal="center"/>
      <protection locked="0"/>
    </xf>
    <xf numFmtId="0" fontId="0" fillId="22" borderId="91" xfId="0" applyFill="1" applyBorder="1" applyAlignment="1" applyProtection="1">
      <alignment horizontal="center"/>
      <protection locked="0"/>
    </xf>
    <xf numFmtId="0" fontId="0" fillId="22" borderId="100" xfId="0" applyFill="1" applyBorder="1" applyAlignment="1" applyProtection="1">
      <alignment horizontal="center"/>
      <protection locked="0"/>
    </xf>
    <xf numFmtId="0" fontId="0" fillId="22" borderId="101" xfId="0" applyFill="1" applyBorder="1" applyAlignment="1" applyProtection="1">
      <alignment horizontal="center"/>
      <protection locked="0"/>
    </xf>
    <xf numFmtId="0" fontId="78" fillId="21" borderId="194" xfId="52" applyNumberFormat="1" applyFont="1" applyFill="1" applyBorder="1" applyAlignment="1">
      <alignment horizontal="center" vertical="center" wrapText="1"/>
    </xf>
    <xf numFmtId="0" fontId="22" fillId="0" borderId="230" xfId="0" applyFont="1" applyBorder="1" applyAlignment="1" applyProtection="1">
      <alignment horizontal="left"/>
      <protection locked="0"/>
    </xf>
    <xf numFmtId="14" fontId="22" fillId="0" borderId="213" xfId="0" applyNumberFormat="1" applyFont="1" applyBorder="1" applyAlignment="1" applyProtection="1">
      <alignment horizontal="left"/>
      <protection locked="0"/>
    </xf>
    <xf numFmtId="0" fontId="78" fillId="21" borderId="233" xfId="52" applyNumberFormat="1" applyFont="1" applyFill="1" applyBorder="1" applyAlignment="1">
      <alignment horizontal="center" vertical="center" wrapText="1"/>
    </xf>
    <xf numFmtId="0" fontId="22" fillId="0" borderId="203" xfId="0" applyFont="1" applyFill="1" applyBorder="1" applyAlignment="1" applyProtection="1">
      <alignment horizontal="left"/>
      <protection locked="0"/>
    </xf>
    <xf numFmtId="0" fontId="22" fillId="0" borderId="234" xfId="0" applyFont="1" applyFill="1" applyBorder="1" applyAlignment="1" applyProtection="1">
      <alignment horizontal="left"/>
      <protection locked="0"/>
    </xf>
    <xf numFmtId="0" fontId="22" fillId="0" borderId="203" xfId="0" applyFont="1" applyBorder="1" applyAlignment="1" applyProtection="1">
      <alignment horizontal="left" wrapText="1"/>
      <protection locked="0"/>
    </xf>
    <xf numFmtId="0" fontId="22" fillId="0" borderId="204" xfId="0" applyFont="1" applyBorder="1" applyAlignment="1" applyProtection="1">
      <alignment horizontal="left" wrapText="1"/>
      <protection locked="0"/>
    </xf>
    <xf numFmtId="0" fontId="22" fillId="0" borderId="205" xfId="0" applyFont="1" applyBorder="1" applyAlignment="1" applyProtection="1">
      <alignment horizontal="left" wrapText="1"/>
      <protection locked="0"/>
    </xf>
    <xf numFmtId="0" fontId="22" fillId="0" borderId="206" xfId="0" applyFont="1" applyBorder="1" applyAlignment="1" applyProtection="1">
      <alignment horizontal="left" wrapText="1"/>
      <protection locked="0"/>
    </xf>
    <xf numFmtId="0" fontId="22" fillId="0" borderId="203" xfId="0" applyFont="1" applyBorder="1" applyAlignment="1" applyProtection="1">
      <alignment horizontal="left"/>
      <protection locked="0"/>
    </xf>
    <xf numFmtId="0" fontId="22" fillId="0" borderId="204" xfId="0" applyFont="1" applyBorder="1" applyAlignment="1" applyProtection="1">
      <alignment horizontal="left"/>
      <protection locked="0"/>
    </xf>
    <xf numFmtId="0" fontId="22" fillId="0" borderId="205" xfId="0" applyFont="1" applyBorder="1" applyAlignment="1" applyProtection="1">
      <alignment horizontal="left"/>
      <protection locked="0"/>
    </xf>
    <xf numFmtId="0" fontId="22" fillId="0" borderId="206" xfId="0" applyFont="1" applyBorder="1" applyAlignment="1" applyProtection="1">
      <alignment horizontal="left"/>
      <protection locked="0"/>
    </xf>
    <xf numFmtId="0" fontId="22" fillId="0" borderId="234" xfId="0" applyFont="1" applyBorder="1" applyAlignment="1" applyProtection="1">
      <alignment horizontal="left"/>
      <protection locked="0"/>
    </xf>
    <xf numFmtId="0" fontId="22" fillId="0" borderId="227" xfId="0" applyFont="1" applyBorder="1" applyAlignment="1" applyProtection="1">
      <alignment horizontal="left"/>
      <protection locked="0"/>
    </xf>
    <xf numFmtId="164" fontId="18" fillId="30" borderId="0" xfId="38" applyFont="1" applyFill="1" applyAlignment="1">
      <alignment horizontal="center" vertical="center"/>
    </xf>
    <xf numFmtId="0" fontId="34" fillId="0" borderId="0" xfId="0" applyFont="1" applyAlignment="1">
      <alignment horizontal="center"/>
    </xf>
    <xf numFmtId="0" fontId="134" fillId="35" borderId="95" xfId="0" applyFont="1" applyFill="1" applyBorder="1"/>
  </cellXfs>
  <cellStyles count="90">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2" xfId="65"/>
    <cellStyle name="Comma 3" xfId="66"/>
    <cellStyle name="Comma 4" xfId="67"/>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Millares 2 2" xfId="68"/>
    <cellStyle name="Normal 2" xfId="38"/>
    <cellStyle name="Normal 2 10" xfId="69"/>
    <cellStyle name="Normal 2 11" xfId="89"/>
    <cellStyle name="Normal 2 2" xfId="39"/>
    <cellStyle name="Normal 2 3" xfId="40"/>
    <cellStyle name="Normal 2 4" xfId="41"/>
    <cellStyle name="Normal 2 5" xfId="42"/>
    <cellStyle name="Normal 2 6" xfId="43"/>
    <cellStyle name="Normal 2 7" xfId="44"/>
    <cellStyle name="Normal 2 8" xfId="45"/>
    <cellStyle name="Normal 2 9" xfId="70"/>
    <cellStyle name="Normal 2_Dashboard ver 2.2 ES" xfId="46"/>
    <cellStyle name="Normal 2_Prototipo" xfId="47"/>
    <cellStyle name="Normal 3" xfId="48"/>
    <cellStyle name="Normal 3 2" xfId="72"/>
    <cellStyle name="Normal 3 3" xfId="73"/>
    <cellStyle name="Normal 3 4" xfId="71"/>
    <cellStyle name="Normal 4" xfId="49"/>
    <cellStyle name="Normal 4 2" xfId="74"/>
    <cellStyle name="Normal 5" xfId="50"/>
    <cellStyle name="Normal 5 2" xfId="75"/>
    <cellStyle name="Normal 6" xfId="51"/>
    <cellStyle name="Normal 6 2" xfId="76"/>
    <cellStyle name="Normal_TZ_R3HIV_Phase_2_21_August_08" xfId="52"/>
    <cellStyle name="Note" xfId="53"/>
    <cellStyle name="Output" xfId="54"/>
    <cellStyle name="Title" xfId="55"/>
    <cellStyle name="Título 3 3" xfId="56"/>
    <cellStyle name="Título 3 3 2" xfId="77"/>
    <cellStyle name="Título 3 3_Prototipo" xfId="57"/>
    <cellStyle name="Título 3 3_PrototipoRep1" xfId="58"/>
    <cellStyle name="Título 3 7" xfId="59"/>
    <cellStyle name="Título 3 7 2" xfId="78"/>
    <cellStyle name="Warning Text" xfId="60"/>
    <cellStyle name="Обычный" xfId="0" builtinId="0"/>
    <cellStyle name="Обычный 2" xfId="63"/>
    <cellStyle name="Обычный 2 2" xfId="79"/>
    <cellStyle name="Обычный 3" xfId="80"/>
    <cellStyle name="Обычный 3 2" xfId="81"/>
    <cellStyle name="Обычный 4" xfId="82"/>
    <cellStyle name="Обычный 5" xfId="83"/>
    <cellStyle name="Обычный 6" xfId="64"/>
    <cellStyle name="Обычный 7" xfId="88"/>
    <cellStyle name="Процентный" xfId="61" builtinId="5"/>
    <cellStyle name="Процентный 2" xfId="85"/>
    <cellStyle name="Процентный 3" xfId="84"/>
    <cellStyle name="Финансовый" xfId="62" builtinId="3"/>
    <cellStyle name="Финансовый 2" xfId="87"/>
    <cellStyle name="Финансовый 3" xfId="86"/>
  </cellStyles>
  <dxfs count="9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xmlMaps" Target="xmlMap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0.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1.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2.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3.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4.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2675489.2999999998</c:v>
                </c:pt>
                <c:pt idx="1">
                  <c:v>14534177.495320581</c:v>
                </c:pt>
              </c:numCache>
            </c:numRef>
          </c:val>
          <c:extLst xmlns:c16r2="http://schemas.microsoft.com/office/drawing/2015/06/char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9988796</c:v>
                </c:pt>
                <c:pt idx="1">
                  <c:v>16926007</c:v>
                </c:pt>
              </c:numCache>
            </c:numRef>
          </c:val>
          <c:extLst xmlns:c16r2="http://schemas.microsoft.com/office/drawing/2015/06/char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717028256"/>
        <c:axId val="-717027712"/>
      </c:barChart>
      <c:catAx>
        <c:axId val="-717028256"/>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717027712"/>
        <c:crosses val="autoZero"/>
        <c:auto val="1"/>
        <c:lblAlgn val="ctr"/>
        <c:lblOffset val="100"/>
        <c:tickLblSkip val="1"/>
        <c:tickMarkSkip val="1"/>
        <c:noMultiLvlLbl val="0"/>
      </c:catAx>
      <c:valAx>
        <c:axId val="-7170277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717028256"/>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с известным ВИЧ статусом, получающих антиретровирусную терапию на данный момент </a:t>
            </a:r>
          </a:p>
        </c:rich>
      </c:tx>
      <c:layout>
        <c:manualLayout>
          <c:xMode val="edge"/>
          <c:yMode val="edge"/>
          <c:x val="0.11266471826984029"/>
          <c:y val="3.1741469480077229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данных'!$G$153:$I$153</c15:sqref>
                  </c15:fullRef>
                </c:ext>
              </c:extLst>
              <c:f>'Ввод данных'!$G$153:$H$153</c:f>
              <c:numCache>
                <c:formatCode>#,##0</c:formatCode>
                <c:ptCount val="2"/>
                <c:pt idx="0">
                  <c:v>2700</c:v>
                </c:pt>
                <c:pt idx="1">
                  <c:v>3100</c:v>
                </c:pt>
              </c:numCache>
            </c:numRef>
          </c:val>
          <c:extLst xmlns:c16r2="http://schemas.microsoft.com/office/drawing/2015/06/chart">
            <c:ext xmlns:c16="http://schemas.microsoft.com/office/drawing/2014/chart" uri="{C3380CC4-5D6E-409C-BE32-E72D297353CC}">
              <c16:uniqueId val="{00000000-B668-493A-910F-74ACE0D29AA6}"/>
            </c:ext>
          </c:extLst>
        </c:ser>
        <c:ser>
          <c:idx val="1"/>
          <c:order val="1"/>
          <c:tx>
            <c:strRef>
              <c:f>'Ввод данных'!$F$154</c:f>
              <c:strCache>
                <c:ptCount val="1"/>
                <c:pt idx="0">
                  <c:v>Достигнуто на 106%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данных'!$G$154:$I$154</c15:sqref>
                  </c15:fullRef>
                </c:ext>
              </c:extLst>
              <c:f>'Ввод данных'!$G$154:$H$154</c:f>
              <c:numCache>
                <c:formatCode>#,##0</c:formatCode>
                <c:ptCount val="2"/>
                <c:pt idx="0">
                  <c:v>2668</c:v>
                </c:pt>
                <c:pt idx="1">
                  <c:v>2995</c:v>
                </c:pt>
              </c:numCache>
            </c:numRef>
          </c:val>
          <c:extLst xmlns:c16r2="http://schemas.microsoft.com/office/drawing/2015/06/chart">
            <c:ext xmlns:c16="http://schemas.microsoft.com/office/drawing/2014/chart" uri="{C3380CC4-5D6E-409C-BE32-E72D297353CC}">
              <c16:uniqueId val="{00000001-B668-493A-910F-74ACE0D29AA6}"/>
            </c:ext>
          </c:extLst>
        </c:ser>
        <c:dLbls>
          <c:showLegendKey val="0"/>
          <c:showVal val="1"/>
          <c:showCatName val="0"/>
          <c:showSerName val="0"/>
          <c:showPercent val="0"/>
          <c:showBubbleSize val="0"/>
        </c:dLbls>
        <c:gapWidth val="150"/>
        <c:overlap val="-25"/>
        <c:axId val="-514921872"/>
        <c:axId val="-514926224"/>
      </c:barChart>
      <c:catAx>
        <c:axId val="-514921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6224"/>
        <c:crosses val="autoZero"/>
        <c:auto val="1"/>
        <c:lblAlgn val="ctr"/>
        <c:lblOffset val="100"/>
        <c:noMultiLvlLbl val="0"/>
      </c:catAx>
      <c:valAx>
        <c:axId val="-514926224"/>
        <c:scaling>
          <c:orientation val="minMax"/>
        </c:scaling>
        <c:delete val="1"/>
        <c:axPos val="l"/>
        <c:numFmt formatCode="#,##0" sourceLinked="1"/>
        <c:majorTickMark val="none"/>
        <c:minorTickMark val="none"/>
        <c:tickLblPos val="nextTo"/>
        <c:crossAx val="-514921872"/>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Количество ЛЖВ, находящихся на попечении общинных организаций и участвующих в программах поддержки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данных'!$F$155</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данных'!$G$155:$I$155</c15:sqref>
                  </c15:fullRef>
                </c:ext>
              </c:extLst>
              <c:f>'Ввод данных'!$G$155:$H$155</c:f>
              <c:numCache>
                <c:formatCode>#,##0</c:formatCode>
                <c:ptCount val="2"/>
                <c:pt idx="0">
                  <c:v>1410</c:v>
                </c:pt>
                <c:pt idx="1">
                  <c:v>1480</c:v>
                </c:pt>
              </c:numCache>
            </c:numRef>
          </c:val>
          <c:extLst xmlns:c16r2="http://schemas.microsoft.com/office/drawing/2015/06/chart">
            <c:ext xmlns:c16="http://schemas.microsoft.com/office/drawing/2014/chart" uri="{C3380CC4-5D6E-409C-BE32-E72D297353CC}">
              <c16:uniqueId val="{00000000-87B3-445C-8064-7EE2AFC5BD60}"/>
            </c:ext>
          </c:extLst>
        </c:ser>
        <c:ser>
          <c:idx val="1"/>
          <c:order val="1"/>
          <c:tx>
            <c:strRef>
              <c:f>'Ввод данных'!$F$156</c:f>
              <c:strCache>
                <c:ptCount val="1"/>
                <c:pt idx="0">
                  <c:v>Достигнуто на 120%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данных'!$G$156:$I$156</c15:sqref>
                  </c15:fullRef>
                </c:ext>
              </c:extLst>
              <c:f>'Ввод данных'!$G$156:$H$156</c:f>
              <c:numCache>
                <c:formatCode>#,##0</c:formatCode>
                <c:ptCount val="2"/>
                <c:pt idx="0">
                  <c:v>2514</c:v>
                </c:pt>
                <c:pt idx="1">
                  <c:v>2851</c:v>
                </c:pt>
              </c:numCache>
            </c:numRef>
          </c:val>
          <c:extLst xmlns:c16r2="http://schemas.microsoft.com/office/drawing/2015/06/chart">
            <c:ext xmlns:c16="http://schemas.microsoft.com/office/drawing/2014/chart" uri="{C3380CC4-5D6E-409C-BE32-E72D297353CC}">
              <c16:uniqueId val="{00000001-87B3-445C-8064-7EE2AFC5BD60}"/>
            </c:ext>
          </c:extLst>
        </c:ser>
        <c:dLbls>
          <c:showLegendKey val="0"/>
          <c:showVal val="1"/>
          <c:showCatName val="0"/>
          <c:showSerName val="0"/>
          <c:showPercent val="0"/>
          <c:showBubbleSize val="0"/>
        </c:dLbls>
        <c:gapWidth val="150"/>
        <c:overlap val="-25"/>
        <c:axId val="-514921328"/>
        <c:axId val="-514928944"/>
      </c:barChart>
      <c:catAx>
        <c:axId val="-514921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8944"/>
        <c:crosses val="autoZero"/>
        <c:auto val="1"/>
        <c:lblAlgn val="ctr"/>
        <c:lblOffset val="100"/>
        <c:noMultiLvlLbl val="0"/>
      </c:catAx>
      <c:valAx>
        <c:axId val="-514928944"/>
        <c:scaling>
          <c:orientation val="minMax"/>
        </c:scaling>
        <c:delete val="1"/>
        <c:axPos val="l"/>
        <c:numFmt formatCode="#,##0" sourceLinked="1"/>
        <c:majorTickMark val="none"/>
        <c:minorTickMark val="none"/>
        <c:tickLblPos val="nextTo"/>
        <c:crossAx val="-51492132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устойчивыми формами туберкулеза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данных'!$F$180</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данных'!$G$179:$H$179</c:f>
              <c:strCache>
                <c:ptCount val="2"/>
                <c:pt idx="0">
                  <c:v>P1</c:v>
                </c:pt>
                <c:pt idx="1">
                  <c:v>P2</c:v>
                </c:pt>
              </c:strCache>
            </c:strRef>
          </c:cat>
          <c:val>
            <c:numRef>
              <c:f>'Ввод данных'!$G$180:$H$180</c:f>
              <c:numCache>
                <c:formatCode>#,##0</c:formatCode>
                <c:ptCount val="2"/>
                <c:pt idx="0">
                  <c:v>13750</c:v>
                </c:pt>
                <c:pt idx="1">
                  <c:v>14375</c:v>
                </c:pt>
              </c:numCache>
            </c:numRef>
          </c:val>
          <c:extLst xmlns:c16r2="http://schemas.microsoft.com/office/drawing/2015/06/chart">
            <c:ext xmlns:c16="http://schemas.microsoft.com/office/drawing/2014/chart" uri="{C3380CC4-5D6E-409C-BE32-E72D297353CC}">
              <c16:uniqueId val="{00000000-B6F5-4083-A622-389B8059786A}"/>
            </c:ext>
          </c:extLst>
        </c:ser>
        <c:ser>
          <c:idx val="1"/>
          <c:order val="1"/>
          <c:tx>
            <c:strRef>
              <c:f>'Ввод данных'!$F$181</c:f>
              <c:strCache>
                <c:ptCount val="1"/>
                <c:pt idx="0">
                  <c:v>Достигнуто на 110%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данных'!$G$179:$H$179</c:f>
              <c:strCache>
                <c:ptCount val="2"/>
                <c:pt idx="0">
                  <c:v>P1</c:v>
                </c:pt>
                <c:pt idx="1">
                  <c:v>P2</c:v>
                </c:pt>
              </c:strCache>
            </c:strRef>
          </c:cat>
          <c:val>
            <c:numRef>
              <c:f>'Ввод данных'!$G$181:$H$181</c:f>
              <c:numCache>
                <c:formatCode>#,##0</c:formatCode>
                <c:ptCount val="2"/>
                <c:pt idx="0">
                  <c:v>14682</c:v>
                </c:pt>
                <c:pt idx="1">
                  <c:v>15859</c:v>
                </c:pt>
              </c:numCache>
            </c:numRef>
          </c:val>
          <c:extLst xmlns:c16r2="http://schemas.microsoft.com/office/drawing/2015/06/chart">
            <c:ext xmlns:c16="http://schemas.microsoft.com/office/drawing/2014/chart" uri="{C3380CC4-5D6E-409C-BE32-E72D297353CC}">
              <c16:uniqueId val="{00000001-B6F5-4083-A622-389B8059786A}"/>
            </c:ext>
          </c:extLst>
        </c:ser>
        <c:dLbls>
          <c:showLegendKey val="0"/>
          <c:showVal val="1"/>
          <c:showCatName val="0"/>
          <c:showSerName val="0"/>
          <c:showPercent val="0"/>
          <c:showBubbleSize val="0"/>
        </c:dLbls>
        <c:gapWidth val="150"/>
        <c:overlap val="-25"/>
        <c:axId val="-514925136"/>
        <c:axId val="-514924592"/>
      </c:barChart>
      <c:catAx>
        <c:axId val="-514925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4592"/>
        <c:crosses val="autoZero"/>
        <c:auto val="1"/>
        <c:lblAlgn val="ctr"/>
        <c:lblOffset val="100"/>
        <c:noMultiLvlLbl val="0"/>
      </c:catAx>
      <c:valAx>
        <c:axId val="-514924592"/>
        <c:scaling>
          <c:orientation val="minMax"/>
        </c:scaling>
        <c:delete val="1"/>
        <c:axPos val="l"/>
        <c:numFmt formatCode="#,##0" sourceLinked="1"/>
        <c:majorTickMark val="none"/>
        <c:minorTickMark val="none"/>
        <c:tickLblPos val="nextTo"/>
        <c:crossAx val="-51492513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чувствительной формой ТБ и ПЛУ(ПТП 1 ряда)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данных'!$F$153</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данных'!$G$150:$H$150</c:f>
              <c:strCache>
                <c:ptCount val="2"/>
                <c:pt idx="0">
                  <c:v>P1</c:v>
                </c:pt>
                <c:pt idx="1">
                  <c:v>P2</c:v>
                </c:pt>
              </c:strCache>
            </c:strRef>
          </c:cat>
          <c:val>
            <c:numRef>
              <c:f>'Ввод данных'!$G$153:$H$153</c:f>
              <c:numCache>
                <c:formatCode>#,##0</c:formatCode>
                <c:ptCount val="2"/>
                <c:pt idx="0">
                  <c:v>2700</c:v>
                </c:pt>
                <c:pt idx="1">
                  <c:v>3100</c:v>
                </c:pt>
              </c:numCache>
            </c:numRef>
          </c:val>
          <c:extLst xmlns:c16r2="http://schemas.microsoft.com/office/drawing/2015/06/chart">
            <c:ext xmlns:c16="http://schemas.microsoft.com/office/drawing/2014/chart" uri="{C3380CC4-5D6E-409C-BE32-E72D297353CC}">
              <c16:uniqueId val="{00000000-5B1A-4384-84FE-9BCCA03C7B3A}"/>
            </c:ext>
          </c:extLst>
        </c:ser>
        <c:ser>
          <c:idx val="1"/>
          <c:order val="1"/>
          <c:tx>
            <c:strRef>
              <c:f>'Ввод данных'!$F$154</c:f>
              <c:strCache>
                <c:ptCount val="1"/>
                <c:pt idx="0">
                  <c:v>Достигнуто на 106%</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данных'!$G$150:$H$150</c:f>
              <c:strCache>
                <c:ptCount val="2"/>
                <c:pt idx="0">
                  <c:v>P1</c:v>
                </c:pt>
                <c:pt idx="1">
                  <c:v>P2</c:v>
                </c:pt>
              </c:strCache>
            </c:strRef>
          </c:cat>
          <c:val>
            <c:numRef>
              <c:f>'Ввод данных'!$G$154:$H$154</c:f>
              <c:numCache>
                <c:formatCode>#,##0</c:formatCode>
                <c:ptCount val="2"/>
                <c:pt idx="0">
                  <c:v>2668</c:v>
                </c:pt>
                <c:pt idx="1">
                  <c:v>2995</c:v>
                </c:pt>
              </c:numCache>
            </c:numRef>
          </c:val>
          <c:extLst xmlns:c16r2="http://schemas.microsoft.com/office/drawing/2015/06/chart">
            <c:ext xmlns:c16="http://schemas.microsoft.com/office/drawing/2014/chart" uri="{C3380CC4-5D6E-409C-BE32-E72D297353CC}">
              <c16:uniqueId val="{00000001-5B1A-4384-84FE-9BCCA03C7B3A}"/>
            </c:ext>
          </c:extLst>
        </c:ser>
        <c:dLbls>
          <c:showLegendKey val="0"/>
          <c:showVal val="1"/>
          <c:showCatName val="0"/>
          <c:showSerName val="0"/>
          <c:showPercent val="0"/>
          <c:showBubbleSize val="0"/>
        </c:dLbls>
        <c:gapWidth val="150"/>
        <c:overlap val="-25"/>
        <c:axId val="-514934384"/>
        <c:axId val="-514924048"/>
      </c:barChart>
      <c:catAx>
        <c:axId val="-514934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4048"/>
        <c:crosses val="autoZero"/>
        <c:auto val="1"/>
        <c:lblAlgn val="ctr"/>
        <c:lblOffset val="100"/>
        <c:noMultiLvlLbl val="0"/>
      </c:catAx>
      <c:valAx>
        <c:axId val="-514924048"/>
        <c:scaling>
          <c:orientation val="minMax"/>
        </c:scaling>
        <c:delete val="1"/>
        <c:axPos val="l"/>
        <c:numFmt formatCode="#,##0" sourceLinked="1"/>
        <c:majorTickMark val="none"/>
        <c:minorTickMark val="none"/>
        <c:tickLblPos val="nextTo"/>
        <c:crossAx val="-514934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MDR TB-1: </a:t>
            </a:r>
            <a:r>
              <a:rPr lang="ru-RU" sz="1000"/>
              <a:t>Процент ранее излеченных ТБ пациентов, прошедших ТЛЧ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данных'!$F$207</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данных'!$G$207:$I$207</c15:sqref>
                  </c15:fullRef>
                </c:ext>
              </c:extLst>
              <c:f>'Ввод данных'!$G$207:$H$207</c:f>
              <c:numCache>
                <c:formatCode>#,##0</c:formatCode>
                <c:ptCount val="2"/>
                <c:pt idx="0">
                  <c:v>1677</c:v>
                </c:pt>
                <c:pt idx="1">
                  <c:v>1677</c:v>
                </c:pt>
              </c:numCache>
            </c:numRef>
          </c:val>
          <c:extLst xmlns:c16r2="http://schemas.microsoft.com/office/drawing/2015/06/chart">
            <c:ext xmlns:c16="http://schemas.microsoft.com/office/drawing/2014/chart" uri="{C3380CC4-5D6E-409C-BE32-E72D297353CC}">
              <c16:uniqueId val="{00000000-6A64-44F2-87ED-3208E07E17B0}"/>
            </c:ext>
          </c:extLst>
        </c:ser>
        <c:ser>
          <c:idx val="1"/>
          <c:order val="1"/>
          <c:tx>
            <c:strRef>
              <c:f>'Ввод данных'!$F$208</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'Ввод данных'!$G$150:$I$150</c15:sqref>
                  </c15:fullRef>
                </c:ext>
              </c:extLst>
              <c:f>'Ввод данных'!$G$150:$H$150</c:f>
              <c:strCache>
                <c:ptCount val="2"/>
                <c:pt idx="0">
                  <c:v>P1</c:v>
                </c:pt>
                <c:pt idx="1">
                  <c:v>P2</c:v>
                </c:pt>
              </c:strCache>
            </c:strRef>
          </c:cat>
          <c:val>
            <c:numRef>
              <c:extLst>
                <c:ext xmlns:c15="http://schemas.microsoft.com/office/drawing/2012/chart" uri="{02D57815-91ED-43cb-92C2-25804820EDAC}">
                  <c15:fullRef>
                    <c15:sqref>'Ввод данных'!$G$208:$I$208</c15:sqref>
                  </c15:fullRef>
                </c:ext>
              </c:extLst>
              <c:f>'Ввод данных'!$G$208:$H$208</c:f>
              <c:numCache>
                <c:formatCode>#,##0</c:formatCode>
                <c:ptCount val="2"/>
                <c:pt idx="0">
                  <c:v>1628</c:v>
                </c:pt>
                <c:pt idx="1">
                  <c:v>2087</c:v>
                </c:pt>
              </c:numCache>
            </c:numRef>
          </c:val>
          <c:extLst xmlns:c16r2="http://schemas.microsoft.com/office/drawing/2015/06/chart">
            <c:ext xmlns:c16="http://schemas.microsoft.com/office/drawing/2014/chart" uri="{C3380CC4-5D6E-409C-BE32-E72D297353CC}">
              <c16:uniqueId val="{00000001-6A64-44F2-87ED-3208E07E17B0}"/>
            </c:ext>
          </c:extLst>
        </c:ser>
        <c:dLbls>
          <c:showLegendKey val="0"/>
          <c:showVal val="1"/>
          <c:showCatName val="0"/>
          <c:showSerName val="0"/>
          <c:showPercent val="0"/>
          <c:showBubbleSize val="0"/>
        </c:dLbls>
        <c:gapWidth val="150"/>
        <c:overlap val="-25"/>
        <c:axId val="-514933296"/>
        <c:axId val="-514923504"/>
      </c:barChart>
      <c:catAx>
        <c:axId val="-51493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3504"/>
        <c:crosses val="autoZero"/>
        <c:auto val="1"/>
        <c:lblAlgn val="ctr"/>
        <c:lblOffset val="100"/>
        <c:noMultiLvlLbl val="0"/>
      </c:catAx>
      <c:valAx>
        <c:axId val="-514923504"/>
        <c:scaling>
          <c:orientation val="minMax"/>
        </c:scaling>
        <c:delete val="1"/>
        <c:axPos val="l"/>
        <c:numFmt formatCode="#,##0" sourceLinked="1"/>
        <c:majorTickMark val="none"/>
        <c:minorTickMark val="none"/>
        <c:tickLblPos val="nextTo"/>
        <c:crossAx val="-514933296"/>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2675489.2999999998</c:v>
                </c:pt>
                <c:pt idx="1">
                  <c:v>14534177.495320581</c:v>
                </c:pt>
              </c:numCache>
            </c:numRef>
          </c:val>
          <c:extLst xmlns:c16r2="http://schemas.microsoft.com/office/drawing/2015/06/char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9988796</c:v>
                </c:pt>
                <c:pt idx="1">
                  <c:v>16926007</c:v>
                </c:pt>
              </c:numCache>
            </c:numRef>
          </c:val>
          <c:extLst xmlns:c16r2="http://schemas.microsoft.com/office/drawing/2015/06/char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514922416"/>
        <c:axId val="-644452848"/>
      </c:areaChart>
      <c:catAx>
        <c:axId val="-514922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644452848"/>
        <c:crosses val="autoZero"/>
        <c:auto val="1"/>
        <c:lblAlgn val="ctr"/>
        <c:lblOffset val="100"/>
        <c:tickLblSkip val="8"/>
        <c:tickMarkSkip val="1"/>
        <c:noMultiLvlLbl val="0"/>
      </c:catAx>
      <c:valAx>
        <c:axId val="-644452848"/>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514922416"/>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данных'!$B$39:$B$55</c:f>
              <c:numCache>
                <c:formatCode>#,##0</c:formatCode>
                <c:ptCount val="17"/>
                <c:pt idx="0">
                  <c:v>3410134.5564546594</c:v>
                </c:pt>
                <c:pt idx="1">
                  <c:v>1703752.3526155706</c:v>
                </c:pt>
                <c:pt idx="2">
                  <c:v>505644.47803000006</c:v>
                </c:pt>
                <c:pt idx="3">
                  <c:v>261475.27294360212</c:v>
                </c:pt>
                <c:pt idx="4">
                  <c:v>81121.686226500009</c:v>
                </c:pt>
                <c:pt idx="5">
                  <c:v>1446265.1533987715</c:v>
                </c:pt>
                <c:pt idx="6">
                  <c:v>64080.399999999994</c:v>
                </c:pt>
                <c:pt idx="7">
                  <c:v>149212.02249999999</c:v>
                </c:pt>
                <c:pt idx="8">
                  <c:v>286351.62388065801</c:v>
                </c:pt>
                <c:pt idx="9">
                  <c:v>11469.931632</c:v>
                </c:pt>
                <c:pt idx="10">
                  <c:v>6493532.1190502187</c:v>
                </c:pt>
                <c:pt idx="11">
                  <c:v>121137.8985886</c:v>
                </c:pt>
              </c:numCache>
            </c:numRef>
          </c:val>
          <c:extLst xmlns:c16r2="http://schemas.microsoft.com/office/drawing/2015/06/char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данных'!$C$39:$C$55</c:f>
              <c:numCache>
                <c:formatCode>#,##0</c:formatCode>
                <c:ptCount val="17"/>
                <c:pt idx="0">
                  <c:v>2565688.5099999998</c:v>
                </c:pt>
                <c:pt idx="1">
                  <c:v>1149155.8699999999</c:v>
                </c:pt>
                <c:pt idx="2">
                  <c:v>192450.58000000002</c:v>
                </c:pt>
                <c:pt idx="3">
                  <c:v>169602.51</c:v>
                </c:pt>
                <c:pt idx="4">
                  <c:v>47897.21</c:v>
                </c:pt>
                <c:pt idx="5">
                  <c:v>544372.69999999995</c:v>
                </c:pt>
                <c:pt idx="6">
                  <c:v>57255.34</c:v>
                </c:pt>
                <c:pt idx="7">
                  <c:v>128087.14000000001</c:v>
                </c:pt>
                <c:pt idx="8">
                  <c:v>199663.22</c:v>
                </c:pt>
                <c:pt idx="9">
                  <c:v>367.75</c:v>
                </c:pt>
                <c:pt idx="10">
                  <c:v>2226909.7300000004</c:v>
                </c:pt>
                <c:pt idx="11">
                  <c:v>54213.619999999995</c:v>
                </c:pt>
                <c:pt idx="12">
                  <c:v>0</c:v>
                </c:pt>
                <c:pt idx="13">
                  <c:v>0</c:v>
                </c:pt>
              </c:numCache>
            </c:numRef>
          </c:val>
          <c:extLst xmlns:c16r2="http://schemas.microsoft.com/office/drawing/2015/06/char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517081408"/>
        <c:axId val="-517080864"/>
      </c:barChart>
      <c:catAx>
        <c:axId val="-517081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517080864"/>
        <c:crosses val="autoZero"/>
        <c:auto val="1"/>
        <c:lblAlgn val="ctr"/>
        <c:lblOffset val="100"/>
        <c:tickMarkSkip val="1"/>
        <c:noMultiLvlLbl val="0"/>
      </c:catAx>
      <c:valAx>
        <c:axId val="-51708086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517081408"/>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pt idx="0">
                  <c:v>9988796</c:v>
                </c:pt>
                <c:pt idx="1">
                  <c:v>1225556.3599999999</c:v>
                </c:pt>
                <c:pt idx="2">
                  <c:v>1842984.6700000002</c:v>
                </c:pt>
                <c:pt idx="3">
                  <c:v>1449932.94</c:v>
                </c:pt>
              </c:numCache>
            </c:numRef>
          </c:val>
          <c:extLst xmlns:c16r2="http://schemas.microsoft.com/office/drawing/2015/06/char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c:v>6937211</c:v>
                </c:pt>
                <c:pt idx="1">
                  <c:v>2923861.3099999996</c:v>
                </c:pt>
                <c:pt idx="2">
                  <c:v>2120459.4600000009</c:v>
                </c:pt>
                <c:pt idx="3">
                  <c:v>1749323.2700000003</c:v>
                </c:pt>
              </c:numCache>
            </c:numRef>
          </c:val>
          <c:extLst xmlns:c16r2="http://schemas.microsoft.com/office/drawing/2015/06/char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517079232"/>
        <c:axId val="-517080320"/>
      </c:barChart>
      <c:catAx>
        <c:axId val="-517079232"/>
        <c:scaling>
          <c:orientation val="minMax"/>
        </c:scaling>
        <c:delete val="0"/>
        <c:axPos val="b"/>
        <c:numFmt formatCode="General" sourceLinked="1"/>
        <c:majorTickMark val="none"/>
        <c:minorTickMark val="none"/>
        <c:tickLblPos val="nextTo"/>
        <c:crossAx val="-517080320"/>
        <c:crosses val="autoZero"/>
        <c:auto val="1"/>
        <c:lblAlgn val="ctr"/>
        <c:lblOffset val="100"/>
        <c:noMultiLvlLbl val="0"/>
      </c:catAx>
      <c:valAx>
        <c:axId val="-517080320"/>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517079232"/>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72435519785926"/>
          <c:y val="0.12154728922244371"/>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данных'!$C$101:$C$105</c:f>
              <c:numCache>
                <c:formatCode>0</c:formatCode>
                <c:ptCount val="5"/>
                <c:pt idx="0" formatCode="General">
                  <c:v>0</c:v>
                </c:pt>
                <c:pt idx="1">
                  <c:v>2</c:v>
                </c:pt>
                <c:pt idx="2">
                  <c:v>34</c:v>
                </c:pt>
                <c:pt idx="4">
                  <c:v>10</c:v>
                </c:pt>
              </c:numCache>
            </c:numRef>
          </c:val>
          <c:extLst xmlns:c16r2="http://schemas.microsoft.com/office/drawing/2015/06/char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2-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данных'!$D$101:$D$105</c:f>
              <c:numCache>
                <c:formatCode>0</c:formatCode>
                <c:ptCount val="5"/>
                <c:pt idx="0" formatCode="General">
                  <c:v>0</c:v>
                </c:pt>
                <c:pt idx="1">
                  <c:v>0</c:v>
                </c:pt>
                <c:pt idx="2">
                  <c:v>6</c:v>
                </c:pt>
                <c:pt idx="3">
                  <c:v>0</c:v>
                </c:pt>
                <c:pt idx="4">
                  <c:v>0</c:v>
                </c:pt>
              </c:numCache>
            </c:numRef>
          </c:val>
          <c:extLst xmlns:c16r2="http://schemas.microsoft.com/office/drawing/2015/06/char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517075968"/>
        <c:axId val="-517077056"/>
      </c:barChart>
      <c:catAx>
        <c:axId val="-51707596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7077056"/>
        <c:crosses val="autoZero"/>
        <c:auto val="1"/>
        <c:lblAlgn val="ctr"/>
        <c:lblOffset val="100"/>
        <c:noMultiLvlLbl val="0"/>
      </c:catAx>
      <c:valAx>
        <c:axId val="-517077056"/>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7075968"/>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37"/>
          <c:y val="0.10989010989010993"/>
          <c:w val="0.81094724363350235"/>
          <c:h val="0.54395604395604358"/>
        </c:manualLayout>
      </c:layout>
      <c:lineChart>
        <c:grouping val="standard"/>
        <c:varyColors val="0"/>
        <c:ser>
          <c:idx val="0"/>
          <c:order val="0"/>
          <c:tx>
            <c:strRef>
              <c:f>'Ввод данных'!$A$113</c:f>
              <c:strCache>
                <c:ptCount val="1"/>
                <c:pt idx="0">
                  <c:v>Совокупный утвердженный бюджет*</c:v>
                </c:pt>
              </c:strCache>
            </c:strRef>
          </c:tx>
          <c:spPr>
            <a:ln w="28575" cap="rnd">
              <a:solidFill>
                <a:schemeClr val="accent1"/>
              </a:solidFill>
              <a:round/>
            </a:ln>
            <a:effectLst/>
          </c:spPr>
          <c:marker>
            <c:symbol val="none"/>
          </c:marker>
          <c:val>
            <c:numRef>
              <c:f>'Ввод данных'!$B$113:$M$113</c:f>
              <c:numCache>
                <c:formatCode>#,##0</c:formatCode>
                <c:ptCount val="12"/>
                <c:pt idx="0">
                  <c:v>68288.95</c:v>
                </c:pt>
                <c:pt idx="1">
                  <c:v>6287291.4238936165</c:v>
                </c:pt>
              </c:numCache>
            </c:numRef>
          </c:val>
          <c:smooth val="0"/>
          <c:extLst xmlns:c16r2="http://schemas.microsoft.com/office/drawing/2015/06/chart">
            <c:ext xmlns:c16="http://schemas.microsoft.com/office/drawing/2014/chart" uri="{C3380CC4-5D6E-409C-BE32-E72D297353CC}">
              <c16:uniqueId val="{00000000-1FDB-481B-AC85-C5C3ACCAC2F8}"/>
            </c:ext>
          </c:extLst>
        </c:ser>
        <c:ser>
          <c:idx val="1"/>
          <c:order val="1"/>
          <c:tx>
            <c:strRef>
              <c:f>'Ввод данных'!$A$114</c:f>
              <c:strCache>
                <c:ptCount val="1"/>
                <c:pt idx="0">
                  <c:v>Общий объем финансовых обязательств</c:v>
                </c:pt>
              </c:strCache>
            </c:strRef>
          </c:tx>
          <c:spPr>
            <a:ln w="28575" cap="rnd">
              <a:solidFill>
                <a:schemeClr val="accent2"/>
              </a:solidFill>
              <a:round/>
            </a:ln>
            <a:effectLst/>
          </c:spPr>
          <c:marker>
            <c:symbol val="none"/>
          </c:marker>
          <c:val>
            <c:numRef>
              <c:f>'Ввод данных'!$B$114:$M$114</c:f>
              <c:numCache>
                <c:formatCode>#,##0</c:formatCode>
                <c:ptCount val="12"/>
                <c:pt idx="0">
                  <c:v>3286506.8408695655</c:v>
                </c:pt>
                <c:pt idx="1">
                  <c:v>5577444.0008695647</c:v>
                </c:pt>
              </c:numCache>
            </c:numRef>
          </c:val>
          <c:smooth val="0"/>
          <c:extLst xmlns:c16r2="http://schemas.microsoft.com/office/drawing/2015/06/chart">
            <c:ext xmlns:c16="http://schemas.microsoft.com/office/drawing/2014/chart" uri="{C3380CC4-5D6E-409C-BE32-E72D297353CC}">
              <c16:uniqueId val="{00000001-1FDB-481B-AC85-C5C3ACCAC2F8}"/>
            </c:ext>
          </c:extLst>
        </c:ser>
        <c:ser>
          <c:idx val="2"/>
          <c:order val="2"/>
          <c:tx>
            <c:strRef>
              <c:f>'Ввод данных'!$A$115</c:f>
              <c:strCache>
                <c:ptCount val="1"/>
                <c:pt idx="0">
                  <c:v>Общий объем расходов</c:v>
                </c:pt>
              </c:strCache>
            </c:strRef>
          </c:tx>
          <c:spPr>
            <a:ln w="28575" cap="rnd">
              <a:solidFill>
                <a:schemeClr val="accent3"/>
              </a:solidFill>
              <a:round/>
            </a:ln>
            <a:effectLst/>
          </c:spPr>
          <c:marker>
            <c:symbol val="none"/>
          </c:marker>
          <c:val>
            <c:numRef>
              <c:f>'Ввод данных'!$B$115:$M$115</c:f>
              <c:numCache>
                <c:formatCode>#,##0</c:formatCode>
                <c:ptCount val="12"/>
                <c:pt idx="0">
                  <c:v>68288.95</c:v>
                </c:pt>
                <c:pt idx="1">
                  <c:v>1791168.95</c:v>
                </c:pt>
              </c:numCache>
            </c:numRef>
          </c:val>
          <c:smooth val="0"/>
          <c:extLst xmlns:c16r2="http://schemas.microsoft.com/office/drawing/2015/06/chart">
            <c:ext xmlns:c16="http://schemas.microsoft.com/office/drawing/2014/chart" uri="{C3380CC4-5D6E-409C-BE32-E72D297353CC}">
              <c16:uniqueId val="{00000002-1FDB-481B-AC85-C5C3ACCAC2F8}"/>
            </c:ext>
          </c:extLst>
        </c:ser>
        <c:dLbls>
          <c:showLegendKey val="0"/>
          <c:showVal val="0"/>
          <c:showCatName val="0"/>
          <c:showSerName val="0"/>
          <c:showPercent val="0"/>
          <c:showBubbleSize val="0"/>
        </c:dLbls>
        <c:smooth val="0"/>
        <c:axId val="-516256224"/>
        <c:axId val="-516252960"/>
      </c:lineChart>
      <c:catAx>
        <c:axId val="-516256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6252960"/>
        <c:crosses val="autoZero"/>
        <c:auto val="1"/>
        <c:lblAlgn val="ctr"/>
        <c:lblOffset val="100"/>
        <c:tickLblSkip val="1"/>
        <c:tickMarkSkip val="1"/>
        <c:noMultiLvlLbl val="0"/>
      </c:catAx>
      <c:valAx>
        <c:axId val="-51625296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6256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0"/>
          <c:tx>
            <c:strRef>
              <c:f>'Ввод данных'!$A$89</c:f>
              <c:strCache>
                <c:ptCount val="1"/>
                <c:pt idx="0">
                  <c:v>Отдел управления проектом</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данных'!$B$89:$D$89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43ED-48CD-8A55-BEE46F0C1F95}"/>
            </c:ext>
          </c:extLst>
        </c:ser>
        <c:ser>
          <c:idx val="0"/>
          <c:order val="1"/>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данных'!$B$90:$D$90</c:f>
              <c:numCache>
                <c:formatCode>General</c:formatCode>
                <c:ptCount val="3"/>
                <c:pt idx="0">
                  <c:v>7</c:v>
                </c:pt>
                <c:pt idx="1">
                  <c:v>7</c:v>
                </c:pt>
                <c:pt idx="2">
                  <c:v>0</c:v>
                </c:pt>
              </c:numCache>
            </c:numRef>
          </c:val>
          <c:extLst xmlns:c16r2="http://schemas.microsoft.com/office/drawing/2015/06/chart">
            <c:ext xmlns:c16="http://schemas.microsoft.com/office/drawing/2014/chart" uri="{C3380CC4-5D6E-409C-BE32-E72D297353CC}">
              <c16:uniqueId val="{00000002-43ED-48CD-8A55-BEE46F0C1F95}"/>
            </c:ext>
          </c:extLst>
        </c:ser>
        <c:ser>
          <c:idx val="1"/>
          <c:order val="2"/>
          <c:tx>
            <c:strRef>
              <c:f>'Ввод данных'!$A$91</c:f>
              <c:strCache>
                <c:ptCount val="1"/>
                <c:pt idx="0">
                  <c:v>ТБ</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данных'!$B$91:$D$91</c:f>
              <c:numCache>
                <c:formatCode>General</c:formatCode>
                <c:ptCount val="3"/>
                <c:pt idx="0">
                  <c:v>4</c:v>
                </c:pt>
                <c:pt idx="1">
                  <c:v>4</c:v>
                </c:pt>
                <c:pt idx="2">
                  <c:v>0</c:v>
                </c:pt>
              </c:numCache>
            </c:numRef>
          </c:val>
          <c:extLst xmlns:c16r2="http://schemas.microsoft.com/office/drawing/2015/06/chart">
            <c:ext xmlns:c16="http://schemas.microsoft.com/office/drawing/2014/chart" uri="{C3380CC4-5D6E-409C-BE32-E72D297353CC}">
              <c16:uniqueId val="{00000000-7D54-4E93-AF83-C5C0EE8537E1}"/>
            </c:ext>
          </c:extLst>
        </c:ser>
        <c:dLbls>
          <c:showLegendKey val="0"/>
          <c:showVal val="1"/>
          <c:showCatName val="0"/>
          <c:showSerName val="0"/>
          <c:showPercent val="0"/>
          <c:showBubbleSize val="0"/>
        </c:dLbls>
        <c:gapWidth val="150"/>
        <c:overlap val="-25"/>
        <c:axId val="-516253504"/>
        <c:axId val="-516254592"/>
      </c:barChart>
      <c:catAx>
        <c:axId val="-5162535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6254592"/>
        <c:crosses val="autoZero"/>
        <c:auto val="1"/>
        <c:lblAlgn val="ctr"/>
        <c:lblOffset val="100"/>
        <c:noMultiLvlLbl val="0"/>
      </c:catAx>
      <c:valAx>
        <c:axId val="-516254592"/>
        <c:scaling>
          <c:orientation val="minMax"/>
        </c:scaling>
        <c:delete val="1"/>
        <c:axPos val="l"/>
        <c:numFmt formatCode="General" sourceLinked="1"/>
        <c:majorTickMark val="none"/>
        <c:minorTickMark val="none"/>
        <c:tickLblPos val="nextTo"/>
        <c:crossAx val="-516253504"/>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данных'!$B$81:$B$84</c:f>
              <c:numCache>
                <c:formatCode>General</c:formatCode>
                <c:ptCount val="4"/>
              </c:numCache>
            </c:numRef>
          </c:val>
          <c:extLst xmlns:c16r2="http://schemas.microsoft.com/office/drawing/2015/06/chart">
            <c:ext xmlns:c16="http://schemas.microsoft.com/office/drawing/2014/chart" uri="{C3380CC4-5D6E-409C-BE32-E72D297353CC}">
              <c16:uniqueId val="{00000000-2341-4C3E-8383-C2CDC07CAC0E}"/>
            </c:ext>
          </c:extLst>
        </c:ser>
        <c:ser>
          <c:idx val="1"/>
          <c:order val="1"/>
          <c:tx>
            <c:strRef>
              <c:f>'Ввод данных'!$C$80</c:f>
              <c:strCache>
                <c:ptCount val="1"/>
                <c:pt idx="0">
                  <c:v>Выполненные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0">
                  <c:v>0</c:v>
                </c:pt>
                <c:pt idx="1">
                  <c:v>0</c:v>
                </c:pt>
                <c:pt idx="2">
                  <c:v>2</c:v>
                </c:pt>
                <c:pt idx="3">
                  <c:v>2</c:v>
                </c:pt>
              </c:numCache>
            </c:numRef>
          </c:val>
          <c:extLst xmlns:c16r2="http://schemas.microsoft.com/office/drawing/2015/06/chart">
            <c:ext xmlns:c16="http://schemas.microsoft.com/office/drawing/2014/chart" uri="{C3380CC4-5D6E-409C-BE32-E72D297353CC}">
              <c16:uniqueId val="{00000001-2341-4C3E-8383-C2CDC07CAC0E}"/>
            </c:ext>
          </c:extLst>
        </c:ser>
        <c:ser>
          <c:idx val="2"/>
          <c:order val="2"/>
          <c:tx>
            <c:strRef>
              <c:f>'Ввод данных'!$D$80</c:f>
              <c:strCache>
                <c:ptCount val="1"/>
                <c:pt idx="0">
                  <c:v>Невыполненные, но непросроченные</c:v>
                </c:pt>
              </c:strCache>
            </c:strRef>
          </c:tx>
          <c:spPr>
            <a:solidFill>
              <a:srgbClr val="FF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0">
                  <c:v>0</c:v>
                </c:pt>
                <c:pt idx="1">
                  <c:v>0</c:v>
                </c:pt>
                <c:pt idx="2">
                  <c:v>0</c:v>
                </c:pt>
                <c:pt idx="3">
                  <c:v>1</c:v>
                </c:pt>
              </c:numCache>
            </c:numRef>
          </c:val>
          <c:extLst xmlns:c16r2="http://schemas.microsoft.com/office/drawing/2015/06/chart">
            <c:ext xmlns:c16="http://schemas.microsoft.com/office/drawing/2014/chart" uri="{C3380CC4-5D6E-409C-BE32-E72D297353CC}">
              <c16:uniqueId val="{00000002-2341-4C3E-8383-C2CDC07CAC0E}"/>
            </c:ext>
          </c:extLst>
        </c:ser>
        <c:ser>
          <c:idx val="3"/>
          <c:order val="3"/>
          <c:tx>
            <c:strRef>
              <c:f>'[1]Ввод данных'!$E$80</c:f>
              <c:strCache>
                <c:ptCount val="1"/>
                <c:pt idx="0">
                  <c:v>Невыполненные и просроченные</c:v>
                </c:pt>
              </c:strCache>
            </c:strRef>
          </c:tx>
          <c:spPr>
            <a:solidFill>
              <a:schemeClr val="accent1">
                <a:lumMod val="60000"/>
              </a:schemeClr>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'[1]Ввод данных'!$E$81:$E$84</c:f>
              <c:numCache>
                <c:formatCode>General</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3-2341-4C3E-8383-C2CDC07CAC0E}"/>
            </c:ext>
          </c:extLst>
        </c:ser>
        <c:dLbls>
          <c:showLegendKey val="0"/>
          <c:showVal val="0"/>
          <c:showCatName val="0"/>
          <c:showSerName val="0"/>
          <c:showPercent val="0"/>
          <c:showBubbleSize val="0"/>
        </c:dLbls>
        <c:gapWidth val="55"/>
        <c:overlap val="100"/>
        <c:axId val="-516257312"/>
        <c:axId val="-516255136"/>
      </c:barChart>
      <c:catAx>
        <c:axId val="-5162573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6255136"/>
        <c:crosses val="autoZero"/>
        <c:auto val="1"/>
        <c:lblAlgn val="ctr"/>
        <c:lblOffset val="100"/>
        <c:tickLblSkip val="1"/>
        <c:tickMarkSkip val="1"/>
        <c:noMultiLvlLbl val="0"/>
      </c:catAx>
      <c:valAx>
        <c:axId val="-516255136"/>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16257312"/>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данных'!$B$96:$F$96</c:f>
              <c:numCache>
                <c:formatCode>General</c:formatCode>
                <c:ptCount val="5"/>
                <c:pt idx="0">
                  <c:v>42</c:v>
                </c:pt>
                <c:pt idx="1">
                  <c:v>32</c:v>
                </c:pt>
                <c:pt idx="2">
                  <c:v>32</c:v>
                </c:pt>
                <c:pt idx="3">
                  <c:v>42</c:v>
                </c:pt>
                <c:pt idx="4">
                  <c:v>32</c:v>
                </c:pt>
              </c:numCache>
            </c:numRef>
          </c:val>
          <c:extLst xmlns:c16r2="http://schemas.microsoft.com/office/drawing/2015/06/chart">
            <c:ext xmlns:c16="http://schemas.microsoft.com/office/drawing/2014/chart" uri="{C3380CC4-5D6E-409C-BE32-E72D297353CC}">
              <c16:uniqueId val="{00000000-2412-42B5-ABC3-EB7C9DC26D4D}"/>
            </c:ext>
          </c:extLst>
        </c:ser>
        <c:ser>
          <c:idx val="1"/>
          <c:order val="1"/>
          <c:tx>
            <c:strRef>
              <c:f>'Ввод данных'!$A$91</c:f>
              <c:strCache>
                <c:ptCount val="1"/>
                <c:pt idx="0">
                  <c:v>ТБ</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2412-42B5-ABC3-EB7C9DC26D4D}"/>
            </c:ext>
          </c:extLst>
        </c:ser>
        <c:dLbls>
          <c:showLegendKey val="0"/>
          <c:showVal val="1"/>
          <c:showCatName val="0"/>
          <c:showSerName val="0"/>
          <c:showPercent val="0"/>
          <c:showBubbleSize val="0"/>
        </c:dLbls>
        <c:gapWidth val="150"/>
        <c:overlap val="-25"/>
        <c:axId val="-516255680"/>
        <c:axId val="-514926768"/>
      </c:barChart>
      <c:catAx>
        <c:axId val="-516255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26768"/>
        <c:crosses val="autoZero"/>
        <c:auto val="1"/>
        <c:lblAlgn val="ctr"/>
        <c:lblOffset val="100"/>
        <c:noMultiLvlLbl val="0"/>
      </c:catAx>
      <c:valAx>
        <c:axId val="-514926768"/>
        <c:scaling>
          <c:orientation val="minMax"/>
        </c:scaling>
        <c:delete val="1"/>
        <c:axPos val="l"/>
        <c:numFmt formatCode="General" sourceLinked="1"/>
        <c:majorTickMark val="none"/>
        <c:minorTickMark val="none"/>
        <c:tickLblPos val="nextTo"/>
        <c:crossAx val="-5162556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данных'!$F$151</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данных'!$G$150:$H$150</c:f>
              <c:strCache>
                <c:ptCount val="2"/>
                <c:pt idx="0">
                  <c:v>P1</c:v>
                </c:pt>
                <c:pt idx="1">
                  <c:v>P2</c:v>
                </c:pt>
              </c:strCache>
            </c:strRef>
          </c:cat>
          <c:val>
            <c:numRef>
              <c:f>'Ввод данных'!$G$151:$H$151</c:f>
              <c:numCache>
                <c:formatCode>#,##0</c:formatCode>
                <c:ptCount val="2"/>
                <c:pt idx="0">
                  <c:v>13750</c:v>
                </c:pt>
                <c:pt idx="1">
                  <c:v>14375</c:v>
                </c:pt>
              </c:numCache>
            </c:numRef>
          </c:val>
          <c:extLst xmlns:c16r2="http://schemas.microsoft.com/office/drawing/2015/06/chart">
            <c:ext xmlns:c16="http://schemas.microsoft.com/office/drawing/2014/chart" uri="{C3380CC4-5D6E-409C-BE32-E72D297353CC}">
              <c16:uniqueId val="{00000000-CC31-4566-A72D-ABFF83B88177}"/>
            </c:ext>
          </c:extLst>
        </c:ser>
        <c:ser>
          <c:idx val="1"/>
          <c:order val="1"/>
          <c:tx>
            <c:strRef>
              <c:f>'Ввод данных'!$F$152</c:f>
              <c:strCache>
                <c:ptCount val="1"/>
                <c:pt idx="0">
                  <c:v>Достигнуто на 110%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данных'!$G$150:$H$150</c:f>
              <c:strCache>
                <c:ptCount val="2"/>
                <c:pt idx="0">
                  <c:v>P1</c:v>
                </c:pt>
                <c:pt idx="1">
                  <c:v>P2</c:v>
                </c:pt>
              </c:strCache>
            </c:strRef>
          </c:cat>
          <c:val>
            <c:numRef>
              <c:f>'Ввод данных'!$G$152:$H$152</c:f>
              <c:numCache>
                <c:formatCode>#,##0</c:formatCode>
                <c:ptCount val="2"/>
                <c:pt idx="0">
                  <c:v>14682</c:v>
                </c:pt>
                <c:pt idx="1">
                  <c:v>15859</c:v>
                </c:pt>
              </c:numCache>
            </c:numRef>
          </c:val>
          <c:extLst xmlns:c16r2="http://schemas.microsoft.com/office/drawing/2015/06/chart">
            <c:ext xmlns:c16="http://schemas.microsoft.com/office/drawing/2014/chart" uri="{C3380CC4-5D6E-409C-BE32-E72D297353CC}">
              <c16:uniqueId val="{00000001-CC31-4566-A72D-ABFF83B88177}"/>
            </c:ext>
          </c:extLst>
        </c:ser>
        <c:dLbls>
          <c:showLegendKey val="0"/>
          <c:showVal val="1"/>
          <c:showCatName val="0"/>
          <c:showSerName val="0"/>
          <c:showPercent val="0"/>
          <c:showBubbleSize val="0"/>
        </c:dLbls>
        <c:gapWidth val="150"/>
        <c:overlap val="-25"/>
        <c:axId val="-514929488"/>
        <c:axId val="-514931120"/>
      </c:barChart>
      <c:catAx>
        <c:axId val="-514929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14931120"/>
        <c:crosses val="autoZero"/>
        <c:auto val="1"/>
        <c:lblAlgn val="ctr"/>
        <c:lblOffset val="100"/>
        <c:noMultiLvlLbl val="0"/>
      </c:catAx>
      <c:valAx>
        <c:axId val="-514931120"/>
        <c:scaling>
          <c:orientation val="minMax"/>
        </c:scaling>
        <c:delete val="1"/>
        <c:axPos val="l"/>
        <c:numFmt formatCode="#,##0" sourceLinked="1"/>
        <c:majorTickMark val="none"/>
        <c:minorTickMark val="none"/>
        <c:tickLblPos val="nextTo"/>
        <c:crossAx val="-51492948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hyperlink" Target="#&#1052;&#1077;&#1085;&#1102;!A1"/><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xdr:cNvPr>
        <xdr:cNvGrpSpPr>
          <a:grpSpLocks/>
        </xdr:cNvGrpSpPr>
      </xdr:nvGrpSpPr>
      <xdr:grpSpPr bwMode="auto">
        <a:xfrm>
          <a:off x="3260725" y="2398713"/>
          <a:ext cx="1285875" cy="409575"/>
          <a:chOff x="1200" y="1912"/>
          <a:chExt cx="3456" cy="774"/>
        </a:xfrm>
      </xdr:grpSpPr>
      <xdr:sp macro="" textlink="">
        <xdr:nvSpPr>
          <xdr:cNvPr id="393056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xdr:cNvGrpSpPr>
          <a:grpSpLocks/>
        </xdr:cNvGrpSpPr>
      </xdr:nvGrpSpPr>
      <xdr:grpSpPr bwMode="auto">
        <a:xfrm>
          <a:off x="3260725" y="3465513"/>
          <a:ext cx="1314450" cy="371475"/>
          <a:chOff x="1200" y="1912"/>
          <a:chExt cx="3456" cy="774"/>
        </a:xfrm>
      </xdr:grpSpPr>
      <xdr:sp macro="" textlink="">
        <xdr:nvSpPr>
          <xdr:cNvPr id="3930562"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xdr:cNvPr>
        <xdr:cNvGrpSpPr>
          <a:grpSpLocks/>
        </xdr:cNvGrpSpPr>
      </xdr:nvGrpSpPr>
      <xdr:grpSpPr bwMode="auto">
        <a:xfrm>
          <a:off x="3251200" y="2932113"/>
          <a:ext cx="1314450" cy="390525"/>
          <a:chOff x="1200" y="1912"/>
          <a:chExt cx="3456" cy="774"/>
        </a:xfrm>
      </xdr:grpSpPr>
      <xdr:sp macro="" textlink="">
        <xdr:nvSpPr>
          <xdr:cNvPr id="3930559"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xdr:cNvSpPr>
          <a:spLocks noChangeArrowheads="1"/>
        </xdr:cNvSpPr>
      </xdr:nvSpPr>
      <xdr:spPr bwMode="auto">
        <a:xfrm>
          <a:off x="2247900" y="1428750"/>
          <a:ext cx="3362325" cy="238125"/>
        </a:xfrm>
        <a:prstGeom prst="rect">
          <a:avLst/>
        </a:prstGeom>
        <a:noFill/>
        <a:ln>
          <a:noFill/>
        </a:ln>
        <a:extLst/>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xdr:cNvPr>
        <xdr:cNvGrpSpPr>
          <a:grpSpLocks/>
        </xdr:cNvGrpSpPr>
      </xdr:nvGrpSpPr>
      <xdr:grpSpPr bwMode="auto">
        <a:xfrm>
          <a:off x="5708650" y="2579688"/>
          <a:ext cx="1501775" cy="409575"/>
          <a:chOff x="599" y="262"/>
          <a:chExt cx="158" cy="43"/>
        </a:xfrm>
      </xdr:grpSpPr>
      <xdr:sp macro="" textlink="">
        <xdr:nvSpPr>
          <xdr:cNvPr id="3930555"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xdr:cNvGrpSpPr>
          <a:grpSpLocks/>
        </xdr:cNvGrpSpPr>
      </xdr:nvGrpSpPr>
      <xdr:grpSpPr bwMode="auto">
        <a:xfrm>
          <a:off x="327025" y="1903413"/>
          <a:ext cx="2143125" cy="2124075"/>
          <a:chOff x="32" y="188"/>
          <a:chExt cx="225" cy="225"/>
        </a:xfrm>
      </xdr:grpSpPr>
      <xdr:sp macro="" textlink="">
        <xdr:nvSpPr>
          <xdr:cNvPr id="393055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xdr:cNvGrpSpPr>
          <a:grpSpLocks/>
        </xdr:cNvGrpSpPr>
      </xdr:nvGrpSpPr>
      <xdr:grpSpPr bwMode="auto">
        <a:xfrm>
          <a:off x="5699125" y="3208338"/>
          <a:ext cx="1501775" cy="409575"/>
          <a:chOff x="578" y="328"/>
          <a:chExt cx="158" cy="43"/>
        </a:xfrm>
      </xdr:grpSpPr>
      <xdr:sp macro="" textlink="">
        <xdr:nvSpPr>
          <xdr:cNvPr id="3930549"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xdr:cNvGrpSpPr>
          <a:grpSpLocks/>
        </xdr:cNvGrpSpPr>
      </xdr:nvGrpSpPr>
      <xdr:grpSpPr bwMode="auto">
        <a:xfrm>
          <a:off x="593725" y="3475038"/>
          <a:ext cx="1504950" cy="342900"/>
          <a:chOff x="56" y="259"/>
          <a:chExt cx="158" cy="40"/>
        </a:xfrm>
      </xdr:grpSpPr>
      <xdr:sp macro="" textlink="">
        <xdr:nvSpPr>
          <xdr:cNvPr id="3930545"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xdr:cNvPr>
        <xdr:cNvGrpSpPr>
          <a:grpSpLocks/>
        </xdr:cNvGrpSpPr>
      </xdr:nvGrpSpPr>
      <xdr:grpSpPr bwMode="auto">
        <a:xfrm>
          <a:off x="593725" y="2417763"/>
          <a:ext cx="1504950" cy="371475"/>
          <a:chOff x="1343025" y="2428876"/>
          <a:chExt cx="3240982" cy="617274"/>
        </a:xfrm>
      </xdr:grpSpPr>
      <xdr:sp macro="" textlink="">
        <xdr:nvSpPr>
          <xdr:cNvPr id="3930541"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xdr:cNvPr>
        <xdr:cNvGrpSpPr>
          <a:grpSpLocks/>
        </xdr:cNvGrpSpPr>
      </xdr:nvGrpSpPr>
      <xdr:grpSpPr bwMode="auto">
        <a:xfrm>
          <a:off x="593725" y="2951163"/>
          <a:ext cx="1504950" cy="371475"/>
          <a:chOff x="1343025" y="2428876"/>
          <a:chExt cx="3240982" cy="617274"/>
        </a:xfrm>
      </xdr:grpSpPr>
      <xdr:sp macro="" textlink="">
        <xdr:nvSpPr>
          <xdr:cNvPr id="39305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57150</xdr:colOff>
      <xdr:row>32</xdr:row>
      <xdr:rowOff>47625</xdr:rowOff>
    </xdr:to>
    <xdr:graphicFrame macro="">
      <xdr:nvGraphicFramePr>
        <xdr:cNvPr id="2854334"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xdr:cNvGrpSpPr>
          <a:grpSpLocks/>
        </xdr:cNvGrpSpPr>
      </xdr:nvGrpSpPr>
      <xdr:grpSpPr bwMode="auto">
        <a:xfrm>
          <a:off x="4761035" y="4346332"/>
          <a:ext cx="3405553" cy="162658"/>
          <a:chOff x="0" y="0"/>
          <a:chExt cx="37352" cy="2842"/>
        </a:xfrm>
      </xdr:grpSpPr>
      <xdr:sp macro="" textlink="">
        <xdr:nvSpPr>
          <xdr:cNvPr id="2854337" name="Rectangle 1"/>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9525</xdr:colOff>
      <xdr:row>20</xdr:row>
      <xdr:rowOff>19052</xdr:rowOff>
    </xdr:from>
    <xdr:to>
      <xdr:col>13</xdr:col>
      <xdr:colOff>0</xdr:colOff>
      <xdr:row>24</xdr:row>
      <xdr:rowOff>247651</xdr:rowOff>
    </xdr:to>
    <xdr:graphicFrame macro="">
      <xdr:nvGraphicFramePr>
        <xdr:cNvPr id="287084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209550</xdr:colOff>
      <xdr:row>27</xdr:row>
      <xdr:rowOff>47625</xdr:rowOff>
    </xdr:from>
    <xdr:to>
      <xdr:col>5</xdr:col>
      <xdr:colOff>1123950</xdr:colOff>
      <xdr:row>33</xdr:row>
      <xdr:rowOff>0</xdr:rowOff>
    </xdr:to>
    <xdr:graphicFrame macro="">
      <xdr:nvGraphicFramePr>
        <xdr:cNvPr id="287084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3"/>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8</xdr:col>
      <xdr:colOff>0</xdr:colOff>
      <xdr:row>8</xdr:row>
      <xdr:rowOff>9526</xdr:rowOff>
    </xdr:from>
    <xdr:to>
      <xdr:col>13</xdr:col>
      <xdr:colOff>0</xdr:colOff>
      <xdr:row>18</xdr:row>
      <xdr:rowOff>28575</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8</xdr:row>
      <xdr:rowOff>0</xdr:rowOff>
    </xdr:from>
    <xdr:to>
      <xdr:col>5</xdr:col>
      <xdr:colOff>1123950</xdr:colOff>
      <xdr:row>18</xdr:row>
      <xdr:rowOff>123825</xdr:rowOff>
    </xdr:to>
    <xdr:graphicFrame macro="">
      <xdr:nvGraphicFramePr>
        <xdr:cNvPr id="1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209550</xdr:colOff>
      <xdr:row>20</xdr:row>
      <xdr:rowOff>9524</xdr:rowOff>
    </xdr:from>
    <xdr:to>
      <xdr:col>5</xdr:col>
      <xdr:colOff>1114425</xdr:colOff>
      <xdr:row>24</xdr:row>
      <xdr:rowOff>257174</xdr:rowOff>
    </xdr:to>
    <xdr:graphicFrame macro="">
      <xdr:nvGraphicFramePr>
        <xdr:cNvPr id="11" name="Диаграмма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219075</xdr:colOff>
      <xdr:row>8</xdr:row>
      <xdr:rowOff>1724025</xdr:rowOff>
    </xdr:from>
    <xdr:to>
      <xdr:col>4</xdr:col>
      <xdr:colOff>419099</xdr:colOff>
      <xdr:row>18</xdr:row>
      <xdr:rowOff>9525</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419100</xdr:colOff>
      <xdr:row>8</xdr:row>
      <xdr:rowOff>1702777</xdr:rowOff>
    </xdr:from>
    <xdr:to>
      <xdr:col>11</xdr:col>
      <xdr:colOff>116584</xdr:colOff>
      <xdr:row>18</xdr:row>
      <xdr:rowOff>0</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104775</xdr:colOff>
      <xdr:row>8</xdr:row>
      <xdr:rowOff>1724026</xdr:rowOff>
    </xdr:from>
    <xdr:to>
      <xdr:col>16</xdr:col>
      <xdr:colOff>1546972</xdr:colOff>
      <xdr:row>18</xdr:row>
      <xdr:rowOff>0</xdr:rowOff>
    </xdr:to>
    <xdr:graphicFrame macro="">
      <xdr:nvGraphicFramePr>
        <xdr:cNvPr id="12" name="Диаграмма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38100</xdr:colOff>
      <xdr:row>39</xdr:row>
      <xdr:rowOff>21532</xdr:rowOff>
    </xdr:from>
    <xdr:to>
      <xdr:col>4</xdr:col>
      <xdr:colOff>522755</xdr:colOff>
      <xdr:row>48</xdr:row>
      <xdr:rowOff>21939</xdr:rowOff>
    </xdr:to>
    <xdr:graphicFrame macro="">
      <xdr:nvGraphicFramePr>
        <xdr:cNvPr id="1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533961</xdr:colOff>
      <xdr:row>39</xdr:row>
      <xdr:rowOff>9525</xdr:rowOff>
    </xdr:from>
    <xdr:to>
      <xdr:col>10</xdr:col>
      <xdr:colOff>686922</xdr:colOff>
      <xdr:row>48</xdr:row>
      <xdr:rowOff>38100</xdr:rowOff>
    </xdr:to>
    <xdr:graphicFrame macro="">
      <xdr:nvGraphicFramePr>
        <xdr:cNvPr id="17" name="Диаграмма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684519</xdr:colOff>
      <xdr:row>39</xdr:row>
      <xdr:rowOff>11926</xdr:rowOff>
    </xdr:from>
    <xdr:to>
      <xdr:col>16</xdr:col>
      <xdr:colOff>1541930</xdr:colOff>
      <xdr:row>48</xdr:row>
      <xdr:rowOff>38535</xdr:rowOff>
    </xdr:to>
    <xdr:graphicFrame macro="">
      <xdr:nvGraphicFramePr>
        <xdr:cNvPr id="18" name="Диаграмма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xdr:cNvGrpSpPr>
          <a:grpSpLocks/>
        </xdr:cNvGrpSpPr>
      </xdr:nvGrpSpPr>
      <xdr:grpSpPr bwMode="auto">
        <a:xfrm>
          <a:off x="5556250" y="5577417"/>
          <a:ext cx="85725" cy="0"/>
          <a:chOff x="595" y="540"/>
          <a:chExt cx="9" cy="9"/>
        </a:xfrm>
      </xdr:grpSpPr>
      <xdr:sp macro="" textlink="">
        <xdr:nvSpPr>
          <xdr:cNvPr id="343514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xdr:cNvGrpSpPr>
          <a:grpSpLocks/>
        </xdr:cNvGrpSpPr>
      </xdr:nvGrpSpPr>
      <xdr:grpSpPr bwMode="auto">
        <a:xfrm>
          <a:off x="6537325" y="5577417"/>
          <a:ext cx="86783" cy="0"/>
          <a:chOff x="698" y="540"/>
          <a:chExt cx="9" cy="9"/>
        </a:xfrm>
      </xdr:grpSpPr>
      <xdr:sp macro="" textlink="">
        <xdr:nvSpPr>
          <xdr:cNvPr id="343514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xdr:cNvGrpSpPr>
          <a:grpSpLocks/>
        </xdr:cNvGrpSpPr>
      </xdr:nvGrpSpPr>
      <xdr:grpSpPr bwMode="auto">
        <a:xfrm>
          <a:off x="5183717" y="5577417"/>
          <a:ext cx="86783" cy="0"/>
          <a:chOff x="698" y="540"/>
          <a:chExt cx="9" cy="9"/>
        </a:xfrm>
      </xdr:grpSpPr>
      <xdr:sp macro="" textlink="">
        <xdr:nvSpPr>
          <xdr:cNvPr id="3435142"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xdr:cNvGrpSpPr>
          <a:grpSpLocks/>
        </xdr:cNvGrpSpPr>
      </xdr:nvGrpSpPr>
      <xdr:grpSpPr bwMode="auto">
        <a:xfrm>
          <a:off x="1439333" y="5577417"/>
          <a:ext cx="85725" cy="0"/>
          <a:chOff x="595" y="540"/>
          <a:chExt cx="9" cy="9"/>
        </a:xfrm>
      </xdr:grpSpPr>
      <xdr:sp macro="" textlink="">
        <xdr:nvSpPr>
          <xdr:cNvPr id="3435140"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hboard-P1-%20TB_HIV%20(3-4%20&#1082;&#1074;.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 val="Лист1"/>
    </sheetNames>
    <sheetDataSet>
      <sheetData sheetId="0" refreshError="1"/>
      <sheetData sheetId="1" refreshError="1"/>
      <sheetData sheetId="2">
        <row r="80">
          <cell r="E80" t="str">
            <v>Невыполненные и просроченные</v>
          </cell>
        </row>
        <row r="81">
          <cell r="E81">
            <v>0</v>
          </cell>
        </row>
        <row r="82">
          <cell r="E82">
            <v>0</v>
          </cell>
        </row>
        <row r="83">
          <cell r="E83">
            <v>0</v>
          </cell>
        </row>
        <row r="84">
          <cell r="E8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ables/tableSingleCells1.xml><?xml version="1.0" encoding="utf-8"?>
<singleXmlCells xmlns="http://schemas.openxmlformats.org/spreadsheetml/2006/main">
  <singleXmlCell id="419" r="B4" connectionId="0">
    <xmlCellPr id="1" uniqueName="1">
      <xmlPr mapId="43" xpath="/ns1:Root/ns1:Country" xmlDataType="string"/>
    </xmlCellPr>
  </singleXmlCell>
  <singleXmlCell id="420" r="B6" connectionId="0">
    <xmlCellPr id="1" uniqueName="1">
      <xmlPr mapId="43" xpath="/ns1:Root/ns1:GrantNumber" xmlDataType="string"/>
    </xmlCellPr>
  </singleXmlCell>
  <singleXmlCell id="421" r="B8" connectionId="0">
    <xmlCellPr id="1" uniqueName="1">
      <xmlPr mapId="43" xpath="/ns1:Root/ns1:PR" xmlDataType="string"/>
    </xmlCellPr>
  </singleXmlCell>
  <singleXmlCell id="422" r="B10" connectionId="0">
    <xmlCellPr id="1" uniqueName="1">
      <xmlPr mapId="43" xpath="/ns1:Root/ns1:StartDate" xmlDataType="dateTime"/>
    </xmlCellPr>
  </singleXmlCell>
  <singleXmlCell id="423" r="B12" connectionId="0">
    <xmlCellPr id="1" uniqueName="1">
      <xmlPr mapId="43" xpath="/ns1:Root/ns1:LatestRating" xmlDataType="string"/>
    </xmlCellPr>
  </singleXmlCell>
  <singleXmlCell id="424" r="F4" connectionId="0">
    <xmlCellPr id="1" uniqueName="1">
      <xmlPr mapId="43" xpath="/ns1:Root/ns1:GranTitle" xmlDataType="string"/>
    </xmlCellPr>
  </singleXmlCell>
  <singleXmlCell id="425" r="F6" connectionId="0">
    <xmlCellPr id="1" uniqueName="1">
      <xmlPr mapId="43" xpath="/ns1:Root/ns1:Componenent" xmlDataType="string"/>
    </xmlCellPr>
  </singleXmlCell>
  <singleXmlCell id="426" r="H6" connectionId="0">
    <xmlCellPr id="1" uniqueName="1">
      <xmlPr mapId="43" xpath="/ns1:Root/ns1:TotalFunding" xmlDataType="double"/>
    </xmlCellPr>
  </singleXmlCell>
  <singleXmlCell id="427" r="F8" connectionId="0">
    <xmlCellPr id="1" uniqueName="1">
      <xmlPr mapId="43" xpath="/ns1:Root/ns1:Round" xmlDataType="string"/>
    </xmlCellPr>
  </singleXmlCell>
  <singleXmlCell id="428" r="H8" connectionId="0">
    <xmlCellPr id="1" uniqueName="1">
      <xmlPr mapId="43" xpath="/ns1:Root/ns1:Phase" xmlDataType="string"/>
    </xmlCellPr>
  </singleXmlCell>
  <singleXmlCell id="429" r="F10" connectionId="0">
    <xmlCellPr id="1" uniqueName="1">
      <xmlPr mapId="43" xpath="/ns1:Root/ns1:LFA" xmlDataType="string"/>
    </xmlCellPr>
  </singleXmlCell>
  <singleXmlCell id="430" r="F12" connectionId="0">
    <xmlCellPr id="1" uniqueName="1">
      <xmlPr mapId="43" xpath="/ns1:Root/ns1:FPM" xmlDataType="string"/>
    </xmlCellPr>
  </singleXmlCell>
  <singleXmlCell id="431" r="B16" connectionId="0">
    <xmlCellPr id="1" uniqueName="1">
      <xmlPr mapId="43" xpath="/ns1:Root/ns1:Period" xmlDataType="string"/>
    </xmlCellPr>
  </singleXmlCell>
  <singleXmlCell id="432" r="D16" connectionId="0">
    <xmlCellPr id="1" uniqueName="1">
      <xmlPr mapId="43" xpath="/ns1:Root/ns1:From" xmlDataType="dateTime"/>
    </xmlCellPr>
  </singleXmlCell>
  <singleXmlCell id="433" r="F16" connectionId="0">
    <xmlCellPr id="1" uniqueName="1">
      <xmlPr mapId="43" xpath="/ns1:Root/ns1:To" xmlDataType="dateTime"/>
    </xmlCellPr>
  </singleXmlCell>
  <singleXmlCell id="434" r="I16" connectionId="0">
    <xmlCellPr id="1" uniqueName="1">
      <xmlPr mapId="43" xpath="/ns1:Root/ns1:DataEntryDate" xmlDataType="dateTime"/>
    </xmlCellPr>
  </singleXmlCell>
  <singleXmlCell id="435" r="C18" connectionId="0">
    <xmlCellPr id="1" uniqueName="1">
      <xmlPr mapId="43" xpath="/ns1:Root/ns1:PreparedBy" xmlDataType="string"/>
    </xmlCellPr>
  </singleXmlCell>
  <singleXmlCell id="436" r="B31" connectionId="0">
    <xmlCellPr id="1" uniqueName="1">
      <xmlPr mapId="43" xpath="/ns1:Root/ns1:F1/ns1:Budget__in____P1" xmlDataType="double"/>
    </xmlCellPr>
  </singleXmlCell>
  <singleXmlCell id="437" r="C31" connectionId="0">
    <xmlCellPr id="1" uniqueName="1">
      <xmlPr mapId="43" xpath="/ns1:Root/ns1:F1/ns1:Budget__in____P2" xmlDataType="double"/>
    </xmlCellPr>
  </singleXmlCell>
  <singleXmlCell id="438" r="D31" connectionId="0">
    <xmlCellPr id="1" uniqueName="1">
      <xmlPr mapId="43" xpath="/ns1:Root/ns1:F1/ns1:Budget__in____P3" xmlDataType="string"/>
    </xmlCellPr>
  </singleXmlCell>
  <singleXmlCell id="439" r="E31" connectionId="0">
    <xmlCellPr id="1" uniqueName="1">
      <xmlPr mapId="43" xpath="/ns1:Root/ns1:F1/ns1:Budget__in____P4" xmlDataType="string"/>
    </xmlCellPr>
  </singleXmlCell>
  <singleXmlCell id="440" r="F31" connectionId="0">
    <xmlCellPr id="1" uniqueName="1">
      <xmlPr mapId="43" xpath="/ns1:Root/ns1:F1/ns1:Budget__in____P5" xmlDataType="string"/>
    </xmlCellPr>
  </singleXmlCell>
  <singleXmlCell id="441" r="G31" connectionId="0">
    <xmlCellPr id="1" uniqueName="1">
      <xmlPr mapId="43" xpath="/ns1:Root/ns1:F1/ns1:Budget__in____P6" xmlDataType="string"/>
    </xmlCellPr>
  </singleXmlCell>
  <singleXmlCell id="442" r="H31" connectionId="0">
    <xmlCellPr id="1" uniqueName="1">
      <xmlPr mapId="43" xpath="/ns1:Root/ns1:F1/ns1:Budget__in____P7" xmlDataType="string"/>
    </xmlCellPr>
  </singleXmlCell>
  <singleXmlCell id="443" r="I31" connectionId="0">
    <xmlCellPr id="1" uniqueName="1">
      <xmlPr mapId="43" xpath="/ns1:Root/ns1:F1/ns1:Budget__in____P8" xmlDataType="string"/>
    </xmlCellPr>
  </singleXmlCell>
  <singleXmlCell id="444" r="J31" connectionId="0">
    <xmlCellPr id="1" uniqueName="1">
      <xmlPr mapId="43" xpath="/ns1:Root/ns1:F1/ns1:Budget__in____P9" xmlDataType="string"/>
    </xmlCellPr>
  </singleXmlCell>
  <singleXmlCell id="445" r="K31" connectionId="0">
    <xmlCellPr id="1" uniqueName="1">
      <xmlPr mapId="43" xpath="/ns1:Root/ns1:F1/ns1:Budget__in____P10" xmlDataType="string"/>
    </xmlCellPr>
  </singleXmlCell>
  <singleXmlCell id="446" r="L31" connectionId="0">
    <xmlCellPr id="1" uniqueName="1">
      <xmlPr mapId="43" xpath="/ns1:Root/ns1:F1/ns1:Budget__in____P11" xmlDataType="string"/>
    </xmlCellPr>
  </singleXmlCell>
  <singleXmlCell id="447" r="M31" connectionId="0">
    <xmlCellPr id="1" uniqueName="1">
      <xmlPr mapId="43" xpath="/ns1:Root/ns1:F1/ns1:Budget__in____P12" xmlDataType="string"/>
    </xmlCellPr>
  </singleXmlCell>
  <singleXmlCell id="448" r="B32" connectionId="0">
    <xmlCellPr id="1" uniqueName="1">
      <xmlPr mapId="43" xpath="/ns1:Root/ns1:F1/ns1:Disbursements_by_GF__in____P1" xmlDataType="double"/>
    </xmlCellPr>
  </singleXmlCell>
  <singleXmlCell id="449" r="C32" connectionId="0">
    <xmlCellPr id="1" uniqueName="1">
      <xmlPr mapId="43" xpath="/ns1:Root/ns1:F1/ns1:Disbursements_by_GF__in____P2" xmlDataType="double"/>
    </xmlCellPr>
  </singleXmlCell>
  <singleXmlCell id="450" r="D32" connectionId="0">
    <xmlCellPr id="1" uniqueName="1">
      <xmlPr mapId="43" xpath="/ns1:Root/ns1:F1/ns1:Disbursements_by_GF__in____P3" xmlDataType="string"/>
    </xmlCellPr>
  </singleXmlCell>
  <singleXmlCell id="451" r="E32" connectionId="0">
    <xmlCellPr id="1" uniqueName="1">
      <xmlPr mapId="43" xpath="/ns1:Root/ns1:F1/ns1:Disbursements_by_GF__in____P4" xmlDataType="string"/>
    </xmlCellPr>
  </singleXmlCell>
  <singleXmlCell id="452" r="F32" connectionId="0">
    <xmlCellPr id="1" uniqueName="1">
      <xmlPr mapId="43" xpath="/ns1:Root/ns1:F1/ns1:Disbursements_by_GF__in____P5" xmlDataType="string"/>
    </xmlCellPr>
  </singleXmlCell>
  <singleXmlCell id="453" r="G32" connectionId="0">
    <xmlCellPr id="1" uniqueName="1">
      <xmlPr mapId="43" xpath="/ns1:Root/ns1:F1/ns1:Disbursements_by_GF__in____P6" xmlDataType="string"/>
    </xmlCellPr>
  </singleXmlCell>
  <singleXmlCell id="454" r="H32" connectionId="0">
    <xmlCellPr id="1" uniqueName="1">
      <xmlPr mapId="43" xpath="/ns1:Root/ns1:F1/ns1:Disbursements_by_GF__in____P7" xmlDataType="string"/>
    </xmlCellPr>
  </singleXmlCell>
  <singleXmlCell id="455" r="I32" connectionId="0">
    <xmlCellPr id="1" uniqueName="1">
      <xmlPr mapId="43" xpath="/ns1:Root/ns1:F1/ns1:Disbursements_by_GF__in____P8" xmlDataType="string"/>
    </xmlCellPr>
  </singleXmlCell>
  <singleXmlCell id="456" r="J32" connectionId="0">
    <xmlCellPr id="1" uniqueName="1">
      <xmlPr mapId="43" xpath="/ns1:Root/ns1:F1/ns1:Disbursements_by_GF__in____P9" xmlDataType="string"/>
    </xmlCellPr>
  </singleXmlCell>
  <singleXmlCell id="457" r="K32" connectionId="0">
    <xmlCellPr id="1" uniqueName="1">
      <xmlPr mapId="43" xpath="/ns1:Root/ns1:F1/ns1:Disbursements_by_GF__in____P10" xmlDataType="string"/>
    </xmlCellPr>
  </singleXmlCell>
  <singleXmlCell id="458" r="L32" connectionId="0">
    <xmlCellPr id="1" uniqueName="1">
      <xmlPr mapId="43" xpath="/ns1:Root/ns1:F1/ns1:Disbursements_by_GF__in____P11" xmlDataType="string"/>
    </xmlCellPr>
  </singleXmlCell>
  <singleXmlCell id="459" r="M32" connectionId="0">
    <xmlCellPr id="1" uniqueName="1">
      <xmlPr mapId="43" xpath="/ns1:Root/ns1:F1/ns1:Disbursements_by_GF__in____P12" xmlDataType="string"/>
    </xmlCellPr>
  </singleXmlCell>
  <singleXmlCell id="460" r="B39" connectionId="0">
    <xmlCellPr id="1" uniqueName="1">
      <xmlPr mapId="43" xpath="/ns1:Root/ns1:F2/ns1:TB__detect_and_treat_Cumulative_Budget__in___" xmlDataType="double"/>
    </xmlCellPr>
  </singleXmlCell>
  <singleXmlCell id="461" r="C39" connectionId="0">
    <xmlCellPr id="1" uniqueName="1">
      <xmlPr mapId="43" xpath="/ns1:Root/ns1:F2/ns1:TB__detect_and_treat_Cumulative_Expenditures__in___" xmlDataType="double"/>
    </xmlCellPr>
  </singleXmlCell>
  <singleXmlCell id="462" r="B54" connectionId="0">
    <xmlCellPr id="1" uniqueName="1">
      <xmlPr mapId="43" xpath="/ns1:Root/ns1:F2/ns1:TB__ID_cases_Cumulative_Budget__in___" xmlDataType="double"/>
    </xmlCellPr>
  </singleXmlCell>
  <singleXmlCell id="463" r="C54" connectionId="0">
    <xmlCellPr id="1" uniqueName="1">
      <xmlPr mapId="43" xpath="/ns1:Root/ns1:F2/ns1:TB__ID_cases_Cumulative_Expenditures__in___" xmlDataType="double"/>
    </xmlCellPr>
  </singleXmlCell>
  <singleXmlCell id="464" r="B55" connectionId="0">
    <xmlCellPr id="1" uniqueName="1">
      <xmlPr mapId="43" xpath="/ns1:Root/ns1:F2/ns1:TB_HIV__Cumulative_Budget__in___" xmlDataType="double"/>
    </xmlCellPr>
  </singleXmlCell>
  <singleXmlCell id="465" r="C55" connectionId="0">
    <xmlCellPr id="1" uniqueName="1">
      <xmlPr mapId="43" xpath="/ns1:Root/ns1:F2/ns1:TB_HIV__Cumulative_Expenditures__in___" xmlDataType="double"/>
    </xmlCellPr>
  </singleXmlCell>
  <singleXmlCell id="476" r="B61" connectionId="0">
    <xmlCellPr id="1" uniqueName="1">
      <xmlPr mapId="43" xpath="/ns1:Root/ns1:F3/ns1:Disbursed_by_Global_Fund_Prior_to_reporting_period__in___" xmlDataType="double"/>
    </xmlCellPr>
  </singleXmlCell>
  <singleXmlCell id="477" r="C61" connectionId="0">
    <xmlCellPr id="1" uniqueName="1">
      <xmlPr mapId="43" xpath="/ns1:Root/ns1:F3/ns1:Disbursed_by_Global_Fund_Reporting_period__in___" xmlDataType="double"/>
    </xmlCellPr>
  </singleXmlCell>
  <singleXmlCell id="478" r="B62" connectionId="0">
    <xmlCellPr id="1" uniqueName="1">
      <xmlPr mapId="43" xpath="/ns1:Root/ns1:F3/ns1:PR_expenditure_and_disbursement_Prior_to_reporting_period__in___" xmlDataType="double"/>
    </xmlCellPr>
  </singleXmlCell>
  <singleXmlCell id="479" r="C62" connectionId="0">
    <xmlCellPr id="1" uniqueName="1">
      <xmlPr mapId="43" xpath="/ns1:Root/ns1:F3/ns1:PR_expenditure_and_disbursement_Reporting_period__in___" xmlDataType="double"/>
    </xmlCellPr>
  </singleXmlCell>
  <singleXmlCell id="480" r="B63" connectionId="0">
    <xmlCellPr id="1" uniqueName="1">
      <xmlPr mapId="43" xpath="/ns1:Root/ns1:F3/ns1:Disbursed_to_SRs_Prior_to_reporting_period__in___" xmlDataType="double"/>
    </xmlCellPr>
  </singleXmlCell>
  <singleXmlCell id="481" r="C63" connectionId="0">
    <xmlCellPr id="1" uniqueName="1">
      <xmlPr mapId="43" xpath="/ns1:Root/ns1:F3/ns1:Disbursed_to_SRs_Reporting_period__in___" xmlDataType="double"/>
    </xmlCellPr>
  </singleXmlCell>
  <singleXmlCell id="482" r="B64" connectionId="0">
    <xmlCellPr id="1" uniqueName="1">
      <xmlPr mapId="43" xpath="/ns1:Root/ns1:F3/ns1:SR_expenditures_Prior_to_reporting_period__in___" xmlDataType="double"/>
    </xmlCellPr>
  </singleXmlCell>
  <singleXmlCell id="483" r="C64" connectionId="0">
    <xmlCellPr id="1" uniqueName="1">
      <xmlPr mapId="43" xpath="/ns1:Root/ns1:F3/ns1:SR_expenditures_Reporting_period__in___" xmlDataType="double"/>
    </xmlCellPr>
  </singleXmlCell>
  <singleXmlCell id="484" r="C71" connectionId="0">
    <xmlCellPr id="1" uniqueName="1">
      <xmlPr mapId="43" xpath="/ns1:Root/ns1:F4/ns1:Days_taken_to_submit_acceptable_PU_DR_to_LFA_Expected__days_" xmlDataType="double"/>
    </xmlCellPr>
  </singleXmlCell>
  <singleXmlCell id="485" r="D71" connectionId="0">
    <xmlCellPr id="1" uniqueName="1">
      <xmlPr mapId="43" xpath="/ns1:Root/ns1:F4/ns1:Days_taken_to_submit_acceptable_PU_DR_to_LFA_Actual__days_" xmlDataType="double"/>
    </xmlCellPr>
  </singleXmlCell>
  <singleXmlCell id="486" r="C72" connectionId="0">
    <xmlCellPr id="1" uniqueName="1">
      <xmlPr mapId="43" xpath="/ns1:Root/ns1:F4/ns1:Days_taken_for_disbursement_to_reach_PR_Expected__days_" xmlDataType="double"/>
    </xmlCellPr>
  </singleXmlCell>
  <singleXmlCell id="487" r="D72" connectionId="0">
    <xmlCellPr id="1" uniqueName="1">
      <xmlPr mapId="43" xpath="/ns1:Root/ns1:F4/ns1:Days_taken_for_disbursement_to_reach_PR_Actual__days_" xmlDataType="double"/>
    </xmlCellPr>
  </singleXmlCell>
  <singleXmlCell id="488" r="C73" connectionId="0">
    <xmlCellPr id="1" uniqueName="1">
      <xmlPr mapId="43" xpath="/ns1:Root/ns1:F4/ns1:Days_taken_for_disbursement_to_reach_SRs__Expected__days_" xmlDataType="double"/>
    </xmlCellPr>
  </singleXmlCell>
  <singleXmlCell id="489" r="D73" connectionId="0">
    <xmlCellPr id="1" uniqueName="1">
      <xmlPr mapId="43" xpath="/ns1:Root/ns1:F4/ns1:Days_taken_for_disbursement_to_reach_SRs__Actual__days_" xmlDataType="double"/>
    </xmlCellPr>
  </singleXmlCell>
  <singleXmlCell id="498" r="B91" connectionId="0">
    <xmlCellPr id="1" uniqueName="1">
      <xmlPr mapId="43" xpath="/ns1:Root/ns1:M2/ns1:PMU_Planned" xmlDataType="double"/>
    </xmlCellPr>
  </singleXmlCell>
  <singleXmlCell id="499" r="C91" connectionId="0">
    <xmlCellPr id="1" uniqueName="1">
      <xmlPr mapId="43" xpath="/ns1:Root/ns1:M2/ns1:PMU_Filled" xmlDataType="double"/>
    </xmlCellPr>
  </singleXmlCell>
  <singleXmlCell id="500" r="B97" connectionId="0">
    <xmlCellPr id="1" uniqueName="1">
      <xmlPr mapId="43" xpath="/ns1:Root/ns1:M3/ns1:SRs_Identified" xmlDataType="double"/>
    </xmlCellPr>
  </singleXmlCell>
  <singleXmlCell id="501" r="C97" connectionId="0">
    <xmlCellPr id="1" uniqueName="1">
      <xmlPr mapId="43" xpath="/ns1:Root/ns1:M3/ns1:SRs_Assessed" xmlDataType="double"/>
    </xmlCellPr>
  </singleXmlCell>
  <singleXmlCell id="502" r="D97" connectionId="0">
    <xmlCellPr id="1" uniqueName="1">
      <xmlPr mapId="43" xpath="/ns1:Root/ns1:M3/ns1:SRs_Approved" xmlDataType="double"/>
    </xmlCellPr>
  </singleXmlCell>
  <singleXmlCell id="503" r="E97" connectionId="0">
    <xmlCellPr id="1" uniqueName="1">
      <xmlPr mapId="43" xpath="/ns1:Root/ns1:M3/ns1:SRs_Signed" xmlDataType="double"/>
    </xmlCellPr>
  </singleXmlCell>
  <singleXmlCell id="504" r="F97" connectionId="0">
    <xmlCellPr id="1" uniqueName="1">
      <xmlPr mapId="43" xpath="/ns1:Root/ns1:M3/ns1:SRs_Receiving_Funding" xmlDataType="double"/>
    </xmlCellPr>
  </singleXmlCell>
  <singleXmlCell id="506" r="B104" connectionId="0">
    <xmlCellPr id="1" uniqueName="1">
      <xmlPr mapId="43" xpath="/ns1:Root/ns1:M4/ns1:SSR_to_SR__IR_____Expected" xmlDataType="string"/>
    </xmlCellPr>
  </singleXmlCell>
  <singleXmlCell id="507" r="C104" connectionId="0">
    <xmlCellPr id="1" uniqueName="1">
      <xmlPr mapId="43" xpath="/ns1:Root/ns1:M4/ns1:SSR_to_SR__IR____Received" xmlDataType="string"/>
    </xmlCellPr>
  </singleXmlCell>
  <singleXmlCell id="509" r="B105" connectionId="0">
    <xmlCellPr id="1" uniqueName="1">
      <xmlPr mapId="43" xpath="/ns1:Root/ns1:M4/ns1:SRs__IRs__to_PR____Expected" xmlDataType="double"/>
    </xmlCellPr>
  </singleXmlCell>
  <singleXmlCell id="510" r="C105" connectionId="0">
    <xmlCellPr id="1" uniqueName="1">
      <xmlPr mapId="43" xpath="/ns1:Root/ns1:M4/ns1:SRs__IRs__to_PR___Received" xmlDataType="double"/>
    </xmlCellPr>
  </singleXmlCell>
  <singleXmlCell id="511" r="B110" connectionId="0">
    <xmlCellPr id="1" uniqueName="1">
      <xmlPr mapId="43" xpath="/ns1:Root/ns1:M5/ns1:Budget_Approved__P1" xmlDataType="double"/>
    </xmlCellPr>
  </singleXmlCell>
  <singleXmlCell id="512" r="C110" connectionId="0">
    <xmlCellPr id="1" uniqueName="1">
      <xmlPr mapId="43" xpath="/ns1:Root/ns1:M5/ns1:Budget_Approved__P2" xmlDataType="double"/>
    </xmlCellPr>
  </singleXmlCell>
  <singleXmlCell id="513" r="D110" connectionId="0">
    <xmlCellPr id="1" uniqueName="1">
      <xmlPr mapId="43" xpath="/ns1:Root/ns1:M5/ns1:Budget_Approved__P3" xmlDataType="double"/>
    </xmlCellPr>
  </singleXmlCell>
  <singleXmlCell id="514" r="E110" connectionId="0">
    <xmlCellPr id="1" uniqueName="1">
      <xmlPr mapId="43" xpath="/ns1:Root/ns1:M5/ns1:Budget_Approved__P4" xmlDataType="double"/>
    </xmlCellPr>
  </singleXmlCell>
  <singleXmlCell id="515" r="F110" connectionId="0">
    <xmlCellPr id="1" uniqueName="1">
      <xmlPr mapId="43" xpath="/ns1:Root/ns1:M5/ns1:Budget_Approved__P5" xmlDataType="double"/>
    </xmlCellPr>
  </singleXmlCell>
  <singleXmlCell id="516" r="G110" connectionId="0">
    <xmlCellPr id="1" uniqueName="1">
      <xmlPr mapId="43" xpath="/ns1:Root/ns1:M5/ns1:Budget_Approved__P6" xmlDataType="double"/>
    </xmlCellPr>
  </singleXmlCell>
  <singleXmlCell id="517" r="H110" connectionId="0">
    <xmlCellPr id="1" uniqueName="1">
      <xmlPr mapId="43" xpath="/ns1:Root/ns1:M5/ns1:Budget_Approved__P7" xmlDataType="double"/>
    </xmlCellPr>
  </singleXmlCell>
  <singleXmlCell id="518" r="I110" connectionId="0">
    <xmlCellPr id="1" uniqueName="1">
      <xmlPr mapId="43" xpath="/ns1:Root/ns1:M5/ns1:Budget_Approved__P8" xmlDataType="double"/>
    </xmlCellPr>
  </singleXmlCell>
  <singleXmlCell id="519" r="J110" connectionId="0">
    <xmlCellPr id="1" uniqueName="1">
      <xmlPr mapId="43" xpath="/ns1:Root/ns1:M5/ns1:Budget_Approved__P9" xmlDataType="double"/>
    </xmlCellPr>
  </singleXmlCell>
  <singleXmlCell id="520" r="K110" connectionId="0">
    <xmlCellPr id="1" uniqueName="1">
      <xmlPr mapId="43" xpath="/ns1:Root/ns1:M5/ns1:Budget_Approved__P10" xmlDataType="double"/>
    </xmlCellPr>
  </singleXmlCell>
  <singleXmlCell id="521" r="L110" connectionId="0">
    <xmlCellPr id="1" uniqueName="1">
      <xmlPr mapId="43" xpath="/ns1:Root/ns1:M5/ns1:Budget_Approved__P11" xmlDataType="double"/>
    </xmlCellPr>
  </singleXmlCell>
  <singleXmlCell id="522" r="M110" connectionId="0">
    <xmlCellPr id="1" uniqueName="1">
      <xmlPr mapId="43" xpath="/ns1:Root/ns1:M5/ns1:Budget_Approved__P12" xmlDataType="double"/>
    </xmlCellPr>
  </singleXmlCell>
  <singleXmlCell id="523" r="B111" connectionId="0">
    <xmlCellPr id="1" uniqueName="1">
      <xmlPr mapId="43" xpath="/ns1:Root/ns1:M5/ns1:Obligations_P1" xmlDataType="double"/>
    </xmlCellPr>
  </singleXmlCell>
  <singleXmlCell id="524" r="C111" connectionId="0">
    <xmlCellPr id="1" uniqueName="1">
      <xmlPr mapId="43" xpath="/ns1:Root/ns1:M5/ns1:Obligations_P2" xmlDataType="double"/>
    </xmlCellPr>
  </singleXmlCell>
  <singleXmlCell id="525" r="D111" connectionId="0">
    <xmlCellPr id="1" uniqueName="1">
      <xmlPr mapId="43" xpath="/ns1:Root/ns1:M5/ns1:Obligations_P3" xmlDataType="double"/>
    </xmlCellPr>
  </singleXmlCell>
  <singleXmlCell id="526" r="E111" connectionId="0">
    <xmlCellPr id="1" uniqueName="1">
      <xmlPr mapId="43" xpath="/ns1:Root/ns1:M5/ns1:Obligations_P4" xmlDataType="double"/>
    </xmlCellPr>
  </singleXmlCell>
  <singleXmlCell id="527" r="F111" connectionId="0">
    <xmlCellPr id="1" uniqueName="1">
      <xmlPr mapId="43" xpath="/ns1:Root/ns1:M5/ns1:Obligations_P5" xmlDataType="double"/>
    </xmlCellPr>
  </singleXmlCell>
  <singleXmlCell id="528" r="G111" connectionId="0">
    <xmlCellPr id="1" uniqueName="1">
      <xmlPr mapId="43" xpath="/ns1:Root/ns1:M5/ns1:Obligations_P6" xmlDataType="double"/>
    </xmlCellPr>
  </singleXmlCell>
  <singleXmlCell id="529" r="H111" connectionId="0">
    <xmlCellPr id="1" uniqueName="1">
      <xmlPr mapId="43" xpath="/ns1:Root/ns1:M5/ns1:Obligations_P7" xmlDataType="double"/>
    </xmlCellPr>
  </singleXmlCell>
  <singleXmlCell id="530" r="I111" connectionId="0">
    <xmlCellPr id="1" uniqueName="1">
      <xmlPr mapId="43" xpath="/ns1:Root/ns1:M5/ns1:Obligations_P8" xmlDataType="double"/>
    </xmlCellPr>
  </singleXmlCell>
  <singleXmlCell id="531" r="J111" connectionId="0">
    <xmlCellPr id="1" uniqueName="1">
      <xmlPr mapId="43" xpath="/ns1:Root/ns1:M5/ns1:Obligations_P9" xmlDataType="double"/>
    </xmlCellPr>
  </singleXmlCell>
  <singleXmlCell id="532" r="K111" connectionId="0">
    <xmlCellPr id="1" uniqueName="1">
      <xmlPr mapId="43" xpath="/ns1:Root/ns1:M5/ns1:Obligations_P10" xmlDataType="double"/>
    </xmlCellPr>
  </singleXmlCell>
  <singleXmlCell id="533" r="L111" connectionId="0">
    <xmlCellPr id="1" uniqueName="1">
      <xmlPr mapId="43" xpath="/ns1:Root/ns1:M5/ns1:Obligations_P11" xmlDataType="double"/>
    </xmlCellPr>
  </singleXmlCell>
  <singleXmlCell id="534" r="M111" connectionId="0">
    <xmlCellPr id="1" uniqueName="1">
      <xmlPr mapId="43" xpath="/ns1:Root/ns1:M5/ns1:Obligations_P12" xmlDataType="double"/>
    </xmlCellPr>
  </singleXmlCell>
  <singleXmlCell id="535" r="B112" connectionId="0">
    <xmlCellPr id="1" uniqueName="1">
      <xmlPr mapId="43" xpath="/ns1:Root/ns1:M5/ns1:Expenditures_P1" xmlDataType="double"/>
    </xmlCellPr>
  </singleXmlCell>
  <singleXmlCell id="536" r="C112" connectionId="0">
    <xmlCellPr id="1" uniqueName="1">
      <xmlPr mapId="43" xpath="/ns1:Root/ns1:M5/ns1:Expenditures_P2" xmlDataType="double"/>
    </xmlCellPr>
  </singleXmlCell>
  <singleXmlCell id="537" r="D112" connectionId="0">
    <xmlCellPr id="1" uniqueName="1">
      <xmlPr mapId="43" xpath="/ns1:Root/ns1:M5/ns1:Expenditures_P3" xmlDataType="double"/>
    </xmlCellPr>
  </singleXmlCell>
  <singleXmlCell id="538" r="E112" connectionId="0">
    <xmlCellPr id="1" uniqueName="1">
      <xmlPr mapId="43" xpath="/ns1:Root/ns1:M5/ns1:Expenditures_P4" xmlDataType="double"/>
    </xmlCellPr>
  </singleXmlCell>
  <singleXmlCell id="539" r="F112" connectionId="0">
    <xmlCellPr id="1" uniqueName="1">
      <xmlPr mapId="43" xpath="/ns1:Root/ns1:M5/ns1:Expenditures_P5" xmlDataType="double"/>
    </xmlCellPr>
  </singleXmlCell>
  <singleXmlCell id="540" r="G112" connectionId="0">
    <xmlCellPr id="1" uniqueName="1">
      <xmlPr mapId="43" xpath="/ns1:Root/ns1:M5/ns1:Expenditures_P6" xmlDataType="double"/>
    </xmlCellPr>
  </singleXmlCell>
  <singleXmlCell id="541" r="H112" connectionId="0">
    <xmlCellPr id="1" uniqueName="1">
      <xmlPr mapId="43" xpath="/ns1:Root/ns1:M5/ns1:Expenditures_P7" xmlDataType="double"/>
    </xmlCellPr>
  </singleXmlCell>
  <singleXmlCell id="542" r="I112" connectionId="0">
    <xmlCellPr id="1" uniqueName="1">
      <xmlPr mapId="43" xpath="/ns1:Root/ns1:M5/ns1:Expenditures_P8" xmlDataType="double"/>
    </xmlCellPr>
  </singleXmlCell>
  <singleXmlCell id="543" r="J112" connectionId="0">
    <xmlCellPr id="1" uniqueName="1">
      <xmlPr mapId="43" xpath="/ns1:Root/ns1:M5/ns1:Expenditures_P9" xmlDataType="double"/>
    </xmlCellPr>
  </singleXmlCell>
  <singleXmlCell id="544" r="K112" connectionId="0">
    <xmlCellPr id="1" uniqueName="1">
      <xmlPr mapId="43" xpath="/ns1:Root/ns1:M5/ns1:Expenditures_P10" xmlDataType="double"/>
    </xmlCellPr>
  </singleXmlCell>
  <singleXmlCell id="545" r="L112" connectionId="0">
    <xmlCellPr id="1" uniqueName="1">
      <xmlPr mapId="43" xpath="/ns1:Root/ns1:M5/ns1:Expenditures_P11" xmlDataType="double"/>
    </xmlCellPr>
  </singleXmlCell>
  <singleXmlCell id="546" r="M112" connectionId="0">
    <xmlCellPr id="1" uniqueName="1">
      <xmlPr mapId="43" xpath="/ns1:Root/ns1:M5/ns1:Expenditures_P12" xmlDataType="double"/>
    </xmlCellPr>
  </singleXmlCell>
  <singleXmlCell id="567" r="G205" connectionId="0">
    <xmlCellPr id="1" uniqueName="1">
      <xmlPr mapId="43" xpath="/ns1:Root/ns1:Prog/ns1:Target_P1_1" xmlDataType="double"/>
    </xmlCellPr>
  </singleXmlCell>
  <singleXmlCell id="568" r="H205" connectionId="0">
    <xmlCellPr id="1" uniqueName="1">
      <xmlPr mapId="43" xpath="/ns1:Root/ns1:Prog/ns1:Target_P2_1" xmlDataType="double"/>
    </xmlCellPr>
  </singleXmlCell>
  <singleXmlCell id="569" r="I205" connectionId="0">
    <xmlCellPr id="1" uniqueName="1">
      <xmlPr mapId="43" xpath="/ns1:Root/ns1:Prog/ns1:Target_P3_1" xmlDataType="double"/>
    </xmlCellPr>
  </singleXmlCell>
  <singleXmlCell id="570" r="J205" connectionId="0">
    <xmlCellPr id="1" uniqueName="1">
      <xmlPr mapId="43" xpath="/ns1:Root/ns1:Prog/ns1:Target_P4_1" xmlDataType="double"/>
    </xmlCellPr>
  </singleXmlCell>
  <singleXmlCell id="571" r="K205" connectionId="0">
    <xmlCellPr id="1" uniqueName="1">
      <xmlPr mapId="43" xpath="/ns1:Root/ns1:Prog/ns1:Target_P5_1" xmlDataType="double"/>
    </xmlCellPr>
  </singleXmlCell>
  <singleXmlCell id="572" r="L205" connectionId="0">
    <xmlCellPr id="1" uniqueName="1">
      <xmlPr mapId="43" xpath="/ns1:Root/ns1:Prog/ns1:Target_P6_1" xmlDataType="double"/>
    </xmlCellPr>
  </singleXmlCell>
  <singleXmlCell id="573" r="M205" connectionId="0">
    <xmlCellPr id="1" uniqueName="1">
      <xmlPr mapId="43" xpath="/ns1:Root/ns1:Prog/ns1:Target_P7_1" xmlDataType="double"/>
    </xmlCellPr>
  </singleXmlCell>
  <singleXmlCell id="574" r="N205" connectionId="0">
    <xmlCellPr id="1" uniqueName="1">
      <xmlPr mapId="43" xpath="/ns1:Root/ns1:Prog/ns1:Target_P8_1" xmlDataType="double"/>
    </xmlCellPr>
  </singleXmlCell>
  <singleXmlCell id="575" r="O205" connectionId="0">
    <xmlCellPr id="1" uniqueName="1">
      <xmlPr mapId="43" xpath="/ns1:Root/ns1:Prog/ns1:Target_P9_1" xmlDataType="double"/>
    </xmlCellPr>
  </singleXmlCell>
  <singleXmlCell id="576" r="P205" connectionId="0">
    <xmlCellPr id="1" uniqueName="1">
      <xmlPr mapId="43" xpath="/ns1:Root/ns1:Prog/ns1:Target_P10_1" xmlDataType="double"/>
    </xmlCellPr>
  </singleXmlCell>
  <singleXmlCell id="577" r="Q205" connectionId="0">
    <xmlCellPr id="1" uniqueName="1">
      <xmlPr mapId="43" xpath="/ns1:Root/ns1:Prog/ns1:Target_P11_1" xmlDataType="double"/>
    </xmlCellPr>
  </singleXmlCell>
  <singleXmlCell id="579" r="G206" connectionId="0">
    <xmlCellPr id="1" uniqueName="1">
      <xmlPr mapId="43" xpath="/ns1:Root/ns1:Prog/ns1:Achieved__P1_1" xmlDataType="double"/>
    </xmlCellPr>
  </singleXmlCell>
  <singleXmlCell id="580" r="H206" connectionId="0">
    <xmlCellPr id="1" uniqueName="1">
      <xmlPr mapId="43" xpath="/ns1:Root/ns1:Prog/ns1:Achieved__P2_1" xmlDataType="double"/>
    </xmlCellPr>
  </singleXmlCell>
  <singleXmlCell id="581" r="I206" connectionId="0">
    <xmlCellPr id="1" uniqueName="1">
      <xmlPr mapId="43" xpath="/ns1:Root/ns1:Prog/ns1:Achieved__P3_1" xmlDataType="double"/>
    </xmlCellPr>
  </singleXmlCell>
  <singleXmlCell id="582" r="J206" connectionId="0">
    <xmlCellPr id="1" uniqueName="1">
      <xmlPr mapId="43" xpath="/ns1:Root/ns1:Prog/ns1:Achieved__P4_1" xmlDataType="double"/>
    </xmlCellPr>
  </singleXmlCell>
  <singleXmlCell id="583" r="K206" connectionId="0">
    <xmlCellPr id="1" uniqueName="1">
      <xmlPr mapId="43" xpath="/ns1:Root/ns1:Prog/ns1:Achieved__P5_1" xmlDataType="string"/>
    </xmlCellPr>
  </singleXmlCell>
  <singleXmlCell id="584" r="L206" connectionId="0">
    <xmlCellPr id="1" uniqueName="1">
      <xmlPr mapId="43" xpath="/ns1:Root/ns1:Prog/ns1:Achieved__P6_1" xmlDataType="string"/>
    </xmlCellPr>
  </singleXmlCell>
  <singleXmlCell id="585" r="M206" connectionId="0">
    <xmlCellPr id="1" uniqueName="1">
      <xmlPr mapId="43" xpath="/ns1:Root/ns1:Prog/ns1:Achieved__P7_1" xmlDataType="string"/>
    </xmlCellPr>
  </singleXmlCell>
  <singleXmlCell id="586" r="N206" connectionId="0">
    <xmlCellPr id="1" uniqueName="1">
      <xmlPr mapId="43" xpath="/ns1:Root/ns1:Prog/ns1:Achieved__P8_1" xmlDataType="string"/>
    </xmlCellPr>
  </singleXmlCell>
  <singleXmlCell id="587" r="O206" connectionId="0">
    <xmlCellPr id="1" uniqueName="1">
      <xmlPr mapId="43" xpath="/ns1:Root/ns1:Prog/ns1:Achieved__P9_1" xmlDataType="string"/>
    </xmlCellPr>
  </singleXmlCell>
  <singleXmlCell id="588" r="P206" connectionId="0">
    <xmlCellPr id="1" uniqueName="1">
      <xmlPr mapId="43" xpath="/ns1:Root/ns1:Prog/ns1:Achieved__P10_1" xmlDataType="string"/>
    </xmlCellPr>
  </singleXmlCell>
  <singleXmlCell id="589" r="Q206" connectionId="0">
    <xmlCellPr id="1" uniqueName="1">
      <xmlPr mapId="43" xpath="/ns1:Root/ns1:Prog/ns1:Achieved__P11_1" xmlDataType="string"/>
    </xmlCellPr>
  </singleXmlCell>
  <singleXmlCell id="591" r="G207" connectionId="0">
    <xmlCellPr id="1" uniqueName="1">
      <xmlPr mapId="43" xpath="/ns1:Root/ns1:Prog/ns1:Target_P1_2" xmlDataType="double"/>
    </xmlCellPr>
  </singleXmlCell>
  <singleXmlCell id="592" r="H207" connectionId="0">
    <xmlCellPr id="1" uniqueName="1">
      <xmlPr mapId="43" xpath="/ns1:Root/ns1:Prog/ns1:Target_P2_2" xmlDataType="double"/>
    </xmlCellPr>
  </singleXmlCell>
  <singleXmlCell id="593" r="I207" connectionId="0">
    <xmlCellPr id="1" uniqueName="1">
      <xmlPr mapId="43" xpath="/ns1:Root/ns1:Prog/ns1:Target_P3_2" xmlDataType="double"/>
    </xmlCellPr>
  </singleXmlCell>
  <singleXmlCell id="594" r="K207" connectionId="0">
    <xmlCellPr id="1" uniqueName="1">
      <xmlPr mapId="43" xpath="/ns1:Root/ns1:Prog/ns1:Target_P5_2" xmlDataType="double"/>
    </xmlCellPr>
  </singleXmlCell>
  <singleXmlCell id="595" r="L207" connectionId="0">
    <xmlCellPr id="1" uniqueName="1">
      <xmlPr mapId="43" xpath="/ns1:Root/ns1:Prog/ns1:Target_P6_2" xmlDataType="double"/>
    </xmlCellPr>
  </singleXmlCell>
  <singleXmlCell id="596" r="M207" connectionId="0">
    <xmlCellPr id="1" uniqueName="1">
      <xmlPr mapId="43" xpath="/ns1:Root/ns1:Prog/ns1:Target_P7_2" xmlDataType="double"/>
    </xmlCellPr>
  </singleXmlCell>
  <singleXmlCell id="597" r="N207" connectionId="0">
    <xmlCellPr id="1" uniqueName="1">
      <xmlPr mapId="43" xpath="/ns1:Root/ns1:Prog/ns1:Target_P8_2" xmlDataType="double"/>
    </xmlCellPr>
  </singleXmlCell>
  <singleXmlCell id="598" r="O207" connectionId="0">
    <xmlCellPr id="1" uniqueName="1">
      <xmlPr mapId="43" xpath="/ns1:Root/ns1:Prog/ns1:Target_P9_2" xmlDataType="double"/>
    </xmlCellPr>
  </singleXmlCell>
  <singleXmlCell id="599" r="P207" connectionId="0">
    <xmlCellPr id="1" uniqueName="1">
      <xmlPr mapId="43" xpath="/ns1:Root/ns1:Prog/ns1:Target_P10_2" xmlDataType="double"/>
    </xmlCellPr>
  </singleXmlCell>
  <singleXmlCell id="600" r="Q207" connectionId="0">
    <xmlCellPr id="1" uniqueName="1">
      <xmlPr mapId="43" xpath="/ns1:Root/ns1:Prog/ns1:Target_P11_2" xmlDataType="double"/>
    </xmlCellPr>
  </singleXmlCell>
  <singleXmlCell id="602" r="G208" connectionId="0">
    <xmlCellPr id="1" uniqueName="1">
      <xmlPr mapId="43" xpath="/ns1:Root/ns1:Prog/ns1:Achieved__P1_2" xmlDataType="double"/>
    </xmlCellPr>
  </singleXmlCell>
  <singleXmlCell id="603" r="H208" connectionId="0">
    <xmlCellPr id="1" uniqueName="1">
      <xmlPr mapId="43" xpath="/ns1:Root/ns1:Prog/ns1:Achieved__P2_2" xmlDataType="double"/>
    </xmlCellPr>
  </singleXmlCell>
  <singleXmlCell id="604" r="I208" connectionId="0">
    <xmlCellPr id="1" uniqueName="1">
      <xmlPr mapId="43" xpath="/ns1:Root/ns1:Prog/ns1:Achieved__P3_2" xmlDataType="double"/>
    </xmlCellPr>
  </singleXmlCell>
  <singleXmlCell id="605" r="J208" connectionId="0">
    <xmlCellPr id="1" uniqueName="1">
      <xmlPr mapId="43" xpath="/ns1:Root/ns1:Prog/ns1:Achieved__P4_2" xmlDataType="double"/>
    </xmlCellPr>
  </singleXmlCell>
  <singleXmlCell id="606" r="K208" connectionId="0">
    <xmlCellPr id="1" uniqueName="1">
      <xmlPr mapId="43" xpath="/ns1:Root/ns1:Prog/ns1:Achieved__P5_2" xmlDataType="string"/>
    </xmlCellPr>
  </singleXmlCell>
  <singleXmlCell id="607" r="L208" connectionId="0">
    <xmlCellPr id="1" uniqueName="1">
      <xmlPr mapId="43" xpath="/ns1:Root/ns1:Prog/ns1:Achieved__P6_2" xmlDataType="string"/>
    </xmlCellPr>
  </singleXmlCell>
  <singleXmlCell id="608" r="M208" connectionId="0">
    <xmlCellPr id="1" uniqueName="1">
      <xmlPr mapId="43" xpath="/ns1:Root/ns1:Prog/ns1:Achieved__P7_2" xmlDataType="string"/>
    </xmlCellPr>
  </singleXmlCell>
  <singleXmlCell id="609" r="N208" connectionId="0">
    <xmlCellPr id="1" uniqueName="1">
      <xmlPr mapId="43" xpath="/ns1:Root/ns1:Prog/ns1:Achieved__P8_2" xmlDataType="string"/>
    </xmlCellPr>
  </singleXmlCell>
  <singleXmlCell id="610" r="O208" connectionId="0">
    <xmlCellPr id="1" uniqueName="1">
      <xmlPr mapId="43" xpath="/ns1:Root/ns1:Prog/ns1:Achieved__P9_2" xmlDataType="string"/>
    </xmlCellPr>
  </singleXmlCell>
  <singleXmlCell id="611" r="P208" connectionId="0">
    <xmlCellPr id="1" uniqueName="1">
      <xmlPr mapId="43" xpath="/ns1:Root/ns1:Prog/ns1:Achieved__P10_2" xmlDataType="string"/>
    </xmlCellPr>
  </singleXmlCell>
  <singleXmlCell id="612" r="Q208" connectionId="0">
    <xmlCellPr id="1" uniqueName="1">
      <xmlPr mapId="43" xpath="/ns1:Root/ns1:Prog/ns1:Achieved__P11_2" xmlDataType="string"/>
    </xmlCellPr>
  </singleXmlCell>
  <singleXmlCell id="614" r="G209" connectionId="0">
    <xmlCellPr id="1" uniqueName="1">
      <xmlPr mapId="43" xpath="/ns1:Root/ns1:Prog/ns1:Target_P1_3" xmlDataType="double"/>
    </xmlCellPr>
  </singleXmlCell>
  <singleXmlCell id="615" r="H209" connectionId="0">
    <xmlCellPr id="1" uniqueName="1">
      <xmlPr mapId="43" xpath="/ns1:Root/ns1:Prog/ns1:Target_P2_3" xmlDataType="double"/>
    </xmlCellPr>
  </singleXmlCell>
  <singleXmlCell id="616" r="I209" connectionId="0">
    <xmlCellPr id="1" uniqueName="1">
      <xmlPr mapId="43" xpath="/ns1:Root/ns1:Prog/ns1:Target_P3_3" xmlDataType="double"/>
    </xmlCellPr>
  </singleXmlCell>
  <singleXmlCell id="617" r="J209" connectionId="0">
    <xmlCellPr id="1" uniqueName="1">
      <xmlPr mapId="43" xpath="/ns1:Root/ns1:Prog/ns1:Target_P4_3" xmlDataType="double"/>
    </xmlCellPr>
  </singleXmlCell>
  <singleXmlCell id="618" r="K209" connectionId="0">
    <xmlCellPr id="1" uniqueName="1">
      <xmlPr mapId="43" xpath="/ns1:Root/ns1:Prog/ns1:Target_P5_3" xmlDataType="double"/>
    </xmlCellPr>
  </singleXmlCell>
  <singleXmlCell id="619" r="L209" connectionId="0">
    <xmlCellPr id="1" uniqueName="1">
      <xmlPr mapId="43" xpath="/ns1:Root/ns1:Prog/ns1:Target_P6_3" xmlDataType="double"/>
    </xmlCellPr>
  </singleXmlCell>
  <singleXmlCell id="620" r="M209" connectionId="0">
    <xmlCellPr id="1" uniqueName="1">
      <xmlPr mapId="43" xpath="/ns1:Root/ns1:Prog/ns1:Target_P7_3" xmlDataType="double"/>
    </xmlCellPr>
  </singleXmlCell>
  <singleXmlCell id="621" r="N209" connectionId="0">
    <xmlCellPr id="1" uniqueName="1">
      <xmlPr mapId="43" xpath="/ns1:Root/ns1:Prog/ns1:Target_P8_3" xmlDataType="double"/>
    </xmlCellPr>
  </singleXmlCell>
  <singleXmlCell id="622" r="O209" connectionId="0">
    <xmlCellPr id="1" uniqueName="1">
      <xmlPr mapId="43" xpath="/ns1:Root/ns1:Prog/ns1:Target_P9_3" xmlDataType="double"/>
    </xmlCellPr>
  </singleXmlCell>
  <singleXmlCell id="623" r="P209" connectionId="0">
    <xmlCellPr id="1" uniqueName="1">
      <xmlPr mapId="43" xpath="/ns1:Root/ns1:Prog/ns1:Target_P10_3" xmlDataType="string"/>
    </xmlCellPr>
  </singleXmlCell>
  <singleXmlCell id="624" r="Q209" connectionId="0">
    <xmlCellPr id="1" uniqueName="1">
      <xmlPr mapId="43" xpath="/ns1:Root/ns1:Prog/ns1:Target_P11_3" xmlDataType="string"/>
    </xmlCellPr>
  </singleXmlCell>
  <singleXmlCell id="626" r="G210" connectionId="0">
    <xmlCellPr id="1" uniqueName="1">
      <xmlPr mapId="43" xpath="/ns1:Root/ns1:Prog/ns1:Achieved__P1_3" xmlDataType="string"/>
    </xmlCellPr>
  </singleXmlCell>
  <singleXmlCell id="627" r="H210" connectionId="0">
    <xmlCellPr id="1" uniqueName="1">
      <xmlPr mapId="43" xpath="/ns1:Root/ns1:Prog/ns1:Achieved__P2_3" xmlDataType="double"/>
    </xmlCellPr>
  </singleXmlCell>
  <singleXmlCell id="628" r="I210" connectionId="0">
    <xmlCellPr id="1" uniqueName="1">
      <xmlPr mapId="43" xpath="/ns1:Root/ns1:Prog/ns1:Achieved__P3_3" xmlDataType="string"/>
    </xmlCellPr>
  </singleXmlCell>
  <singleXmlCell id="629" r="J210" connectionId="0">
    <xmlCellPr id="1" uniqueName="1">
      <xmlPr mapId="43" xpath="/ns1:Root/ns1:Prog/ns1:Achieved__P4_3" xmlDataType="double"/>
    </xmlCellPr>
  </singleXmlCell>
  <singleXmlCell id="630" r="K210" connectionId="0">
    <xmlCellPr id="1" uniqueName="1">
      <xmlPr mapId="43" xpath="/ns1:Root/ns1:Prog/ns1:Achieved__P5_3" xmlDataType="string"/>
    </xmlCellPr>
  </singleXmlCell>
  <singleXmlCell id="631" r="L210" connectionId="0">
    <xmlCellPr id="1" uniqueName="1">
      <xmlPr mapId="43" xpath="/ns1:Root/ns1:Prog/ns1:Achieved__P6_3" xmlDataType="string"/>
    </xmlCellPr>
  </singleXmlCell>
  <singleXmlCell id="632" r="M210" connectionId="0">
    <xmlCellPr id="1" uniqueName="1">
      <xmlPr mapId="43" xpath="/ns1:Root/ns1:Prog/ns1:Achieved__P7_3" xmlDataType="string"/>
    </xmlCellPr>
  </singleXmlCell>
  <singleXmlCell id="633" r="N210" connectionId="0">
    <xmlCellPr id="1" uniqueName="1">
      <xmlPr mapId="43" xpath="/ns1:Root/ns1:Prog/ns1:Achieved__P8_3" xmlDataType="string"/>
    </xmlCellPr>
  </singleXmlCell>
  <singleXmlCell id="634" r="O210" connectionId="0">
    <xmlCellPr id="1" uniqueName="1">
      <xmlPr mapId="43" xpath="/ns1:Root/ns1:Prog/ns1:Achieved__P9_3" xmlDataType="string"/>
    </xmlCellPr>
  </singleXmlCell>
  <singleXmlCell id="635" r="P210" connectionId="0">
    <xmlCellPr id="1" uniqueName="1">
      <xmlPr mapId="43" xpath="/ns1:Root/ns1:Prog/ns1:Achieved__P10_3" xmlDataType="string"/>
    </xmlCellPr>
  </singleXmlCell>
  <singleXmlCell id="636" r="Q210" connectionId="0">
    <xmlCellPr id="1" uniqueName="1">
      <xmlPr mapId="43" xpath="/ns1:Root/ns1:Prog/ns1:Achieved__P11_3" xmlDataType="string"/>
    </xmlCellPr>
  </singleXmlCell>
  <singleXmlCell id="638" r="G211" connectionId="0">
    <xmlCellPr id="1" uniqueName="1">
      <xmlPr mapId="43" xpath="/ns1:Root/ns1:Prog/ns1:Target_P1_4" xmlDataType="string"/>
    </xmlCellPr>
  </singleXmlCell>
  <singleXmlCell id="639" r="H211" connectionId="0">
    <xmlCellPr id="1" uniqueName="1">
      <xmlPr mapId="43" xpath="/ns1:Root/ns1:Prog/ns1:Target_P2_4" xmlDataType="string"/>
    </xmlCellPr>
  </singleXmlCell>
  <singleXmlCell id="640" r="I211" connectionId="0">
    <xmlCellPr id="1" uniqueName="1">
      <xmlPr mapId="43" xpath="/ns1:Root/ns1:Prog/ns1:Target_P3_4" xmlDataType="string"/>
    </xmlCellPr>
  </singleXmlCell>
  <singleXmlCell id="641" r="J211" connectionId="0">
    <xmlCellPr id="1" uniqueName="1">
      <xmlPr mapId="43" xpath="/ns1:Root/ns1:Prog/ns1:Target_P4_4" xmlDataType="double"/>
    </xmlCellPr>
  </singleXmlCell>
  <singleXmlCell id="642" r="K211" connectionId="0">
    <xmlCellPr id="1" uniqueName="1">
      <xmlPr mapId="43" xpath="/ns1:Root/ns1:Prog/ns1:Target_P5_4" xmlDataType="string"/>
    </xmlCellPr>
  </singleXmlCell>
  <singleXmlCell id="643" r="L211" connectionId="0">
    <xmlCellPr id="1" uniqueName="1">
      <xmlPr mapId="43" xpath="/ns1:Root/ns1:Prog/ns1:Target_P6_4" xmlDataType="string"/>
    </xmlCellPr>
  </singleXmlCell>
  <singleXmlCell id="644" r="M211" connectionId="0">
    <xmlCellPr id="1" uniqueName="1">
      <xmlPr mapId="43" xpath="/ns1:Root/ns1:Prog/ns1:Target_P7_4" xmlDataType="string"/>
    </xmlCellPr>
  </singleXmlCell>
  <singleXmlCell id="645" r="N211" connectionId="0">
    <xmlCellPr id="1" uniqueName="1">
      <xmlPr mapId="43" xpath="/ns1:Root/ns1:Prog/ns1:Target_P8_4" xmlDataType="double"/>
    </xmlCellPr>
  </singleXmlCell>
  <singleXmlCell id="646" r="O211" connectionId="0">
    <xmlCellPr id="1" uniqueName="1">
      <xmlPr mapId="43" xpath="/ns1:Root/ns1:Prog/ns1:Target_P9_4" xmlDataType="string"/>
    </xmlCellPr>
  </singleXmlCell>
  <singleXmlCell id="647" r="P211" connectionId="0">
    <xmlCellPr id="1" uniqueName="1">
      <xmlPr mapId="43" xpath="/ns1:Root/ns1:Prog/ns1:Target_P10_4" xmlDataType="string"/>
    </xmlCellPr>
  </singleXmlCell>
  <singleXmlCell id="648" r="Q211" connectionId="0">
    <xmlCellPr id="1" uniqueName="1">
      <xmlPr mapId="43" xpath="/ns1:Root/ns1:Prog/ns1:Target_P11_4" xmlDataType="string"/>
    </xmlCellPr>
  </singleXmlCell>
  <singleXmlCell id="650" r="G212" connectionId="0">
    <xmlCellPr id="1" uniqueName="1">
      <xmlPr mapId="43" xpath="/ns1:Root/ns1:Prog/ns1:Achieved__P1_4" xmlDataType="string"/>
    </xmlCellPr>
  </singleXmlCell>
  <singleXmlCell id="651" r="H212" connectionId="0">
    <xmlCellPr id="1" uniqueName="1">
      <xmlPr mapId="43" xpath="/ns1:Root/ns1:Prog/ns1:Achieved__P2_4" xmlDataType="string"/>
    </xmlCellPr>
  </singleXmlCell>
  <singleXmlCell id="652" r="I212" connectionId="0">
    <xmlCellPr id="1" uniqueName="1">
      <xmlPr mapId="43" xpath="/ns1:Root/ns1:Prog/ns1:Achieved__P3_4" xmlDataType="string"/>
    </xmlCellPr>
  </singleXmlCell>
  <singleXmlCell id="653" r="J212" connectionId="0">
    <xmlCellPr id="1" uniqueName="1">
      <xmlPr mapId="43" xpath="/ns1:Root/ns1:Prog/ns1:Achieved__P4_4" xmlDataType="double"/>
    </xmlCellPr>
  </singleXmlCell>
  <singleXmlCell id="654" r="K212" connectionId="0">
    <xmlCellPr id="1" uniqueName="1">
      <xmlPr mapId="43" xpath="/ns1:Root/ns1:Prog/ns1:Achieved__P5_4" xmlDataType="string"/>
    </xmlCellPr>
  </singleXmlCell>
  <singleXmlCell id="655" r="L212" connectionId="0">
    <xmlCellPr id="1" uniqueName="1">
      <xmlPr mapId="43" xpath="/ns1:Root/ns1:Prog/ns1:Achieved__P6_4" xmlDataType="string"/>
    </xmlCellPr>
  </singleXmlCell>
  <singleXmlCell id="656" r="M212" connectionId="0">
    <xmlCellPr id="1" uniqueName="1">
      <xmlPr mapId="43" xpath="/ns1:Root/ns1:Prog/ns1:Achieved__P7_4" xmlDataType="string"/>
    </xmlCellPr>
  </singleXmlCell>
  <singleXmlCell id="657" r="N212" connectionId="0">
    <xmlCellPr id="1" uniqueName="1">
      <xmlPr mapId="43" xpath="/ns1:Root/ns1:Prog/ns1:Achieved__P8_4" xmlDataType="string"/>
    </xmlCellPr>
  </singleXmlCell>
  <singleXmlCell id="658" r="O212" connectionId="0">
    <xmlCellPr id="1" uniqueName="1">
      <xmlPr mapId="43" xpath="/ns1:Root/ns1:Prog/ns1:Achieved__P9_4" xmlDataType="string"/>
    </xmlCellPr>
  </singleXmlCell>
  <singleXmlCell id="659" r="P212" connectionId="0">
    <xmlCellPr id="1" uniqueName="1">
      <xmlPr mapId="43" xpath="/ns1:Root/ns1:Prog/ns1:Achieved__P10_4" xmlDataType="string"/>
    </xmlCellPr>
  </singleXmlCell>
  <singleXmlCell id="660" r="Q212" connectionId="0">
    <xmlCellPr id="1" uniqueName="1">
      <xmlPr mapId="43" xpath="/ns1:Root/ns1:Prog/ns1:Achieved__P11_4" xmlDataType="string"/>
    </xmlCellPr>
  </singleXmlCell>
  <singleXmlCell id="662" r="G213" connectionId="0">
    <xmlCellPr id="1" uniqueName="1">
      <xmlPr mapId="43" xpath="/ns1:Root/ns1:Prog/ns1:Target_P1_5" xmlDataType="double"/>
    </xmlCellPr>
  </singleXmlCell>
  <singleXmlCell id="663" r="H213" connectionId="0">
    <xmlCellPr id="1" uniqueName="1">
      <xmlPr mapId="43" xpath="/ns1:Root/ns1:Prog/ns1:Target_P2_5" xmlDataType="double"/>
    </xmlCellPr>
  </singleXmlCell>
  <singleXmlCell id="664" r="I213" connectionId="0">
    <xmlCellPr id="1" uniqueName="1">
      <xmlPr mapId="43" xpath="/ns1:Root/ns1:Prog/ns1:Target_P3_5" xmlDataType="double"/>
    </xmlCellPr>
  </singleXmlCell>
  <singleXmlCell id="665" r="J213" connectionId="0">
    <xmlCellPr id="1" uniqueName="1">
      <xmlPr mapId="43" xpath="/ns1:Root/ns1:Prog/ns1:Target_P4_5" xmlDataType="double"/>
    </xmlCellPr>
  </singleXmlCell>
  <singleXmlCell id="666" r="K213" connectionId="0">
    <xmlCellPr id="1" uniqueName="1">
      <xmlPr mapId="43" xpath="/ns1:Root/ns1:Prog/ns1:Target_P5_5" xmlDataType="double"/>
    </xmlCellPr>
  </singleXmlCell>
  <singleXmlCell id="667" r="L213" connectionId="0">
    <xmlCellPr id="1" uniqueName="1">
      <xmlPr mapId="43" xpath="/ns1:Root/ns1:Prog/ns1:Target_P6_5" xmlDataType="double"/>
    </xmlCellPr>
  </singleXmlCell>
  <singleXmlCell id="668" r="M213" connectionId="0">
    <xmlCellPr id="1" uniqueName="1">
      <xmlPr mapId="43" xpath="/ns1:Root/ns1:Prog/ns1:Target_P7_5" xmlDataType="double"/>
    </xmlCellPr>
  </singleXmlCell>
  <singleXmlCell id="669" r="N213" connectionId="0">
    <xmlCellPr id="1" uniqueName="1">
      <xmlPr mapId="43" xpath="/ns1:Root/ns1:Prog/ns1:Target_P8_5" xmlDataType="double"/>
    </xmlCellPr>
  </singleXmlCell>
  <singleXmlCell id="670" r="O213" connectionId="0">
    <xmlCellPr id="1" uniqueName="1">
      <xmlPr mapId="43" xpath="/ns1:Root/ns1:Prog/ns1:Target_P9_5" xmlDataType="double"/>
    </xmlCellPr>
  </singleXmlCell>
  <singleXmlCell id="671" r="P213" connectionId="0">
    <xmlCellPr id="1" uniqueName="1">
      <xmlPr mapId="43" xpath="/ns1:Root/ns1:Prog/ns1:Target_P10_5" xmlDataType="double"/>
    </xmlCellPr>
  </singleXmlCell>
  <singleXmlCell id="672" r="Q213" connectionId="0">
    <xmlCellPr id="1" uniqueName="1">
      <xmlPr mapId="43" xpath="/ns1:Root/ns1:Prog/ns1:Target_P11_5" xmlDataType="double"/>
    </xmlCellPr>
  </singleXmlCell>
  <singleXmlCell id="674" r="G214" connectionId="0">
    <xmlCellPr id="1" uniqueName="1">
      <xmlPr mapId="43" xpath="/ns1:Root/ns1:Prog/ns1:Achieved__P1_5" xmlDataType="double"/>
    </xmlCellPr>
  </singleXmlCell>
  <singleXmlCell id="675" r="H214" connectionId="0">
    <xmlCellPr id="1" uniqueName="1">
      <xmlPr mapId="43" xpath="/ns1:Root/ns1:Prog/ns1:Achieved__P2_5" xmlDataType="double"/>
    </xmlCellPr>
  </singleXmlCell>
  <singleXmlCell id="676" r="I214" connectionId="0">
    <xmlCellPr id="1" uniqueName="1">
      <xmlPr mapId="43" xpath="/ns1:Root/ns1:Prog/ns1:Achieved__P3_5" xmlDataType="double"/>
    </xmlCellPr>
  </singleXmlCell>
  <singleXmlCell id="677" r="J214" connectionId="0">
    <xmlCellPr id="1" uniqueName="1">
      <xmlPr mapId="43" xpath="/ns1:Root/ns1:Prog/ns1:Achieved__P4_5" xmlDataType="double"/>
    </xmlCellPr>
  </singleXmlCell>
  <singleXmlCell id="678" r="K214" connectionId="0">
    <xmlCellPr id="1" uniqueName="1">
      <xmlPr mapId="43" xpath="/ns1:Root/ns1:Prog/ns1:Achieved__P5_5" xmlDataType="string"/>
    </xmlCellPr>
  </singleXmlCell>
  <singleXmlCell id="679" r="L214" connectionId="0">
    <xmlCellPr id="1" uniqueName="1">
      <xmlPr mapId="43" xpath="/ns1:Root/ns1:Prog/ns1:Achieved__P6_5" xmlDataType="string"/>
    </xmlCellPr>
  </singleXmlCell>
  <singleXmlCell id="680" r="M214" connectionId="0">
    <xmlCellPr id="1" uniqueName="1">
      <xmlPr mapId="43" xpath="/ns1:Root/ns1:Prog/ns1:Achieved__P7_5" xmlDataType="string"/>
    </xmlCellPr>
  </singleXmlCell>
  <singleXmlCell id="681" r="N214" connectionId="0">
    <xmlCellPr id="1" uniqueName="1">
      <xmlPr mapId="43" xpath="/ns1:Root/ns1:Prog/ns1:Achieved__P8_5" xmlDataType="string"/>
    </xmlCellPr>
  </singleXmlCell>
  <singleXmlCell id="682" r="O214" connectionId="0">
    <xmlCellPr id="1" uniqueName="1">
      <xmlPr mapId="43" xpath="/ns1:Root/ns1:Prog/ns1:Achieved__P9_5" xmlDataType="string"/>
    </xmlCellPr>
  </singleXmlCell>
  <singleXmlCell id="683" r="P214" connectionId="0">
    <xmlCellPr id="1" uniqueName="1">
      <xmlPr mapId="43" xpath="/ns1:Root/ns1:Prog/ns1:Achieved__P10_5" xmlDataType="string"/>
    </xmlCellPr>
  </singleXmlCell>
  <singleXmlCell id="684" r="Q214" connectionId="0">
    <xmlCellPr id="1" uniqueName="1">
      <xmlPr mapId="43" xpath="/ns1:Root/ns1:Prog/ns1:Achieved__P11_5" xmlDataType="string"/>
    </xmlCellPr>
  </singleXmlCell>
  <singleXmlCell id="686" r="G215" connectionId="0">
    <xmlCellPr id="1" uniqueName="1">
      <xmlPr mapId="43" xpath="/ns1:Root/ns1:Prog/ns1:Target_P1_6" xmlDataType="double"/>
    </xmlCellPr>
  </singleXmlCell>
  <singleXmlCell id="687" r="H215" connectionId="0">
    <xmlCellPr id="1" uniqueName="1">
      <xmlPr mapId="43" xpath="/ns1:Root/ns1:Prog/ns1:Target_P2_6" xmlDataType="double"/>
    </xmlCellPr>
  </singleXmlCell>
  <singleXmlCell id="688" r="I215" connectionId="0">
    <xmlCellPr id="1" uniqueName="1">
      <xmlPr mapId="43" xpath="/ns1:Root/ns1:Prog/ns1:Target_P3_6" xmlDataType="double"/>
    </xmlCellPr>
  </singleXmlCell>
  <singleXmlCell id="689" r="J215" connectionId="0">
    <xmlCellPr id="1" uniqueName="1">
      <xmlPr mapId="43" xpath="/ns1:Root/ns1:Prog/ns1:Target_P4_6" xmlDataType="double"/>
    </xmlCellPr>
  </singleXmlCell>
  <singleXmlCell id="690" r="K215" connectionId="0">
    <xmlCellPr id="1" uniqueName="1">
      <xmlPr mapId="43" xpath="/ns1:Root/ns1:Prog/ns1:Target_P5_6" xmlDataType="double"/>
    </xmlCellPr>
  </singleXmlCell>
  <singleXmlCell id="691" r="L215" connectionId="0">
    <xmlCellPr id="1" uniqueName="1">
      <xmlPr mapId="43" xpath="/ns1:Root/ns1:Prog/ns1:Target_P6_6" xmlDataType="double"/>
    </xmlCellPr>
  </singleXmlCell>
  <singleXmlCell id="692" r="M215" connectionId="0">
    <xmlCellPr id="1" uniqueName="1">
      <xmlPr mapId="43" xpath="/ns1:Root/ns1:Prog/ns1:Target_P7_6" xmlDataType="double"/>
    </xmlCellPr>
  </singleXmlCell>
  <singleXmlCell id="693" r="N215" connectionId="0">
    <xmlCellPr id="1" uniqueName="1">
      <xmlPr mapId="43" xpath="/ns1:Root/ns1:Prog/ns1:Target_P8_6" xmlDataType="double"/>
    </xmlCellPr>
  </singleXmlCell>
  <singleXmlCell id="694" r="O215" connectionId="0">
    <xmlCellPr id="1" uniqueName="1">
      <xmlPr mapId="43" xpath="/ns1:Root/ns1:Prog/ns1:Target_P9_6" xmlDataType="double"/>
    </xmlCellPr>
  </singleXmlCell>
  <singleXmlCell id="695" r="P215" connectionId="0">
    <xmlCellPr id="1" uniqueName="1">
      <xmlPr mapId="43" xpath="/ns1:Root/ns1:Prog/ns1:Target_P10_6" xmlDataType="double"/>
    </xmlCellPr>
  </singleXmlCell>
  <singleXmlCell id="696" r="Q215" connectionId="0">
    <xmlCellPr id="1" uniqueName="1">
      <xmlPr mapId="43" xpath="/ns1:Root/ns1:Prog/ns1:Target_P11_6" xmlDataType="double"/>
    </xmlCellPr>
  </singleXmlCell>
  <singleXmlCell id="698" r="G216" connectionId="0">
    <xmlCellPr id="1" uniqueName="1">
      <xmlPr mapId="43" xpath="/ns1:Root/ns1:Prog/ns1:Achieved__P1_6" xmlDataType="double"/>
    </xmlCellPr>
  </singleXmlCell>
  <singleXmlCell id="699" r="H216" connectionId="0">
    <xmlCellPr id="1" uniqueName="1">
      <xmlPr mapId="43" xpath="/ns1:Root/ns1:Prog/ns1:Achieved__P2_6" xmlDataType="double"/>
    </xmlCellPr>
  </singleXmlCell>
  <singleXmlCell id="700" r="I216" connectionId="0">
    <xmlCellPr id="1" uniqueName="1">
      <xmlPr mapId="43" xpath="/ns1:Root/ns1:Prog/ns1:Achieved__P3_6" xmlDataType="double"/>
    </xmlCellPr>
  </singleXmlCell>
  <singleXmlCell id="701" r="J216" connectionId="0">
    <xmlCellPr id="1" uniqueName="1">
      <xmlPr mapId="43" xpath="/ns1:Root/ns1:Prog/ns1:Achieved__P4_6" xmlDataType="double"/>
    </xmlCellPr>
  </singleXmlCell>
  <singleXmlCell id="702" r="K216" connectionId="0">
    <xmlCellPr id="1" uniqueName="1">
      <xmlPr mapId="43" xpath="/ns1:Root/ns1:Prog/ns1:Achieved__P5_6" xmlDataType="string"/>
    </xmlCellPr>
  </singleXmlCell>
  <singleXmlCell id="703" r="L216" connectionId="0">
    <xmlCellPr id="1" uniqueName="1">
      <xmlPr mapId="43" xpath="/ns1:Root/ns1:Prog/ns1:Achieved__P6_6" xmlDataType="string"/>
    </xmlCellPr>
  </singleXmlCell>
  <singleXmlCell id="704" r="M216" connectionId="0">
    <xmlCellPr id="1" uniqueName="1">
      <xmlPr mapId="43" xpath="/ns1:Root/ns1:Prog/ns1:Achieved__P7_6" xmlDataType="string"/>
    </xmlCellPr>
  </singleXmlCell>
  <singleXmlCell id="705" r="N216" connectionId="0">
    <xmlCellPr id="1" uniqueName="1">
      <xmlPr mapId="43" xpath="/ns1:Root/ns1:Prog/ns1:Achieved__P8_6" xmlDataType="string"/>
    </xmlCellPr>
  </singleXmlCell>
  <singleXmlCell id="706" r="O216" connectionId="0">
    <xmlCellPr id="1" uniqueName="1">
      <xmlPr mapId="43" xpath="/ns1:Root/ns1:Prog/ns1:Achieved__P9_6" xmlDataType="string"/>
    </xmlCellPr>
  </singleXmlCell>
  <singleXmlCell id="707" r="P216" connectionId="0">
    <xmlCellPr id="1" uniqueName="1">
      <xmlPr mapId="43" xpath="/ns1:Root/ns1:Prog/ns1:Achieved__P10_6" xmlDataType="string"/>
    </xmlCellPr>
  </singleXmlCell>
  <singleXmlCell id="708" r="Q216" connectionId="0">
    <xmlCellPr id="1" uniqueName="1">
      <xmlPr mapId="43" xpath="/ns1:Root/ns1:Prog/ns1:Achieved__P11_6" xmlDataType="string"/>
    </xmlCellPr>
  </singleXmlCell>
  <singleXmlCell id="806" r="J207" connectionId="0">
    <xmlCellPr id="1" uniqueName="1">
      <xmlPr mapId="43" xpath="/ns1:Root/ns1:Prog/ns1:Target_P4_2" xmlDataType="double"/>
    </xmlCellPr>
  </singleXmlCell>
  <singleXmlCell id="837" r="C26" connectionId="0">
    <xmlCellPr id="1" uniqueName="1">
      <xmlPr mapId="43" xpath="/ns1:Root/ns1:Currency" xmlDataType="string"/>
    </xmlCellPr>
  </singleXmlCell>
  <singleXmlCell id="497" r="E84" connectionId="0">
    <xmlCellPr id="1" uniqueName="1">
      <xmlPr mapId="43" xpath="/ns1:Root/ns1:M1/ns1:Time_Bound_Actions__TBAs__Not_fulfilled__and_past_the_deadline" xmlDataType="double"/>
    </xmlCellPr>
  </singleXmlCell>
  <singleXmlCell id="496" r="D84" connectionId="0">
    <xmlCellPr id="1" uniqueName="1">
      <xmlPr mapId="43" xpath="/ns1:Root/ns1:M1/ns1:Time_Bound_Actions__TBAs__Not_fulfilled__but_within_deadline" xmlDataType="string"/>
    </xmlCellPr>
  </singleXmlCell>
  <singleXmlCell id="495" r="C84" connectionId="0">
    <xmlCellPr id="1" uniqueName="1">
      <xmlPr mapId="43" xpath="/ns1:Root/ns1:M1/ns1:Time_Bound_Actions__TBAs__Fulfilled" xmlDataType="double"/>
    </xmlCellPr>
  </singleXmlCell>
  <singleXmlCell id="494" r="A84" connectionId="0">
    <xmlCellPr id="1" uniqueName="1">
      <xmlPr mapId="43" xpath="/ns1:Root/ns1:M1/ns1:Time_Bound_Actions__TBAs__" xmlDataType="string"/>
    </xmlCellPr>
  </singleXmlCell>
  <singleXmlCell id="493" r="E83" connectionId="0">
    <xmlCellPr id="1" uniqueName="1">
      <xmlPr mapId="43" xpath="/ns1:Root/ns1:M1/ns1:Conditions_precedents__CPs__Not_fulfilled__and_past_the_deadline" xmlDataType="double"/>
    </xmlCellPr>
  </singleXmlCell>
  <singleXmlCell id="492" r="D83" connectionId="0">
    <xmlCellPr id="1" uniqueName="1">
      <xmlPr mapId="43" xpath="/ns1:Root/ns1:M1/ns1:Conditions_precedents__CPs__Not_fulfilled__but_within_deadline" xmlDataType="double"/>
    </xmlCellPr>
  </singleXmlCell>
  <singleXmlCell id="491" r="C83" connectionId="0">
    <xmlCellPr id="1" uniqueName="1">
      <xmlPr mapId="43" xpath="/ns1:Root/ns1:M1/ns1:Conditions_precedents__CPs__Fulfilled" xmlDataType="double"/>
    </xmlCellPr>
  </singleXmlCell>
  <singleXmlCell id="490" r="A83" connectionId="0">
    <xmlCellPr id="1" uniqueName="1">
      <xmlPr mapId="43" xpath="/ns1:Root/ns1:M1/ns1:Conditions_precedents__CPs__" xmlDataType="string"/>
    </xmlCellPr>
  </singleXmlCell>
  <singleXmlCell id="807" r="A205" connectionId="0">
    <xmlCellPr id="1" uniqueName="1">
      <xmlPr mapId="43" xpath="/ns1:Root/ns1:P1" xmlDataType="string"/>
    </xmlCellPr>
  </singleXmlCell>
  <singleXmlCell id="808" r="D205" connectionId="0">
    <xmlCellPr id="1" uniqueName="1">
      <xmlPr mapId="43" xpath="/ns1:Root/ns1:P1_Code" xmlDataType="double"/>
    </xmlCellPr>
  </singleXmlCell>
  <singleXmlCell id="809" r="E205" connectionId="0">
    <xmlCellPr id="1" uniqueName="1">
      <xmlPr mapId="43" xpath="/ns1:Root/ns1:P1_Tied" xmlDataType="string"/>
    </xmlCellPr>
  </singleXmlCell>
  <singleXmlCell id="810" r="A207" connectionId="0">
    <xmlCellPr id="1" uniqueName="1">
      <xmlPr mapId="43" xpath="/ns1:Root/ns1:P2" xmlDataType="string"/>
    </xmlCellPr>
  </singleXmlCell>
  <singleXmlCell id="811" r="D207" connectionId="0">
    <xmlCellPr id="1" uniqueName="1">
      <xmlPr mapId="43" xpath="/ns1:Root/ns1:P2_Code" xmlDataType="double"/>
    </xmlCellPr>
  </singleXmlCell>
  <singleXmlCell id="812" r="E207" connectionId="0">
    <xmlCellPr id="1" uniqueName="1">
      <xmlPr mapId="43" xpath="/ns1:Root/ns1:P2_Tied" xmlDataType="string"/>
    </xmlCellPr>
  </singleXmlCell>
  <singleXmlCell id="813" r="A209" connectionId="0">
    <xmlCellPr id="1" uniqueName="1">
      <xmlPr mapId="43" xpath="/ns1:Root/ns1:P3" xmlDataType="string"/>
    </xmlCellPr>
  </singleXmlCell>
  <singleXmlCell id="814" r="D209" connectionId="0">
    <xmlCellPr id="1" uniqueName="1">
      <xmlPr mapId="43" xpath="/ns1:Root/ns1:P3_Code" xmlDataType="double"/>
    </xmlCellPr>
  </singleXmlCell>
  <singleXmlCell id="815" r="E209" connectionId="0">
    <xmlCellPr id="1" uniqueName="1">
      <xmlPr mapId="43" xpath="/ns1:Root/ns1:P3_Tied" xmlDataType="string"/>
    </xmlCellPr>
  </singleXmlCell>
  <singleXmlCell id="816" r="A211" connectionId="0">
    <xmlCellPr id="1" uniqueName="1">
      <xmlPr mapId="43" xpath="/ns1:Root/ns1:P4" xmlDataType="string"/>
    </xmlCellPr>
  </singleXmlCell>
  <singleXmlCell id="817" r="D211" connectionId="0">
    <xmlCellPr id="1" uniqueName="1">
      <xmlPr mapId="43" xpath="/ns1:Root/ns1:P4_Code" xmlDataType="double"/>
    </xmlCellPr>
  </singleXmlCell>
  <singleXmlCell id="818" r="E211" connectionId="0">
    <xmlCellPr id="1" uniqueName="1">
      <xmlPr mapId="43" xpath="/ns1:Root/ns1:P4_Tied" xmlDataType="string"/>
    </xmlCellPr>
  </singleXmlCell>
  <singleXmlCell id="819" r="A213" connectionId="0">
    <xmlCellPr id="1" uniqueName="1">
      <xmlPr mapId="43" xpath="/ns1:Root/ns1:P5" xmlDataType="string"/>
    </xmlCellPr>
  </singleXmlCell>
  <singleXmlCell id="820" r="D213" connectionId="0">
    <xmlCellPr id="1" uniqueName="1">
      <xmlPr mapId="43" xpath="/ns1:Root/ns1:P5_Code" xmlDataType="double"/>
    </xmlCellPr>
  </singleXmlCell>
  <singleXmlCell id="821" r="E213" connectionId="0">
    <xmlCellPr id="1" uniqueName="1">
      <xmlPr mapId="43" xpath="/ns1:Root/ns1:P5_Tied" xmlDataType="string"/>
    </xmlCellPr>
  </singleXmlCell>
  <singleXmlCell id="822" r="A215" connectionId="0">
    <xmlCellPr id="1" uniqueName="1">
      <xmlPr mapId="43" xpath="/ns1:Root/ns1:P6" xmlDataType="string"/>
    </xmlCellPr>
  </singleXmlCell>
  <singleXmlCell id="823" r="D215" connectionId="0">
    <xmlCellPr id="1" uniqueName="1">
      <xmlPr mapId="43" xpath="/ns1:Root/ns1:P6_Code" xmlDataType="double"/>
    </xmlCellPr>
  </singleXmlCell>
  <singleXmlCell id="824" r="E215" connectionId="0">
    <xmlCellPr id="1" uniqueName="1">
      <xmlPr mapId="43" xpath="/ns1:Root/ns1:P6_Tied"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heetViews>
  <sheetFormatPr defaultColWidth="11" defaultRowHeight="15"/>
  <cols>
    <col min="1" max="1" width="1.140625" customWidth="1"/>
    <col min="2" max="10" width="11.42578125" customWidth="1"/>
    <col min="11" max="11" width="1.7109375" customWidth="1"/>
  </cols>
  <sheetData>
    <row r="1" spans="2:15" ht="25.5" customHeight="1"/>
    <row r="2" spans="2:15" ht="36">
      <c r="B2" s="636" t="str">
        <f>+"Панель показателей:  "&amp;"  "&amp;IF(+'Ввод данных'!B4="Выберите","",'Ввод данных'!B4&amp;" - ")&amp;IF('Ввод данных'!F6="Выберите","",'Ввод данных'!F6)</f>
        <v>Панель показателей:    Кыргызстан - ВИЧ/СПИД/ТБ</v>
      </c>
      <c r="C2" s="636"/>
      <c r="D2" s="636"/>
      <c r="E2" s="636"/>
      <c r="F2" s="636"/>
      <c r="G2" s="636"/>
      <c r="H2" s="636"/>
      <c r="I2" s="636"/>
      <c r="J2" s="636"/>
      <c r="K2" s="636"/>
      <c r="L2" s="636"/>
      <c r="M2" s="636"/>
      <c r="N2" s="1"/>
      <c r="O2" s="1"/>
    </row>
    <row r="4" spans="2:15" ht="21">
      <c r="B4" s="632" t="str">
        <f>+IF('Ввод данных'!F6="Выберите", "",'Ввод данных'!F6) &amp;"  "&amp;+IF('Ввод данных'!F8="Выберите", "", 'Ввод данных'!F8&amp;",  ")&amp;+IF('Ввод данных'!H8="Выберите","",'Ввод данных'!H8)</f>
        <v xml:space="preserve">ВИЧ/СПИД/ТБ  ,  </v>
      </c>
      <c r="C4" s="632"/>
      <c r="D4" s="632"/>
      <c r="E4" s="633"/>
      <c r="F4" s="208"/>
      <c r="G4" s="208"/>
      <c r="H4" s="294" t="str">
        <f>+'Ввод данных'!A6&amp;" "&amp;+'Ввод данных'!B6</f>
        <v>Грант № KGZ-C-UNDP</v>
      </c>
      <c r="I4" s="294"/>
      <c r="J4" s="207"/>
      <c r="K4" s="208"/>
      <c r="L4" s="208"/>
    </row>
    <row r="22" spans="2:12" ht="26.25">
      <c r="B22" s="634" t="s">
        <v>86</v>
      </c>
      <c r="C22" s="635"/>
      <c r="D22" s="635"/>
      <c r="E22" s="635"/>
      <c r="F22" s="635"/>
      <c r="G22" s="635"/>
      <c r="H22" s="635"/>
      <c r="I22" s="635"/>
      <c r="J22" s="635"/>
      <c r="K22" s="635"/>
      <c r="L22" s="635"/>
    </row>
  </sheetData>
  <sheetProtection password="CFC9" sheet="1"/>
  <mergeCells count="3">
    <mergeCell ref="B4:E4"/>
    <mergeCell ref="B22:L22"/>
    <mergeCell ref="B2:M2"/>
  </mergeCells>
  <phoneticPr fontId="31"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05" t="str">
        <f>'Сведения о гранте'!B3:J3</f>
        <v>Панель показателей:  Кыргызстан - ВИЧ/СПИД/ТБ</v>
      </c>
      <c r="C3" s="1205"/>
      <c r="D3" s="1205"/>
      <c r="E3" s="1205"/>
      <c r="F3" s="1205"/>
      <c r="G3" s="1205"/>
      <c r="H3" s="1205"/>
      <c r="I3" s="1"/>
    </row>
    <row r="6" spans="2:15" ht="18.75">
      <c r="B6" s="1206" t="s">
        <v>82</v>
      </c>
      <c r="C6" s="1206"/>
      <c r="D6" s="1206"/>
      <c r="E6" s="1206"/>
      <c r="F6" s="1206"/>
      <c r="G6" s="1206"/>
      <c r="H6" s="1206"/>
    </row>
    <row r="8" spans="2:15" ht="18.75">
      <c r="B8" s="59" t="s">
        <v>19</v>
      </c>
      <c r="C8" s="59" t="s">
        <v>20</v>
      </c>
      <c r="D8" s="59" t="s">
        <v>21</v>
      </c>
      <c r="E8" s="59" t="s">
        <v>22</v>
      </c>
      <c r="F8" s="59" t="s">
        <v>77</v>
      </c>
      <c r="G8" s="59" t="s">
        <v>75</v>
      </c>
      <c r="H8" s="59" t="s">
        <v>79</v>
      </c>
      <c r="I8" s="60" t="s">
        <v>48</v>
      </c>
      <c r="J8" s="60" t="s">
        <v>72</v>
      </c>
      <c r="M8" s="19"/>
      <c r="N8" s="19"/>
      <c r="O8" s="19"/>
    </row>
    <row r="9" spans="2:15">
      <c r="B9" s="350" t="s">
        <v>93</v>
      </c>
      <c r="C9" s="350" t="s">
        <v>93</v>
      </c>
      <c r="D9" s="350" t="s">
        <v>93</v>
      </c>
      <c r="E9" s="350" t="s">
        <v>93</v>
      </c>
      <c r="F9" s="350" t="s">
        <v>93</v>
      </c>
      <c r="G9" s="350" t="s">
        <v>93</v>
      </c>
      <c r="H9" s="350" t="s">
        <v>93</v>
      </c>
      <c r="I9" s="351" t="s">
        <v>93</v>
      </c>
      <c r="J9" s="350" t="s">
        <v>93</v>
      </c>
      <c r="M9" s="19"/>
      <c r="N9" s="19"/>
      <c r="O9" s="19"/>
    </row>
    <row r="10" spans="2:15">
      <c r="B10" s="54" t="s">
        <v>244</v>
      </c>
      <c r="C10" s="54" t="s">
        <v>17</v>
      </c>
      <c r="D10" s="54" t="s">
        <v>227</v>
      </c>
      <c r="E10" s="54" t="s">
        <v>237</v>
      </c>
      <c r="F10" s="54" t="s">
        <v>55</v>
      </c>
      <c r="G10" s="338" t="s">
        <v>24</v>
      </c>
      <c r="H10" s="57" t="s">
        <v>29</v>
      </c>
      <c r="I10" s="26" t="s">
        <v>239</v>
      </c>
      <c r="J10" s="350" t="s">
        <v>94</v>
      </c>
      <c r="M10" s="19"/>
      <c r="N10" s="19"/>
      <c r="O10" s="19"/>
    </row>
    <row r="11" spans="2:15">
      <c r="B11" s="54" t="s">
        <v>245</v>
      </c>
      <c r="C11" s="54" t="s">
        <v>16</v>
      </c>
      <c r="D11" s="54" t="s">
        <v>228</v>
      </c>
      <c r="E11" s="54" t="s">
        <v>238</v>
      </c>
      <c r="F11" s="54" t="s">
        <v>56</v>
      </c>
      <c r="G11" s="338" t="s">
        <v>25</v>
      </c>
      <c r="H11" s="57" t="s">
        <v>30</v>
      </c>
      <c r="I11" s="26" t="s">
        <v>240</v>
      </c>
      <c r="J11" s="350" t="s">
        <v>95</v>
      </c>
      <c r="M11" s="19"/>
      <c r="N11" s="19"/>
      <c r="O11" s="19"/>
    </row>
    <row r="12" spans="2:15">
      <c r="B12" s="54" t="s">
        <v>246</v>
      </c>
      <c r="D12" s="54" t="s">
        <v>229</v>
      </c>
      <c r="E12" s="54" t="s">
        <v>18</v>
      </c>
      <c r="F12" s="54" t="s">
        <v>57</v>
      </c>
      <c r="G12" s="338" t="s">
        <v>26</v>
      </c>
      <c r="H12" s="57" t="s">
        <v>31</v>
      </c>
      <c r="I12" s="26" t="s">
        <v>241</v>
      </c>
      <c r="J12" s="350" t="s">
        <v>96</v>
      </c>
      <c r="M12" s="181"/>
      <c r="N12" s="19"/>
      <c r="O12" s="19"/>
    </row>
    <row r="13" spans="2:15">
      <c r="B13" s="54" t="s">
        <v>247</v>
      </c>
      <c r="D13" s="54" t="s">
        <v>230</v>
      </c>
      <c r="E13" s="55"/>
      <c r="F13" s="54" t="s">
        <v>58</v>
      </c>
      <c r="G13" s="338" t="s">
        <v>27</v>
      </c>
      <c r="H13" s="57" t="s">
        <v>32</v>
      </c>
      <c r="I13" s="26" t="s">
        <v>242</v>
      </c>
      <c r="J13" s="350" t="s">
        <v>97</v>
      </c>
      <c r="M13" s="181"/>
      <c r="N13" s="19"/>
      <c r="O13" s="19"/>
    </row>
    <row r="14" spans="2:15">
      <c r="B14" s="54" t="s">
        <v>248</v>
      </c>
      <c r="D14" s="54" t="s">
        <v>231</v>
      </c>
      <c r="F14" s="54" t="s">
        <v>65</v>
      </c>
      <c r="G14" s="338" t="s">
        <v>28</v>
      </c>
      <c r="H14" s="57" t="s">
        <v>33</v>
      </c>
      <c r="I14" s="26" t="s">
        <v>76</v>
      </c>
      <c r="J14" s="350" t="s">
        <v>98</v>
      </c>
      <c r="M14" s="181"/>
      <c r="N14" s="19"/>
      <c r="O14" s="19"/>
    </row>
    <row r="15" spans="2:15">
      <c r="D15" s="54" t="s">
        <v>232</v>
      </c>
      <c r="F15" s="54" t="s">
        <v>66</v>
      </c>
      <c r="H15" s="57" t="s">
        <v>34</v>
      </c>
      <c r="I15" s="26" t="s">
        <v>39</v>
      </c>
      <c r="J15" s="350" t="s">
        <v>99</v>
      </c>
      <c r="M15" s="181"/>
      <c r="N15" s="19"/>
      <c r="O15" s="19"/>
    </row>
    <row r="16" spans="2:15">
      <c r="D16" s="54" t="s">
        <v>233</v>
      </c>
      <c r="F16" s="54" t="s">
        <v>67</v>
      </c>
      <c r="H16" s="57" t="s">
        <v>35</v>
      </c>
      <c r="I16" s="26" t="s">
        <v>40</v>
      </c>
      <c r="J16" s="350" t="s">
        <v>100</v>
      </c>
      <c r="M16" s="181"/>
      <c r="N16" s="19"/>
      <c r="O16" s="19"/>
    </row>
    <row r="17" spans="4:15">
      <c r="D17" s="54" t="s">
        <v>234</v>
      </c>
      <c r="F17" s="54" t="s">
        <v>68</v>
      </c>
      <c r="H17" s="57" t="s">
        <v>36</v>
      </c>
      <c r="I17" s="26" t="s">
        <v>41</v>
      </c>
      <c r="J17" s="350" t="s">
        <v>101</v>
      </c>
      <c r="M17" s="181"/>
      <c r="N17" s="19"/>
      <c r="O17" s="19"/>
    </row>
    <row r="18" spans="4:15">
      <c r="D18" s="54" t="s">
        <v>235</v>
      </c>
      <c r="F18" s="54" t="s">
        <v>69</v>
      </c>
      <c r="H18" s="57" t="s">
        <v>37</v>
      </c>
      <c r="I18" s="26" t="s">
        <v>42</v>
      </c>
      <c r="J18" s="350" t="s">
        <v>102</v>
      </c>
      <c r="M18" s="181"/>
      <c r="N18" s="19"/>
      <c r="O18" s="19"/>
    </row>
    <row r="19" spans="4:15">
      <c r="D19" s="54" t="s">
        <v>236</v>
      </c>
      <c r="F19" s="54" t="s">
        <v>70</v>
      </c>
      <c r="H19" s="57" t="s">
        <v>38</v>
      </c>
      <c r="I19" s="26" t="s">
        <v>43</v>
      </c>
      <c r="J19" s="350" t="s">
        <v>103</v>
      </c>
      <c r="M19" s="181"/>
      <c r="N19" s="19"/>
      <c r="O19" s="19"/>
    </row>
    <row r="20" spans="4:15">
      <c r="D20" s="56"/>
      <c r="F20" s="54" t="s">
        <v>71</v>
      </c>
      <c r="H20" s="57" t="s">
        <v>73</v>
      </c>
      <c r="I20" s="26" t="s">
        <v>44</v>
      </c>
      <c r="J20" s="350" t="s">
        <v>104</v>
      </c>
      <c r="M20" s="19"/>
      <c r="N20" s="19"/>
      <c r="O20" s="19"/>
    </row>
    <row r="21" spans="4:15">
      <c r="D21" s="58"/>
      <c r="F21" s="54" t="s">
        <v>78</v>
      </c>
      <c r="H21" s="58"/>
      <c r="I21" s="26" t="s">
        <v>46</v>
      </c>
      <c r="J21" s="350" t="s">
        <v>105</v>
      </c>
      <c r="M21" s="19"/>
      <c r="N21" s="19"/>
      <c r="O21" s="19"/>
    </row>
    <row r="22" spans="4:15">
      <c r="H22" s="58"/>
      <c r="I22" s="26" t="s">
        <v>47</v>
      </c>
      <c r="J22" s="350" t="s">
        <v>106</v>
      </c>
      <c r="M22" s="19"/>
      <c r="N22" s="19"/>
      <c r="O22" s="19"/>
    </row>
    <row r="23" spans="4:15">
      <c r="I23" s="26" t="s">
        <v>45</v>
      </c>
      <c r="J23" s="350" t="s">
        <v>107</v>
      </c>
      <c r="M23" s="19"/>
      <c r="N23" s="19"/>
      <c r="O23" s="19"/>
    </row>
    <row r="24" spans="4:15">
      <c r="I24" s="26" t="s">
        <v>81</v>
      </c>
      <c r="J24" s="350" t="s">
        <v>108</v>
      </c>
      <c r="M24" s="19"/>
      <c r="N24" s="19"/>
      <c r="O24" s="19"/>
    </row>
    <row r="25" spans="4:15">
      <c r="I25" s="42"/>
      <c r="J25" s="350" t="s">
        <v>109</v>
      </c>
    </row>
    <row r="26" spans="4:15">
      <c r="I26" s="26" t="s">
        <v>243</v>
      </c>
      <c r="J26" s="350" t="s">
        <v>110</v>
      </c>
    </row>
    <row r="27" spans="4:15">
      <c r="I27" s="26" t="s">
        <v>80</v>
      </c>
      <c r="J27" s="350" t="s">
        <v>111</v>
      </c>
    </row>
    <row r="28" spans="4:15">
      <c r="I28" s="42" t="s">
        <v>429</v>
      </c>
      <c r="J28" s="350" t="s">
        <v>112</v>
      </c>
    </row>
    <row r="29" spans="4:15">
      <c r="I29" s="42" t="s">
        <v>430</v>
      </c>
      <c r="J29" s="350" t="s">
        <v>113</v>
      </c>
    </row>
    <row r="30" spans="4:15">
      <c r="I30" s="42" t="s">
        <v>44</v>
      </c>
      <c r="J30" s="350" t="s">
        <v>114</v>
      </c>
    </row>
    <row r="31" spans="4:15">
      <c r="J31" s="350" t="s">
        <v>115</v>
      </c>
    </row>
    <row r="32" spans="4:15">
      <c r="J32" s="350" t="s">
        <v>116</v>
      </c>
    </row>
    <row r="33" spans="10:10">
      <c r="J33" s="350" t="s">
        <v>117</v>
      </c>
    </row>
    <row r="34" spans="10:10">
      <c r="J34" s="350" t="s">
        <v>118</v>
      </c>
    </row>
    <row r="35" spans="10:10">
      <c r="J35" s="350" t="s">
        <v>119</v>
      </c>
    </row>
    <row r="36" spans="10:10">
      <c r="J36" s="350" t="s">
        <v>119</v>
      </c>
    </row>
    <row r="37" spans="10:10">
      <c r="J37" s="350" t="s">
        <v>120</v>
      </c>
    </row>
    <row r="38" spans="10:10">
      <c r="J38" s="350" t="s">
        <v>121</v>
      </c>
    </row>
    <row r="39" spans="10:10">
      <c r="J39" s="350" t="s">
        <v>122</v>
      </c>
    </row>
    <row r="40" spans="10:10">
      <c r="J40" s="350" t="s">
        <v>123</v>
      </c>
    </row>
    <row r="41" spans="10:10">
      <c r="J41" s="350" t="s">
        <v>124</v>
      </c>
    </row>
    <row r="42" spans="10:10">
      <c r="J42" s="350" t="s">
        <v>125</v>
      </c>
    </row>
    <row r="43" spans="10:10">
      <c r="J43" s="350" t="s">
        <v>126</v>
      </c>
    </row>
    <row r="44" spans="10:10">
      <c r="J44" s="350" t="s">
        <v>127</v>
      </c>
    </row>
    <row r="45" spans="10:10">
      <c r="J45" s="350" t="s">
        <v>128</v>
      </c>
    </row>
    <row r="46" spans="10:10">
      <c r="J46" s="350" t="s">
        <v>129</v>
      </c>
    </row>
    <row r="47" spans="10:10">
      <c r="J47" s="350" t="s">
        <v>130</v>
      </c>
    </row>
    <row r="48" spans="10:10">
      <c r="J48" s="350" t="s">
        <v>131</v>
      </c>
    </row>
    <row r="49" spans="10:10">
      <c r="J49" s="350" t="s">
        <v>132</v>
      </c>
    </row>
    <row r="50" spans="10:10">
      <c r="J50" s="350" t="s">
        <v>133</v>
      </c>
    </row>
    <row r="51" spans="10:10">
      <c r="J51" s="350" t="s">
        <v>134</v>
      </c>
    </row>
    <row r="52" spans="10:10">
      <c r="J52" s="350" t="s">
        <v>135</v>
      </c>
    </row>
    <row r="53" spans="10:10">
      <c r="J53" s="350" t="s">
        <v>136</v>
      </c>
    </row>
    <row r="54" spans="10:10">
      <c r="J54" s="350" t="s">
        <v>137</v>
      </c>
    </row>
    <row r="55" spans="10:10">
      <c r="J55" s="350" t="s">
        <v>138</v>
      </c>
    </row>
    <row r="56" spans="10:10">
      <c r="J56" s="350" t="s">
        <v>139</v>
      </c>
    </row>
    <row r="57" spans="10:10">
      <c r="J57" s="350" t="s">
        <v>140</v>
      </c>
    </row>
    <row r="58" spans="10:10">
      <c r="J58" s="350" t="s">
        <v>141</v>
      </c>
    </row>
    <row r="59" spans="10:10">
      <c r="J59" s="350" t="s">
        <v>174</v>
      </c>
    </row>
    <row r="60" spans="10:10">
      <c r="J60" s="350" t="s">
        <v>142</v>
      </c>
    </row>
    <row r="61" spans="10:10">
      <c r="J61" s="350" t="s">
        <v>143</v>
      </c>
    </row>
    <row r="62" spans="10:10">
      <c r="J62" s="350" t="s">
        <v>144</v>
      </c>
    </row>
    <row r="63" spans="10:10">
      <c r="J63" s="350" t="s">
        <v>145</v>
      </c>
    </row>
    <row r="64" spans="10:10">
      <c r="J64" s="350" t="s">
        <v>146</v>
      </c>
    </row>
    <row r="65" spans="10:10">
      <c r="J65" s="350" t="s">
        <v>147</v>
      </c>
    </row>
    <row r="66" spans="10:10">
      <c r="J66" s="350" t="s">
        <v>148</v>
      </c>
    </row>
    <row r="67" spans="10:10">
      <c r="J67" s="350" t="s">
        <v>149</v>
      </c>
    </row>
    <row r="68" spans="10:10">
      <c r="J68" s="350" t="s">
        <v>150</v>
      </c>
    </row>
    <row r="69" spans="10:10">
      <c r="J69" s="350" t="s">
        <v>151</v>
      </c>
    </row>
    <row r="70" spans="10:10">
      <c r="J70" s="350" t="s">
        <v>152</v>
      </c>
    </row>
    <row r="71" spans="10:10">
      <c r="J71" s="350" t="s">
        <v>153</v>
      </c>
    </row>
    <row r="72" spans="10:10">
      <c r="J72" s="350" t="s">
        <v>154</v>
      </c>
    </row>
    <row r="73" spans="10:10">
      <c r="J73" s="350" t="s">
        <v>155</v>
      </c>
    </row>
    <row r="74" spans="10:10">
      <c r="J74" s="350" t="s">
        <v>156</v>
      </c>
    </row>
    <row r="75" spans="10:10">
      <c r="J75" s="350" t="s">
        <v>157</v>
      </c>
    </row>
    <row r="76" spans="10:10">
      <c r="J76" s="350" t="s">
        <v>158</v>
      </c>
    </row>
    <row r="77" spans="10:10">
      <c r="J77" s="350" t="s">
        <v>159</v>
      </c>
    </row>
    <row r="78" spans="10:10">
      <c r="J78" s="350" t="s">
        <v>160</v>
      </c>
    </row>
    <row r="79" spans="10:10">
      <c r="J79" s="350" t="s">
        <v>161</v>
      </c>
    </row>
    <row r="80" spans="10:10">
      <c r="J80" s="350" t="s">
        <v>162</v>
      </c>
    </row>
    <row r="81" spans="10:10">
      <c r="J81" s="350" t="s">
        <v>163</v>
      </c>
    </row>
    <row r="82" spans="10:10">
      <c r="J82" s="350" t="s">
        <v>164</v>
      </c>
    </row>
    <row r="83" spans="10:10">
      <c r="J83" s="350" t="s">
        <v>165</v>
      </c>
    </row>
    <row r="84" spans="10:10">
      <c r="J84" s="350" t="s">
        <v>166</v>
      </c>
    </row>
    <row r="85" spans="10:10">
      <c r="J85" s="350" t="s">
        <v>167</v>
      </c>
    </row>
    <row r="86" spans="10:10">
      <c r="J86" s="350" t="s">
        <v>168</v>
      </c>
    </row>
    <row r="87" spans="10:10">
      <c r="J87" s="350" t="s">
        <v>169</v>
      </c>
    </row>
    <row r="88" spans="10:10">
      <c r="J88" s="350" t="s">
        <v>170</v>
      </c>
    </row>
    <row r="89" spans="10:10">
      <c r="J89" s="350" t="s">
        <v>171</v>
      </c>
    </row>
    <row r="90" spans="10:10">
      <c r="J90" s="350" t="s">
        <v>172</v>
      </c>
    </row>
    <row r="91" spans="10:10">
      <c r="J91" s="350" t="s">
        <v>173</v>
      </c>
    </row>
    <row r="92" spans="10:10">
      <c r="J92" s="350" t="s">
        <v>175</v>
      </c>
    </row>
    <row r="93" spans="10:10">
      <c r="J93" s="350" t="s">
        <v>176</v>
      </c>
    </row>
    <row r="94" spans="10:10">
      <c r="J94" s="350" t="s">
        <v>177</v>
      </c>
    </row>
    <row r="95" spans="10:10">
      <c r="J95" s="350" t="s">
        <v>178</v>
      </c>
    </row>
    <row r="96" spans="10:10">
      <c r="J96" s="350" t="s">
        <v>179</v>
      </c>
    </row>
    <row r="97" spans="10:10">
      <c r="J97" s="350" t="s">
        <v>180</v>
      </c>
    </row>
    <row r="98" spans="10:10">
      <c r="J98" s="350" t="s">
        <v>181</v>
      </c>
    </row>
    <row r="99" spans="10:10">
      <c r="J99" s="350" t="s">
        <v>182</v>
      </c>
    </row>
    <row r="100" spans="10:10">
      <c r="J100" s="350" t="s">
        <v>183</v>
      </c>
    </row>
    <row r="101" spans="10:10">
      <c r="J101" s="350" t="s">
        <v>184</v>
      </c>
    </row>
    <row r="102" spans="10:10">
      <c r="J102" s="350" t="s">
        <v>185</v>
      </c>
    </row>
    <row r="103" spans="10:10">
      <c r="J103" s="350" t="s">
        <v>186</v>
      </c>
    </row>
    <row r="104" spans="10:10">
      <c r="J104" s="350" t="s">
        <v>187</v>
      </c>
    </row>
    <row r="105" spans="10:10">
      <c r="J105" s="350" t="s">
        <v>188</v>
      </c>
    </row>
    <row r="106" spans="10:10">
      <c r="J106" s="350" t="s">
        <v>189</v>
      </c>
    </row>
    <row r="107" spans="10:10">
      <c r="J107" s="350" t="s">
        <v>190</v>
      </c>
    </row>
    <row r="108" spans="10:10">
      <c r="J108" s="350" t="s">
        <v>191</v>
      </c>
    </row>
    <row r="109" spans="10:10">
      <c r="J109" s="350" t="s">
        <v>192</v>
      </c>
    </row>
    <row r="110" spans="10:10">
      <c r="J110" s="350" t="s">
        <v>193</v>
      </c>
    </row>
    <row r="111" spans="10:10">
      <c r="J111" s="350" t="s">
        <v>194</v>
      </c>
    </row>
    <row r="112" spans="10:10">
      <c r="J112" s="350" t="s">
        <v>195</v>
      </c>
    </row>
    <row r="113" spans="10:10">
      <c r="J113" s="350" t="s">
        <v>196</v>
      </c>
    </row>
    <row r="114" spans="10:10">
      <c r="J114" s="350" t="s">
        <v>197</v>
      </c>
    </row>
    <row r="115" spans="10:10">
      <c r="J115" s="350" t="s">
        <v>198</v>
      </c>
    </row>
    <row r="116" spans="10:10">
      <c r="J116" s="350" t="s">
        <v>199</v>
      </c>
    </row>
    <row r="117" spans="10:10">
      <c r="J117" s="350" t="s">
        <v>200</v>
      </c>
    </row>
    <row r="118" spans="10:10">
      <c r="J118" s="350" t="s">
        <v>201</v>
      </c>
    </row>
    <row r="119" spans="10:10">
      <c r="J119" s="350" t="s">
        <v>202</v>
      </c>
    </row>
    <row r="120" spans="10:10">
      <c r="J120" s="350" t="s">
        <v>203</v>
      </c>
    </row>
    <row r="121" spans="10:10">
      <c r="J121" s="350" t="s">
        <v>204</v>
      </c>
    </row>
    <row r="122" spans="10:10">
      <c r="J122" s="350" t="s">
        <v>205</v>
      </c>
    </row>
    <row r="123" spans="10:10">
      <c r="J123" s="350" t="s">
        <v>206</v>
      </c>
    </row>
    <row r="124" spans="10:10">
      <c r="J124" s="350" t="s">
        <v>207</v>
      </c>
    </row>
    <row r="125" spans="10:10">
      <c r="J125" s="350" t="s">
        <v>208</v>
      </c>
    </row>
    <row r="126" spans="10:10">
      <c r="J126" s="350" t="s">
        <v>209</v>
      </c>
    </row>
    <row r="127" spans="10:10">
      <c r="J127" s="350" t="s">
        <v>210</v>
      </c>
    </row>
    <row r="128" spans="10:10">
      <c r="J128" s="350" t="s">
        <v>211</v>
      </c>
    </row>
    <row r="129" spans="10:10">
      <c r="J129" s="350" t="s">
        <v>212</v>
      </c>
    </row>
    <row r="130" spans="10:10">
      <c r="J130" s="350" t="s">
        <v>213</v>
      </c>
    </row>
    <row r="131" spans="10:10">
      <c r="J131" s="350" t="s">
        <v>214</v>
      </c>
    </row>
    <row r="132" spans="10:10">
      <c r="J132" s="350" t="s">
        <v>215</v>
      </c>
    </row>
    <row r="133" spans="10:10">
      <c r="J133" s="350" t="s">
        <v>216</v>
      </c>
    </row>
    <row r="134" spans="10:10">
      <c r="J134" s="350" t="s">
        <v>217</v>
      </c>
    </row>
    <row r="135" spans="10:10">
      <c r="J135" s="350" t="s">
        <v>218</v>
      </c>
    </row>
    <row r="136" spans="10:10">
      <c r="J136" s="350" t="s">
        <v>219</v>
      </c>
    </row>
    <row r="137" spans="10:10">
      <c r="J137" s="350" t="s">
        <v>220</v>
      </c>
    </row>
    <row r="138" spans="10:10">
      <c r="J138" s="350" t="s">
        <v>221</v>
      </c>
    </row>
    <row r="139" spans="10:10">
      <c r="J139" s="350" t="s">
        <v>222</v>
      </c>
    </row>
    <row r="140" spans="10:10">
      <c r="J140" s="350" t="s">
        <v>223</v>
      </c>
    </row>
    <row r="141" spans="10:10">
      <c r="J141" s="350" t="s">
        <v>224</v>
      </c>
    </row>
    <row r="142" spans="10:10">
      <c r="J142" s="350" t="s">
        <v>225</v>
      </c>
    </row>
    <row r="143" spans="10:10">
      <c r="J143" s="350" t="s">
        <v>226</v>
      </c>
    </row>
    <row r="144" spans="10:10">
      <c r="J144" s="334"/>
    </row>
  </sheetData>
  <mergeCells count="2">
    <mergeCell ref="B3:H3"/>
    <mergeCell ref="B6:H6"/>
  </mergeCells>
  <phoneticPr fontId="31"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376" t="s">
        <v>284</v>
      </c>
      <c r="B1" t="s">
        <v>285</v>
      </c>
    </row>
    <row r="2" spans="1:2">
      <c r="A2" s="376" t="s">
        <v>286</v>
      </c>
      <c r="B2" t="s">
        <v>287</v>
      </c>
    </row>
    <row r="3" spans="1:2">
      <c r="A3" s="376" t="s">
        <v>288</v>
      </c>
      <c r="B3" t="s">
        <v>289</v>
      </c>
    </row>
    <row r="4" spans="1:2">
      <c r="A4" s="376" t="s">
        <v>290</v>
      </c>
      <c r="B4" t="s">
        <v>291</v>
      </c>
    </row>
    <row r="5" spans="1:2">
      <c r="A5" s="376" t="s">
        <v>292</v>
      </c>
      <c r="B5" t="s">
        <v>293</v>
      </c>
    </row>
    <row r="6" spans="1:2">
      <c r="A6" s="376" t="s">
        <v>294</v>
      </c>
      <c r="B6" t="s">
        <v>295</v>
      </c>
    </row>
    <row r="7" spans="1:2">
      <c r="A7" s="376" t="s">
        <v>296</v>
      </c>
      <c r="B7" t="s">
        <v>297</v>
      </c>
    </row>
    <row r="8" spans="1:2">
      <c r="A8" s="376" t="s">
        <v>298</v>
      </c>
      <c r="B8" t="s">
        <v>299</v>
      </c>
    </row>
    <row r="9" spans="1:2">
      <c r="A9" s="376" t="s">
        <v>300</v>
      </c>
      <c r="B9" t="s">
        <v>311</v>
      </c>
    </row>
    <row r="10" spans="1:2">
      <c r="A10" s="376" t="s">
        <v>301</v>
      </c>
      <c r="B10" t="s">
        <v>302</v>
      </c>
    </row>
    <row r="11" spans="1:2">
      <c r="A11" s="376" t="s">
        <v>303</v>
      </c>
      <c r="B11" t="s">
        <v>304</v>
      </c>
    </row>
    <row r="12" spans="1:2">
      <c r="A12" s="376" t="s">
        <v>265</v>
      </c>
      <c r="B12" t="s">
        <v>305</v>
      </c>
    </row>
    <row r="13" spans="1:2">
      <c r="A13" s="376" t="s">
        <v>306</v>
      </c>
      <c r="B13" t="s">
        <v>307</v>
      </c>
    </row>
    <row r="14" spans="1:2">
      <c r="A14" s="376" t="s">
        <v>308</v>
      </c>
      <c r="B14" t="s">
        <v>309</v>
      </c>
    </row>
    <row r="15" spans="1:2">
      <c r="A15" s="376" t="s">
        <v>310</v>
      </c>
      <c r="B15" t="s">
        <v>312</v>
      </c>
    </row>
  </sheetData>
  <phoneticPr fontId="31"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430"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427" t="s">
        <v>434</v>
      </c>
      <c r="C3" s="325">
        <v>196425</v>
      </c>
      <c r="D3" s="328">
        <v>10086.190000000002</v>
      </c>
      <c r="I3" s="432"/>
      <c r="J3" s="433"/>
      <c r="K3" s="433"/>
      <c r="L3" s="433"/>
    </row>
    <row r="4" spans="2:12" ht="34.5">
      <c r="B4" s="427" t="s">
        <v>435</v>
      </c>
      <c r="C4" s="325">
        <v>2920215</v>
      </c>
      <c r="D4" s="328">
        <v>1283202.9400000002</v>
      </c>
      <c r="I4" s="434"/>
      <c r="J4" s="435"/>
      <c r="K4" s="435"/>
      <c r="L4" s="435"/>
    </row>
    <row r="5" spans="2:12">
      <c r="B5" s="428" t="s">
        <v>436</v>
      </c>
      <c r="C5" s="326">
        <v>343499</v>
      </c>
      <c r="D5" s="328">
        <v>304251.71999999997</v>
      </c>
    </row>
    <row r="6" spans="2:12" ht="15.75" thickBot="1">
      <c r="B6" s="429" t="s">
        <v>343</v>
      </c>
      <c r="C6" s="331">
        <f>SUM(C3:C5)</f>
        <v>3460139</v>
      </c>
      <c r="D6" s="332">
        <f>SUM(D3:D5)</f>
        <v>1597540.85</v>
      </c>
      <c r="I6" s="438"/>
      <c r="L6" s="439"/>
    </row>
    <row r="7" spans="2:12" ht="57">
      <c r="I7" s="436" t="s">
        <v>443</v>
      </c>
      <c r="L7" s="437"/>
    </row>
    <row r="8" spans="2:12" ht="34.5">
      <c r="I8" s="438" t="s">
        <v>444</v>
      </c>
      <c r="L8" s="443"/>
    </row>
    <row r="9" spans="2:12">
      <c r="I9" s="438" t="s">
        <v>445</v>
      </c>
      <c r="L9" s="439"/>
    </row>
    <row r="10" spans="2:12" ht="15.75" thickBot="1">
      <c r="B10" s="433"/>
      <c r="C10" s="42" t="s">
        <v>448</v>
      </c>
      <c r="D10" s="42" t="s">
        <v>449</v>
      </c>
      <c r="E10" s="42" t="s">
        <v>446</v>
      </c>
      <c r="F10" s="42" t="s">
        <v>447</v>
      </c>
      <c r="G10" s="42"/>
      <c r="I10" s="440"/>
      <c r="J10" s="441">
        <f>SUM(J6:J9)</f>
        <v>0</v>
      </c>
      <c r="K10" s="441">
        <f>SUM(K6:K9)</f>
        <v>0</v>
      </c>
      <c r="L10" s="442"/>
    </row>
    <row r="11" spans="2:12" ht="26.25">
      <c r="B11" s="449" t="s">
        <v>434</v>
      </c>
      <c r="C11" s="445">
        <v>78211</v>
      </c>
      <c r="D11" s="446">
        <f>445269.08+4207.73</f>
        <v>449476.81</v>
      </c>
      <c r="E11" s="447">
        <v>554706</v>
      </c>
      <c r="F11" s="447">
        <v>459562.80000000005</v>
      </c>
      <c r="G11" s="448"/>
    </row>
    <row r="12" spans="2:12" ht="39">
      <c r="B12" s="449" t="s">
        <v>435</v>
      </c>
      <c r="C12" s="445">
        <v>797425.72399999993</v>
      </c>
      <c r="D12" s="446">
        <f>1328985.16+10597.9</f>
        <v>1339583.0599999998</v>
      </c>
      <c r="E12" s="447">
        <v>4906100</v>
      </c>
      <c r="F12" s="447">
        <v>2622785.89</v>
      </c>
      <c r="G12" s="448"/>
    </row>
    <row r="13" spans="2:12">
      <c r="B13" s="450" t="s">
        <v>436</v>
      </c>
      <c r="C13" s="446">
        <v>282670.70082999999</v>
      </c>
      <c r="D13" s="446">
        <f>116992.65-1717</f>
        <v>115275.65</v>
      </c>
      <c r="E13" s="447">
        <v>659696</v>
      </c>
      <c r="F13" s="447">
        <v>419527.37</v>
      </c>
      <c r="G13" s="448"/>
    </row>
    <row r="14" spans="2:12">
      <c r="B14" s="451" t="s">
        <v>343</v>
      </c>
      <c r="C14" s="452">
        <f>SUM(C11:C13)</f>
        <v>1158307.4248299999</v>
      </c>
      <c r="D14" s="452">
        <f>SUM(D11:D13)</f>
        <v>1904335.5199999998</v>
      </c>
      <c r="E14" s="453">
        <f>SUM(E11:E13)</f>
        <v>6120502</v>
      </c>
      <c r="F14" s="453">
        <f>SUM(F11:F13)</f>
        <v>3501876.0600000005</v>
      </c>
      <c r="G14" s="453"/>
    </row>
    <row r="17" spans="2:9">
      <c r="D17" s="444"/>
    </row>
    <row r="18" spans="2:9">
      <c r="B18" s="430" t="s">
        <v>450</v>
      </c>
      <c r="C18">
        <v>1854771.0908137045</v>
      </c>
      <c r="D18">
        <v>1486069.9447738212</v>
      </c>
      <c r="E18">
        <f>SUM(C18:D18)</f>
        <v>3340841.0355875259</v>
      </c>
      <c r="F18">
        <v>1515782.6800000002</v>
      </c>
      <c r="G18">
        <f>F18-D18</f>
        <v>29712.735226179007</v>
      </c>
    </row>
    <row r="19" spans="2:9">
      <c r="B19" s="430" t="s">
        <v>451</v>
      </c>
      <c r="C19">
        <v>64356.800000000003</v>
      </c>
      <c r="D19">
        <v>96678.23</v>
      </c>
      <c r="E19">
        <f t="shared" ref="E19:E20" si="0">SUM(C19:D19)</f>
        <v>161035.03</v>
      </c>
      <c r="F19">
        <v>87839.17</v>
      </c>
      <c r="G19">
        <f>F19-D19</f>
        <v>-8839.0599999999977</v>
      </c>
    </row>
    <row r="20" spans="2:9">
      <c r="B20" s="430" t="s">
        <v>452</v>
      </c>
      <c r="C20">
        <v>1919127.8908137046</v>
      </c>
      <c r="D20">
        <v>1582748.1747738211</v>
      </c>
      <c r="E20">
        <f t="shared" si="0"/>
        <v>3501876.0655875257</v>
      </c>
      <c r="F20">
        <f>SUM(F18:F19)</f>
        <v>1603621.85</v>
      </c>
    </row>
    <row r="21" spans="2:9">
      <c r="D21">
        <v>1603622</v>
      </c>
    </row>
    <row r="22" spans="2:9">
      <c r="D22" s="454">
        <f>D21-D20</f>
        <v>20873.825226178858</v>
      </c>
      <c r="F22" s="444">
        <f>D14+F20</f>
        <v>3507957.37</v>
      </c>
    </row>
    <row r="25" spans="2:9" ht="45">
      <c r="E25" s="431" t="s">
        <v>453</v>
      </c>
      <c r="F25" t="s">
        <v>454</v>
      </c>
      <c r="H25" t="s">
        <v>455</v>
      </c>
    </row>
    <row r="26" spans="2:9">
      <c r="B26" s="430" t="s">
        <v>325</v>
      </c>
      <c r="C26">
        <v>5365504</v>
      </c>
      <c r="D26">
        <v>4274978</v>
      </c>
      <c r="E26">
        <v>9640482</v>
      </c>
      <c r="F26">
        <v>5365504</v>
      </c>
      <c r="G26">
        <f>E26-F26</f>
        <v>4274978</v>
      </c>
      <c r="H26">
        <v>4274978</v>
      </c>
    </row>
    <row r="27" spans="2:9">
      <c r="B27" s="430" t="s">
        <v>326</v>
      </c>
      <c r="C27">
        <v>2778659</v>
      </c>
      <c r="D27">
        <v>1515782.6</v>
      </c>
      <c r="E27">
        <v>4302570</v>
      </c>
      <c r="F27">
        <v>2778659</v>
      </c>
      <c r="G27">
        <f t="shared" ref="G27:G28" si="1">E27-F27</f>
        <v>1523911</v>
      </c>
      <c r="H27">
        <v>1515783</v>
      </c>
      <c r="I27">
        <f>E27-H27</f>
        <v>2786787</v>
      </c>
    </row>
    <row r="28" spans="2:9">
      <c r="B28" s="430" t="s">
        <v>327</v>
      </c>
      <c r="C28">
        <v>146899</v>
      </c>
      <c r="D28">
        <v>87839</v>
      </c>
      <c r="E28">
        <v>228574</v>
      </c>
      <c r="F28">
        <v>146899</v>
      </c>
      <c r="G28">
        <f t="shared" si="1"/>
        <v>81675</v>
      </c>
      <c r="H28">
        <v>87839</v>
      </c>
      <c r="I28">
        <f>E28-H28</f>
        <v>140735</v>
      </c>
    </row>
    <row r="29" spans="2:9">
      <c r="B29" s="430" t="s">
        <v>355</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rgb="FFFFC000"/>
  </sheetPr>
  <dimension ref="A1:V83"/>
  <sheetViews>
    <sheetView showGridLines="0" zoomScale="75" zoomScaleNormal="100" workbookViewId="0">
      <pane ySplit="2" topLeftCell="A52" activePane="bottomLeft" state="frozen"/>
      <selection activeCell="E22" sqref="E22"/>
      <selection pane="bottomLeft" activeCell="E56" sqref="E56:I56"/>
    </sheetView>
  </sheetViews>
  <sheetFormatPr defaultColWidth="11" defaultRowHeight="15"/>
  <cols>
    <col min="1" max="1" width="2.7109375" customWidth="1"/>
    <col min="2" max="2" width="21.42578125" customWidth="1"/>
    <col min="3" max="3" width="11.42578125" customWidth="1"/>
    <col min="4" max="4" width="22.57031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3" customWidth="1"/>
    <col min="15" max="15" width="3" style="33"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707" t="str">
        <f>+"Панель показателей: "&amp;" "&amp;+IF('Ввод данных'!B4="Выберите","",'Ввод данных'!B4&amp;" - ")&amp;+IF('Ввод данных'!F6="Выберите","",'Ввод данных'!F6)</f>
        <v>Панель показателей:  Кыргызстан - ВИЧ/СПИД/ТБ</v>
      </c>
      <c r="C2" s="707"/>
      <c r="D2" s="707"/>
      <c r="E2" s="707"/>
      <c r="F2" s="707"/>
      <c r="G2" s="707"/>
      <c r="H2" s="707"/>
      <c r="I2" s="707"/>
      <c r="J2" s="707"/>
      <c r="K2" s="707"/>
      <c r="L2" s="707"/>
      <c r="M2" s="707"/>
    </row>
    <row r="3" spans="1:15" ht="15.75" customHeight="1">
      <c r="A3" s="3"/>
      <c r="B3" s="199"/>
      <c r="C3" s="199"/>
      <c r="D3" s="199"/>
      <c r="E3" s="199"/>
      <c r="F3" s="199"/>
      <c r="G3" s="199"/>
      <c r="H3" s="199"/>
      <c r="I3" s="199"/>
      <c r="J3" s="199"/>
      <c r="K3" s="200"/>
      <c r="L3" s="200"/>
      <c r="M3" s="3"/>
    </row>
    <row r="5" spans="1:15" ht="23.25">
      <c r="B5" s="662" t="s">
        <v>313</v>
      </c>
      <c r="C5" s="662"/>
      <c r="D5" s="662"/>
      <c r="E5" s="662"/>
      <c r="F5" s="662"/>
      <c r="G5" s="662"/>
      <c r="H5" s="662"/>
      <c r="I5" s="662"/>
      <c r="J5" s="662"/>
      <c r="K5" s="662"/>
      <c r="L5" s="662"/>
      <c r="M5" s="662"/>
      <c r="N5" s="662"/>
      <c r="O5" s="662"/>
    </row>
    <row r="7" spans="1:15" s="396" customFormat="1" ht="21">
      <c r="B7" s="711" t="s">
        <v>87</v>
      </c>
      <c r="C7" s="712"/>
      <c r="D7" s="713"/>
      <c r="E7" s="711" t="s">
        <v>88</v>
      </c>
      <c r="F7" s="712"/>
      <c r="G7" s="712"/>
      <c r="H7" s="712"/>
      <c r="I7" s="713"/>
      <c r="J7" s="711" t="s">
        <v>89</v>
      </c>
      <c r="K7" s="712"/>
      <c r="L7" s="713"/>
      <c r="M7" s="711" t="s">
        <v>9</v>
      </c>
      <c r="N7" s="712"/>
      <c r="O7" s="713"/>
    </row>
    <row r="8" spans="1:15" ht="117.75" customHeight="1">
      <c r="B8" s="657" t="str">
        <f>+'Ввод данных'!A27</f>
        <v>F1: Бюджет и выплаты Глобальным фондом</v>
      </c>
      <c r="C8" s="717"/>
      <c r="D8" s="718"/>
      <c r="E8" s="714" t="s">
        <v>420</v>
      </c>
      <c r="F8" s="715"/>
      <c r="G8" s="715"/>
      <c r="H8" s="715"/>
      <c r="I8" s="716"/>
      <c r="J8" s="708" t="s">
        <v>428</v>
      </c>
      <c r="K8" s="709"/>
      <c r="L8" s="710"/>
      <c r="M8" s="708" t="s">
        <v>12</v>
      </c>
      <c r="N8" s="709"/>
      <c r="O8" s="710"/>
    </row>
    <row r="9" spans="1:15" ht="117.75" customHeight="1">
      <c r="B9" s="698" t="str">
        <f>+'Ввод данных'!A36</f>
        <v>F2: Бюджет и фактические расходы согласно задачам гранта</v>
      </c>
      <c r="C9" s="721"/>
      <c r="D9" s="722"/>
      <c r="E9" s="701" t="s">
        <v>419</v>
      </c>
      <c r="F9" s="660"/>
      <c r="G9" s="660"/>
      <c r="H9" s="660"/>
      <c r="I9" s="661"/>
      <c r="J9" s="708" t="s">
        <v>427</v>
      </c>
      <c r="K9" s="709"/>
      <c r="L9" s="710"/>
      <c r="M9" s="708" t="s">
        <v>12</v>
      </c>
      <c r="N9" s="709"/>
      <c r="O9" s="710"/>
    </row>
    <row r="10" spans="1:15" ht="247.5" customHeight="1">
      <c r="B10" s="698" t="str">
        <f>+'Ввод данных'!A58</f>
        <v>F3: Выплаты и расходы</v>
      </c>
      <c r="C10" s="721"/>
      <c r="D10" s="722"/>
      <c r="E10" s="701" t="s">
        <v>418</v>
      </c>
      <c r="F10" s="660"/>
      <c r="G10" s="660"/>
      <c r="H10" s="660"/>
      <c r="I10" s="661"/>
      <c r="J10" s="708" t="s">
        <v>426</v>
      </c>
      <c r="K10" s="709"/>
      <c r="L10" s="710"/>
      <c r="M10" s="708" t="s">
        <v>5</v>
      </c>
      <c r="N10" s="709"/>
      <c r="O10" s="710"/>
    </row>
    <row r="11" spans="1:15" ht="252.75" customHeight="1">
      <c r="B11" s="698" t="str">
        <f>+'Ввод данных'!A67</f>
        <v>F4: Последний отчетный и платежный цикл ОР</v>
      </c>
      <c r="C11" s="699"/>
      <c r="D11" s="700"/>
      <c r="E11" s="701" t="s">
        <v>417</v>
      </c>
      <c r="F11" s="660"/>
      <c r="G11" s="660"/>
      <c r="H11" s="660"/>
      <c r="I11" s="661"/>
      <c r="J11" s="708" t="s">
        <v>358</v>
      </c>
      <c r="K11" s="709"/>
      <c r="L11" s="710"/>
      <c r="M11" s="708" t="s">
        <v>6</v>
      </c>
      <c r="N11" s="709"/>
      <c r="O11" s="710"/>
    </row>
    <row r="12" spans="1:15" s="19" customFormat="1">
      <c r="B12" s="723"/>
      <c r="C12" s="723"/>
      <c r="D12" s="723"/>
      <c r="E12" s="724"/>
      <c r="F12" s="724"/>
      <c r="G12" s="724"/>
      <c r="H12" s="724"/>
      <c r="I12" s="724"/>
      <c r="J12" s="724"/>
      <c r="K12" s="724"/>
      <c r="L12" s="724"/>
      <c r="M12" s="724"/>
      <c r="N12" s="724"/>
      <c r="O12" s="724"/>
    </row>
    <row r="13" spans="1:15" s="19" customFormat="1">
      <c r="B13" s="697"/>
      <c r="C13" s="697"/>
      <c r="D13" s="697"/>
      <c r="E13" s="681"/>
      <c r="F13" s="681"/>
      <c r="G13" s="681"/>
      <c r="H13" s="681"/>
      <c r="I13" s="681"/>
      <c r="J13" s="681"/>
      <c r="K13" s="681"/>
      <c r="L13" s="681"/>
      <c r="M13" s="681"/>
      <c r="N13" s="681"/>
      <c r="O13" s="681"/>
    </row>
    <row r="14" spans="1:15" s="19" customFormat="1">
      <c r="B14" s="697"/>
      <c r="C14" s="697"/>
      <c r="D14" s="697"/>
      <c r="E14" s="681"/>
      <c r="F14" s="681"/>
      <c r="G14" s="681"/>
      <c r="H14" s="681"/>
      <c r="I14" s="681"/>
      <c r="J14" s="681"/>
      <c r="K14" s="681"/>
      <c r="L14" s="681"/>
      <c r="M14" s="681"/>
      <c r="N14" s="681"/>
      <c r="O14" s="681"/>
    </row>
    <row r="15" spans="1:15" s="19" customFormat="1">
      <c r="B15" s="697"/>
      <c r="C15" s="697"/>
      <c r="D15" s="697"/>
      <c r="E15" s="681"/>
      <c r="F15" s="681"/>
      <c r="G15" s="681"/>
      <c r="H15" s="681"/>
      <c r="I15" s="681"/>
      <c r="J15" s="681"/>
      <c r="K15" s="681"/>
      <c r="L15" s="681"/>
      <c r="M15" s="681"/>
      <c r="N15" s="681"/>
      <c r="O15" s="681"/>
    </row>
    <row r="16" spans="1:15" ht="23.25">
      <c r="B16" s="662" t="s">
        <v>277</v>
      </c>
      <c r="C16" s="662"/>
      <c r="D16" s="662"/>
      <c r="E16" s="662"/>
      <c r="F16" s="662"/>
      <c r="G16" s="662"/>
      <c r="H16" s="662"/>
      <c r="I16" s="662"/>
      <c r="J16" s="662"/>
      <c r="K16" s="662"/>
      <c r="L16" s="662"/>
      <c r="M16" s="662"/>
      <c r="N16" s="662"/>
      <c r="O16" s="662"/>
    </row>
    <row r="18" spans="1:15" ht="21">
      <c r="B18" s="678" t="s">
        <v>87</v>
      </c>
      <c r="C18" s="679"/>
      <c r="D18" s="680"/>
      <c r="E18" s="678" t="s">
        <v>88</v>
      </c>
      <c r="F18" s="679"/>
      <c r="G18" s="679"/>
      <c r="H18" s="679"/>
      <c r="I18" s="680"/>
      <c r="J18" s="678" t="s">
        <v>89</v>
      </c>
      <c r="K18" s="679"/>
      <c r="L18" s="680"/>
      <c r="M18" s="678" t="s">
        <v>90</v>
      </c>
      <c r="N18" s="679"/>
      <c r="O18" s="680"/>
    </row>
    <row r="19" spans="1:15" ht="114" customHeight="1">
      <c r="B19" s="657" t="str">
        <f>+'Ввод данных'!A78</f>
        <v>M1: Статус Предварительных условий (ПУ) и Действий с установленным сроком исполнения (ДУС)</v>
      </c>
      <c r="C19" s="658"/>
      <c r="D19" s="659"/>
      <c r="E19" s="701" t="s">
        <v>2</v>
      </c>
      <c r="F19" s="730"/>
      <c r="G19" s="730"/>
      <c r="H19" s="730"/>
      <c r="I19" s="731"/>
      <c r="J19" s="654" t="s">
        <v>424</v>
      </c>
      <c r="K19" s="655"/>
      <c r="L19" s="656"/>
      <c r="M19" s="654" t="s">
        <v>425</v>
      </c>
      <c r="N19" s="655"/>
      <c r="O19" s="656"/>
    </row>
    <row r="20" spans="1:15" ht="102.75" customHeight="1">
      <c r="B20" s="698" t="str">
        <f>+'Ввод данных'!A87</f>
        <v>M2: Статус ключевых руководящих должностей в структуре ОР</v>
      </c>
      <c r="C20" s="699"/>
      <c r="D20" s="700"/>
      <c r="E20" s="701" t="s">
        <v>416</v>
      </c>
      <c r="F20" s="660"/>
      <c r="G20" s="660"/>
      <c r="H20" s="660"/>
      <c r="I20" s="661"/>
      <c r="J20" s="654" t="s">
        <v>423</v>
      </c>
      <c r="K20" s="655"/>
      <c r="L20" s="656"/>
      <c r="M20" s="654" t="s">
        <v>13</v>
      </c>
      <c r="N20" s="655"/>
      <c r="O20" s="656"/>
    </row>
    <row r="21" spans="1:15" ht="141.75" customHeight="1">
      <c r="B21" s="657" t="str">
        <f>+'Ввод данных'!A93</f>
        <v xml:space="preserve">M3: Контрактные соглашения (СР) </v>
      </c>
      <c r="C21" s="658"/>
      <c r="D21" s="659"/>
      <c r="E21" s="654" t="s">
        <v>412</v>
      </c>
      <c r="F21" s="660"/>
      <c r="G21" s="660"/>
      <c r="H21" s="660"/>
      <c r="I21" s="661"/>
      <c r="J21" s="694" t="s">
        <v>422</v>
      </c>
      <c r="K21" s="695"/>
      <c r="L21" s="696"/>
      <c r="M21" s="654" t="s">
        <v>15</v>
      </c>
      <c r="N21" s="655"/>
      <c r="O21" s="656"/>
    </row>
    <row r="22" spans="1:15" ht="96" customHeight="1">
      <c r="B22" s="657" t="str">
        <f>+'Ввод данных'!A99</f>
        <v>M4: Количество полных отчетов, полученных к установленному сроку</v>
      </c>
      <c r="C22" s="658"/>
      <c r="D22" s="659"/>
      <c r="E22" s="654" t="s">
        <v>410</v>
      </c>
      <c r="F22" s="655"/>
      <c r="G22" s="655"/>
      <c r="H22" s="655"/>
      <c r="I22" s="656"/>
      <c r="J22" s="654" t="s">
        <v>359</v>
      </c>
      <c r="K22" s="655"/>
      <c r="L22" s="656"/>
      <c r="M22" s="654" t="s">
        <v>14</v>
      </c>
      <c r="N22" s="655"/>
      <c r="O22" s="656"/>
    </row>
    <row r="23" spans="1:15" ht="187.5" customHeight="1">
      <c r="B23" s="669"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3" s="670"/>
      <c r="D23" s="671"/>
      <c r="E23" s="675" t="s">
        <v>409</v>
      </c>
      <c r="F23" s="676"/>
      <c r="G23" s="676"/>
      <c r="H23" s="676"/>
      <c r="I23" s="677"/>
      <c r="J23" s="682" t="s">
        <v>10</v>
      </c>
      <c r="K23" s="683"/>
      <c r="L23" s="684"/>
      <c r="M23" s="682" t="s">
        <v>421</v>
      </c>
      <c r="N23" s="683"/>
      <c r="O23" s="684"/>
    </row>
    <row r="24" spans="1:15" ht="72.75" customHeight="1">
      <c r="B24" s="672"/>
      <c r="C24" s="673"/>
      <c r="D24" s="674"/>
      <c r="E24" s="704" t="s">
        <v>405</v>
      </c>
      <c r="F24" s="705"/>
      <c r="G24" s="705"/>
      <c r="H24" s="705"/>
      <c r="I24" s="706"/>
      <c r="J24" s="685"/>
      <c r="K24" s="686"/>
      <c r="L24" s="687"/>
      <c r="M24" s="685"/>
      <c r="N24" s="686"/>
      <c r="O24" s="687"/>
    </row>
    <row r="25" spans="1:15" ht="282.75" customHeight="1">
      <c r="B25" s="657" t="str">
        <f>+'Ввод данных'!A120</f>
        <v>M6: Разница между текущим и резервным запасами</v>
      </c>
      <c r="C25" s="658"/>
      <c r="D25" s="659"/>
      <c r="E25" s="691" t="s">
        <v>403</v>
      </c>
      <c r="F25" s="702"/>
      <c r="G25" s="702"/>
      <c r="H25" s="702"/>
      <c r="I25" s="703"/>
      <c r="J25" s="691" t="s">
        <v>11</v>
      </c>
      <c r="K25" s="692"/>
      <c r="L25" s="693"/>
      <c r="M25" s="688" t="s">
        <v>8</v>
      </c>
      <c r="N25" s="689"/>
      <c r="O25" s="690"/>
    </row>
    <row r="29" spans="1:15" ht="18.75">
      <c r="B29" s="229"/>
    </row>
    <row r="30" spans="1:15" ht="23.25">
      <c r="B30" s="662" t="s">
        <v>378</v>
      </c>
      <c r="C30" s="662"/>
      <c r="D30" s="662"/>
      <c r="E30" s="662"/>
      <c r="F30" s="662"/>
      <c r="G30" s="662"/>
      <c r="H30" s="662"/>
      <c r="I30" s="662"/>
      <c r="J30" s="662"/>
      <c r="K30" s="662"/>
      <c r="L30" s="662"/>
      <c r="M30" s="662"/>
      <c r="N30" s="662"/>
      <c r="O30" s="662"/>
    </row>
    <row r="32" spans="1:15" ht="28.5" customHeight="1">
      <c r="A32" s="226"/>
      <c r="B32" s="663" t="s">
        <v>575</v>
      </c>
      <c r="C32" s="664"/>
      <c r="D32" s="665"/>
      <c r="E32" s="666" t="s">
        <v>628</v>
      </c>
      <c r="F32" s="667"/>
      <c r="G32" s="667"/>
      <c r="H32" s="667"/>
      <c r="I32" s="668"/>
      <c r="J32" s="643" t="s">
        <v>89</v>
      </c>
      <c r="K32" s="644"/>
      <c r="L32" s="645"/>
      <c r="M32" s="643" t="s">
        <v>9</v>
      </c>
      <c r="N32" s="644"/>
      <c r="O32" s="645"/>
    </row>
    <row r="33" spans="1:15" ht="84.75" customHeight="1">
      <c r="A33" s="227"/>
      <c r="B33" s="637" t="s">
        <v>508</v>
      </c>
      <c r="C33" s="638"/>
      <c r="D33" s="639"/>
      <c r="E33" s="646" t="s">
        <v>509</v>
      </c>
      <c r="F33" s="647"/>
      <c r="G33" s="647"/>
      <c r="H33" s="647"/>
      <c r="I33" s="648"/>
      <c r="J33" s="640" t="s">
        <v>510</v>
      </c>
      <c r="K33" s="641"/>
      <c r="L33" s="642"/>
      <c r="M33" s="640" t="s">
        <v>511</v>
      </c>
      <c r="N33" s="641"/>
      <c r="O33" s="642"/>
    </row>
    <row r="34" spans="1:15" ht="61.5" customHeight="1">
      <c r="A34" s="227"/>
      <c r="B34" s="637" t="s">
        <v>512</v>
      </c>
      <c r="C34" s="638"/>
      <c r="D34" s="639"/>
      <c r="E34" s="646" t="s">
        <v>513</v>
      </c>
      <c r="F34" s="647"/>
      <c r="G34" s="647"/>
      <c r="H34" s="647"/>
      <c r="I34" s="648"/>
      <c r="J34" s="640" t="s">
        <v>514</v>
      </c>
      <c r="K34" s="641"/>
      <c r="L34" s="642"/>
      <c r="M34" s="640" t="s">
        <v>515</v>
      </c>
      <c r="N34" s="641"/>
      <c r="O34" s="642"/>
    </row>
    <row r="35" spans="1:15" ht="144" customHeight="1">
      <c r="A35" s="227"/>
      <c r="B35" s="637" t="s">
        <v>516</v>
      </c>
      <c r="C35" s="638"/>
      <c r="D35" s="639"/>
      <c r="E35" s="646" t="s">
        <v>517</v>
      </c>
      <c r="F35" s="647"/>
      <c r="G35" s="647"/>
      <c r="H35" s="647"/>
      <c r="I35" s="648"/>
      <c r="J35" s="640" t="s">
        <v>518</v>
      </c>
      <c r="K35" s="641"/>
      <c r="L35" s="642"/>
      <c r="M35" s="640" t="s">
        <v>515</v>
      </c>
      <c r="N35" s="641"/>
      <c r="O35" s="642"/>
    </row>
    <row r="36" spans="1:15" ht="214.5" customHeight="1">
      <c r="A36" s="227"/>
      <c r="B36" s="637" t="s">
        <v>519</v>
      </c>
      <c r="C36" s="638"/>
      <c r="D36" s="639"/>
      <c r="E36" s="646" t="s">
        <v>520</v>
      </c>
      <c r="F36" s="647"/>
      <c r="G36" s="647"/>
      <c r="H36" s="647"/>
      <c r="I36" s="648"/>
      <c r="J36" s="640" t="s">
        <v>521</v>
      </c>
      <c r="K36" s="641"/>
      <c r="L36" s="642"/>
      <c r="M36" s="640" t="s">
        <v>515</v>
      </c>
      <c r="N36" s="641"/>
      <c r="O36" s="642"/>
    </row>
    <row r="37" spans="1:15" ht="106.5" customHeight="1">
      <c r="A37" s="227"/>
      <c r="B37" s="637" t="s">
        <v>522</v>
      </c>
      <c r="C37" s="638"/>
      <c r="D37" s="639"/>
      <c r="E37" s="646" t="s">
        <v>523</v>
      </c>
      <c r="F37" s="647"/>
      <c r="G37" s="647"/>
      <c r="H37" s="647"/>
      <c r="I37" s="648"/>
      <c r="J37" s="640" t="s">
        <v>524</v>
      </c>
      <c r="K37" s="641"/>
      <c r="L37" s="642"/>
      <c r="M37" s="640" t="s">
        <v>515</v>
      </c>
      <c r="N37" s="641"/>
      <c r="O37" s="642"/>
    </row>
    <row r="38" spans="1:15" ht="103.5" customHeight="1">
      <c r="A38" s="227"/>
      <c r="B38" s="637" t="s">
        <v>525</v>
      </c>
      <c r="C38" s="638"/>
      <c r="D38" s="639"/>
      <c r="E38" s="640" t="s">
        <v>526</v>
      </c>
      <c r="F38" s="641"/>
      <c r="G38" s="641"/>
      <c r="H38" s="641"/>
      <c r="I38" s="642"/>
      <c r="J38" s="640" t="s">
        <v>527</v>
      </c>
      <c r="K38" s="641"/>
      <c r="L38" s="642"/>
      <c r="M38" s="640" t="s">
        <v>515</v>
      </c>
      <c r="N38" s="641"/>
      <c r="O38" s="642"/>
    </row>
    <row r="39" spans="1:15" ht="159" customHeight="1">
      <c r="A39" s="227"/>
      <c r="B39" s="637" t="s">
        <v>528</v>
      </c>
      <c r="C39" s="638"/>
      <c r="D39" s="639"/>
      <c r="E39" s="646" t="s">
        <v>529</v>
      </c>
      <c r="F39" s="649"/>
      <c r="G39" s="649"/>
      <c r="H39" s="649"/>
      <c r="I39" s="650"/>
      <c r="J39" s="640" t="s">
        <v>530</v>
      </c>
      <c r="K39" s="641"/>
      <c r="L39" s="642"/>
      <c r="M39" s="640" t="s">
        <v>515</v>
      </c>
      <c r="N39" s="641"/>
      <c r="O39" s="642"/>
    </row>
    <row r="40" spans="1:15" ht="114.75" customHeight="1">
      <c r="A40" s="227"/>
      <c r="B40" s="637" t="s">
        <v>531</v>
      </c>
      <c r="C40" s="638"/>
      <c r="D40" s="639"/>
      <c r="E40" s="646" t="s">
        <v>532</v>
      </c>
      <c r="F40" s="649"/>
      <c r="G40" s="649"/>
      <c r="H40" s="649"/>
      <c r="I40" s="650"/>
      <c r="J40" s="640" t="s">
        <v>533</v>
      </c>
      <c r="K40" s="641"/>
      <c r="L40" s="642"/>
      <c r="M40" s="640" t="s">
        <v>534</v>
      </c>
      <c r="N40" s="641"/>
      <c r="O40" s="642"/>
    </row>
    <row r="41" spans="1:15" ht="124.5" customHeight="1">
      <c r="A41" s="227"/>
      <c r="B41" s="637" t="s">
        <v>535</v>
      </c>
      <c r="C41" s="638"/>
      <c r="D41" s="639"/>
      <c r="E41" s="651" t="s">
        <v>536</v>
      </c>
      <c r="F41" s="652"/>
      <c r="G41" s="652"/>
      <c r="H41" s="652"/>
      <c r="I41" s="653"/>
      <c r="J41" s="640" t="s">
        <v>537</v>
      </c>
      <c r="K41" s="641"/>
      <c r="L41" s="642"/>
      <c r="M41" s="640" t="s">
        <v>538</v>
      </c>
      <c r="N41" s="641"/>
      <c r="O41" s="642"/>
    </row>
    <row r="42" spans="1:15" ht="124.5" customHeight="1">
      <c r="A42" s="227"/>
      <c r="B42" s="637" t="s">
        <v>539</v>
      </c>
      <c r="C42" s="638"/>
      <c r="D42" s="639"/>
      <c r="E42" s="646" t="s">
        <v>540</v>
      </c>
      <c r="F42" s="649"/>
      <c r="G42" s="649"/>
      <c r="H42" s="649"/>
      <c r="I42" s="650"/>
      <c r="J42" s="640" t="s">
        <v>541</v>
      </c>
      <c r="K42" s="641"/>
      <c r="L42" s="642"/>
      <c r="M42" s="640" t="s">
        <v>515</v>
      </c>
      <c r="N42" s="641"/>
      <c r="O42" s="642"/>
    </row>
    <row r="43" spans="1:15" ht="114.75" customHeight="1">
      <c r="A43" s="227"/>
      <c r="B43" s="637" t="s">
        <v>542</v>
      </c>
      <c r="C43" s="638"/>
      <c r="D43" s="639"/>
      <c r="E43" s="640" t="s">
        <v>543</v>
      </c>
      <c r="F43" s="641"/>
      <c r="G43" s="641"/>
      <c r="H43" s="641"/>
      <c r="I43" s="642"/>
      <c r="J43" s="640" t="s">
        <v>544</v>
      </c>
      <c r="K43" s="641"/>
      <c r="L43" s="642"/>
      <c r="M43" s="640" t="s">
        <v>515</v>
      </c>
      <c r="N43" s="641"/>
      <c r="O43" s="642"/>
    </row>
    <row r="44" spans="1:15" ht="128.25" customHeight="1">
      <c r="A44" s="227"/>
      <c r="B44" s="637" t="s">
        <v>545</v>
      </c>
      <c r="C44" s="638"/>
      <c r="D44" s="639"/>
      <c r="E44" s="646" t="s">
        <v>546</v>
      </c>
      <c r="F44" s="649"/>
      <c r="G44" s="649"/>
      <c r="H44" s="649"/>
      <c r="I44" s="650"/>
      <c r="J44" s="640" t="s">
        <v>547</v>
      </c>
      <c r="K44" s="641"/>
      <c r="L44" s="642"/>
      <c r="M44" s="640" t="s">
        <v>515</v>
      </c>
      <c r="N44" s="641"/>
      <c r="O44" s="642"/>
    </row>
    <row r="45" spans="1:15" ht="96.75" customHeight="1">
      <c r="A45" s="227"/>
      <c r="B45" s="637" t="s">
        <v>548</v>
      </c>
      <c r="C45" s="638"/>
      <c r="D45" s="639"/>
      <c r="E45" s="646" t="s">
        <v>549</v>
      </c>
      <c r="F45" s="647"/>
      <c r="G45" s="647"/>
      <c r="H45" s="647"/>
      <c r="I45" s="648"/>
      <c r="J45" s="640" t="s">
        <v>550</v>
      </c>
      <c r="K45" s="641"/>
      <c r="L45" s="642"/>
      <c r="M45" s="640" t="s">
        <v>551</v>
      </c>
      <c r="N45" s="641"/>
      <c r="O45" s="642"/>
    </row>
    <row r="46" spans="1:15" ht="96.75" customHeight="1">
      <c r="A46" s="227"/>
      <c r="B46" s="637" t="s">
        <v>552</v>
      </c>
      <c r="C46" s="638"/>
      <c r="D46" s="639"/>
      <c r="E46" s="646" t="s">
        <v>553</v>
      </c>
      <c r="F46" s="647"/>
      <c r="G46" s="647"/>
      <c r="H46" s="647"/>
      <c r="I46" s="648"/>
      <c r="J46" s="640" t="s">
        <v>554</v>
      </c>
      <c r="K46" s="641"/>
      <c r="L46" s="642"/>
      <c r="M46" s="640" t="s">
        <v>555</v>
      </c>
      <c r="N46" s="641"/>
      <c r="O46" s="642"/>
    </row>
    <row r="47" spans="1:15" ht="67.5" customHeight="1">
      <c r="A47" s="227"/>
      <c r="B47" s="637" t="s">
        <v>556</v>
      </c>
      <c r="C47" s="638"/>
      <c r="D47" s="639"/>
      <c r="E47" s="640" t="s">
        <v>557</v>
      </c>
      <c r="F47" s="641"/>
      <c r="G47" s="641"/>
      <c r="H47" s="641"/>
      <c r="I47" s="642"/>
      <c r="J47" s="640" t="s">
        <v>558</v>
      </c>
      <c r="K47" s="641"/>
      <c r="L47" s="642"/>
      <c r="M47" s="640" t="s">
        <v>555</v>
      </c>
      <c r="N47" s="641"/>
      <c r="O47" s="642"/>
    </row>
    <row r="48" spans="1:15" ht="127.5" customHeight="1">
      <c r="A48" s="227"/>
      <c r="B48" s="637" t="s">
        <v>559</v>
      </c>
      <c r="C48" s="638"/>
      <c r="D48" s="639"/>
      <c r="E48" s="640" t="s">
        <v>560</v>
      </c>
      <c r="F48" s="641"/>
      <c r="G48" s="641"/>
      <c r="H48" s="641"/>
      <c r="I48" s="642"/>
      <c r="J48" s="640" t="s">
        <v>561</v>
      </c>
      <c r="K48" s="641"/>
      <c r="L48" s="642"/>
      <c r="M48" s="571" t="s">
        <v>562</v>
      </c>
      <c r="N48" s="572"/>
      <c r="O48" s="573"/>
    </row>
    <row r="49" spans="1:15" ht="135.75" customHeight="1">
      <c r="A49" s="227"/>
      <c r="B49" s="637" t="s">
        <v>563</v>
      </c>
      <c r="C49" s="638"/>
      <c r="D49" s="639"/>
      <c r="E49" s="640" t="s">
        <v>564</v>
      </c>
      <c r="F49" s="641"/>
      <c r="G49" s="641"/>
      <c r="H49" s="641"/>
      <c r="I49" s="642"/>
      <c r="J49" s="640" t="s">
        <v>565</v>
      </c>
      <c r="K49" s="641"/>
      <c r="L49" s="642"/>
      <c r="M49" s="640" t="s">
        <v>562</v>
      </c>
      <c r="N49" s="641"/>
      <c r="O49" s="642"/>
    </row>
    <row r="50" spans="1:15" ht="98.25" customHeight="1">
      <c r="A50" s="227"/>
      <c r="B50" s="637" t="s">
        <v>566</v>
      </c>
      <c r="C50" s="638"/>
      <c r="D50" s="639"/>
      <c r="E50" s="646" t="s">
        <v>567</v>
      </c>
      <c r="F50" s="647"/>
      <c r="G50" s="647"/>
      <c r="H50" s="647"/>
      <c r="I50" s="648"/>
      <c r="J50" s="640" t="s">
        <v>568</v>
      </c>
      <c r="K50" s="641"/>
      <c r="L50" s="642"/>
      <c r="M50" s="640" t="s">
        <v>569</v>
      </c>
      <c r="N50" s="641"/>
      <c r="O50" s="642"/>
    </row>
    <row r="51" spans="1:15" ht="61.5" customHeight="1">
      <c r="A51" s="227"/>
      <c r="B51" s="637" t="s">
        <v>570</v>
      </c>
      <c r="C51" s="638"/>
      <c r="D51" s="639"/>
      <c r="E51" s="640" t="s">
        <v>571</v>
      </c>
      <c r="F51" s="641"/>
      <c r="G51" s="641"/>
      <c r="H51" s="641"/>
      <c r="I51" s="642"/>
      <c r="J51" s="640" t="s">
        <v>572</v>
      </c>
      <c r="K51" s="641"/>
      <c r="L51" s="642"/>
      <c r="M51" s="640" t="s">
        <v>573</v>
      </c>
      <c r="N51" s="641"/>
      <c r="O51" s="642"/>
    </row>
    <row r="52" spans="1:15" ht="61.5" customHeight="1">
      <c r="A52" s="227"/>
      <c r="B52" s="663" t="s">
        <v>574</v>
      </c>
      <c r="C52" s="664"/>
      <c r="D52" s="665"/>
      <c r="E52" s="732" t="s">
        <v>628</v>
      </c>
      <c r="F52" s="644"/>
      <c r="G52" s="644"/>
      <c r="H52" s="644"/>
      <c r="I52" s="645"/>
      <c r="J52" s="643" t="s">
        <v>89</v>
      </c>
      <c r="K52" s="644"/>
      <c r="L52" s="645"/>
      <c r="M52" s="643" t="s">
        <v>9</v>
      </c>
      <c r="N52" s="644"/>
      <c r="O52" s="645"/>
    </row>
    <row r="53" spans="1:15" ht="108.75" customHeight="1">
      <c r="A53" s="227"/>
      <c r="B53" s="637" t="s">
        <v>461</v>
      </c>
      <c r="C53" s="638"/>
      <c r="D53" s="639"/>
      <c r="E53" s="640" t="s">
        <v>440</v>
      </c>
      <c r="F53" s="641"/>
      <c r="G53" s="641"/>
      <c r="H53" s="641"/>
      <c r="I53" s="642"/>
      <c r="J53" s="640" t="s">
        <v>438</v>
      </c>
      <c r="K53" s="641"/>
      <c r="L53" s="642"/>
      <c r="M53" s="629" t="s">
        <v>439</v>
      </c>
      <c r="N53" s="630"/>
      <c r="O53" s="631"/>
    </row>
    <row r="54" spans="1:15" ht="100.5" customHeight="1">
      <c r="A54" s="227"/>
      <c r="B54" s="637" t="s">
        <v>462</v>
      </c>
      <c r="C54" s="638"/>
      <c r="D54" s="639"/>
      <c r="E54" s="640" t="s">
        <v>702</v>
      </c>
      <c r="F54" s="641"/>
      <c r="G54" s="641"/>
      <c r="H54" s="641"/>
      <c r="I54" s="642"/>
      <c r="J54" s="640" t="s">
        <v>438</v>
      </c>
      <c r="K54" s="641"/>
      <c r="L54" s="642"/>
      <c r="M54" s="629" t="s">
        <v>703</v>
      </c>
      <c r="N54" s="630"/>
      <c r="O54" s="631"/>
    </row>
    <row r="55" spans="1:15" ht="105.75" customHeight="1">
      <c r="A55" s="227"/>
      <c r="B55" s="637" t="s">
        <v>464</v>
      </c>
      <c r="C55" s="638"/>
      <c r="D55" s="639"/>
      <c r="E55" s="640" t="s">
        <v>704</v>
      </c>
      <c r="F55" s="641"/>
      <c r="G55" s="641"/>
      <c r="H55" s="641"/>
      <c r="I55" s="642"/>
      <c r="J55" s="640" t="s">
        <v>705</v>
      </c>
      <c r="K55" s="641"/>
      <c r="L55" s="642"/>
      <c r="M55" s="629" t="s">
        <v>706</v>
      </c>
      <c r="N55" s="630"/>
      <c r="O55" s="631"/>
    </row>
    <row r="56" spans="1:15" ht="142.5" customHeight="1">
      <c r="A56" s="227"/>
      <c r="B56" s="637" t="s">
        <v>465</v>
      </c>
      <c r="C56" s="638"/>
      <c r="D56" s="639"/>
      <c r="E56" s="640" t="s">
        <v>707</v>
      </c>
      <c r="F56" s="641"/>
      <c r="G56" s="641"/>
      <c r="H56" s="641"/>
      <c r="I56" s="642"/>
      <c r="J56" s="640" t="s">
        <v>705</v>
      </c>
      <c r="K56" s="641"/>
      <c r="L56" s="642"/>
      <c r="M56" s="629" t="s">
        <v>708</v>
      </c>
      <c r="N56" s="630"/>
      <c r="O56" s="631"/>
    </row>
    <row r="57" spans="1:15" ht="110.25" customHeight="1">
      <c r="A57" s="227"/>
      <c r="B57" s="637" t="s">
        <v>468</v>
      </c>
      <c r="C57" s="638"/>
      <c r="D57" s="639"/>
      <c r="E57" s="640" t="s">
        <v>709</v>
      </c>
      <c r="F57" s="641"/>
      <c r="G57" s="641"/>
      <c r="H57" s="641"/>
      <c r="I57" s="642"/>
      <c r="J57" s="640" t="s">
        <v>710</v>
      </c>
      <c r="K57" s="641"/>
      <c r="L57" s="642"/>
      <c r="M57" s="629" t="s">
        <v>711</v>
      </c>
      <c r="N57" s="630"/>
      <c r="O57" s="631"/>
    </row>
    <row r="58" spans="1:15" ht="1.5" customHeight="1">
      <c r="A58" s="227"/>
      <c r="B58" s="742"/>
      <c r="C58" s="743"/>
      <c r="D58" s="744"/>
      <c r="E58" s="640"/>
      <c r="F58" s="641"/>
      <c r="G58" s="641"/>
      <c r="H58" s="641"/>
      <c r="I58" s="642"/>
      <c r="J58" s="640"/>
      <c r="K58" s="641"/>
      <c r="L58" s="642"/>
      <c r="M58" s="640"/>
      <c r="N58" s="641"/>
      <c r="O58" s="642"/>
    </row>
    <row r="59" spans="1:15" ht="71.25" hidden="1" customHeight="1">
      <c r="A59" s="227"/>
      <c r="B59" s="745"/>
      <c r="C59" s="753"/>
      <c r="D59" s="754"/>
      <c r="E59" s="755"/>
      <c r="F59" s="756"/>
      <c r="G59" s="756"/>
      <c r="H59" s="756"/>
      <c r="I59" s="757"/>
      <c r="J59" s="640"/>
      <c r="K59" s="641"/>
      <c r="L59" s="642"/>
      <c r="M59" s="640"/>
      <c r="N59" s="641"/>
      <c r="O59" s="642"/>
    </row>
    <row r="60" spans="1:15" ht="62.25" hidden="1" customHeight="1">
      <c r="A60" s="227"/>
      <c r="B60" s="745"/>
      <c r="C60" s="753"/>
      <c r="D60" s="754"/>
      <c r="E60" s="646"/>
      <c r="F60" s="647"/>
      <c r="G60" s="647"/>
      <c r="H60" s="647"/>
      <c r="I60" s="648"/>
      <c r="J60" s="640"/>
      <c r="K60" s="641"/>
      <c r="L60" s="642"/>
      <c r="M60" s="640"/>
      <c r="N60" s="641"/>
      <c r="O60" s="642"/>
    </row>
    <row r="61" spans="1:15" ht="62.25" hidden="1" customHeight="1">
      <c r="A61" s="227"/>
      <c r="B61" s="745"/>
      <c r="C61" s="746"/>
      <c r="D61" s="747"/>
      <c r="E61" s="646"/>
      <c r="F61" s="748"/>
      <c r="G61" s="748"/>
      <c r="H61" s="748"/>
      <c r="I61" s="749"/>
      <c r="J61" s="640"/>
      <c r="K61" s="725"/>
      <c r="L61" s="726"/>
      <c r="M61" s="467"/>
      <c r="N61" s="468"/>
      <c r="O61" s="469"/>
    </row>
    <row r="62" spans="1:15" ht="119.25" hidden="1" customHeight="1">
      <c r="A62" s="227"/>
      <c r="B62" s="745"/>
      <c r="C62" s="746"/>
      <c r="D62" s="747"/>
      <c r="E62" s="727"/>
      <c r="F62" s="728"/>
      <c r="G62" s="728"/>
      <c r="H62" s="728"/>
      <c r="I62" s="729"/>
      <c r="J62" s="640"/>
      <c r="K62" s="725"/>
      <c r="L62" s="726"/>
      <c r="M62" s="640"/>
      <c r="N62" s="725"/>
      <c r="O62" s="726"/>
    </row>
    <row r="63" spans="1:15" ht="88.5" hidden="1" customHeight="1">
      <c r="A63" s="227"/>
      <c r="B63" s="745"/>
      <c r="C63" s="746"/>
      <c r="D63" s="747"/>
      <c r="E63" s="646"/>
      <c r="F63" s="719"/>
      <c r="G63" s="719"/>
      <c r="H63" s="719"/>
      <c r="I63" s="720"/>
      <c r="J63" s="640"/>
      <c r="K63" s="725"/>
      <c r="L63" s="726"/>
      <c r="M63" s="467"/>
      <c r="N63" s="468"/>
      <c r="O63" s="469"/>
    </row>
    <row r="64" spans="1:15" ht="30" customHeight="1">
      <c r="B64" s="739" t="s">
        <v>401</v>
      </c>
      <c r="C64" s="740"/>
      <c r="D64" s="741"/>
      <c r="E64" s="736" t="s">
        <v>88</v>
      </c>
      <c r="F64" s="737"/>
      <c r="G64" s="737"/>
      <c r="H64" s="737"/>
      <c r="I64" s="738"/>
      <c r="J64" s="736" t="s">
        <v>89</v>
      </c>
      <c r="K64" s="737"/>
      <c r="L64" s="738"/>
      <c r="M64" s="736" t="s">
        <v>9</v>
      </c>
      <c r="N64" s="737"/>
      <c r="O64" s="738"/>
    </row>
    <row r="65" spans="2:15" ht="33.75" customHeight="1">
      <c r="B65" s="221"/>
      <c r="C65" s="222"/>
      <c r="D65" s="222"/>
      <c r="E65" s="215"/>
      <c r="F65" s="217"/>
      <c r="G65" s="217"/>
      <c r="H65" s="217"/>
      <c r="I65" s="217"/>
      <c r="J65" s="215"/>
      <c r="K65" s="215"/>
      <c r="L65" s="216"/>
      <c r="M65" s="214"/>
      <c r="N65" s="215"/>
      <c r="O65" s="216"/>
    </row>
    <row r="66" spans="2:15" ht="15.75" customHeight="1">
      <c r="B66" s="750" t="s">
        <v>400</v>
      </c>
      <c r="C66" s="751"/>
      <c r="D66" s="751"/>
      <c r="E66" s="751"/>
      <c r="F66" s="751"/>
      <c r="G66" s="751"/>
      <c r="H66" s="751"/>
      <c r="I66" s="751"/>
      <c r="J66" s="751"/>
      <c r="K66" s="751"/>
      <c r="L66" s="752"/>
      <c r="M66" s="733" t="s">
        <v>402</v>
      </c>
      <c r="N66" s="734"/>
      <c r="O66" s="735"/>
    </row>
    <row r="67" spans="2:15">
      <c r="D67" s="201"/>
    </row>
    <row r="69" spans="2:15">
      <c r="D69" s="201"/>
    </row>
    <row r="70" spans="2:15">
      <c r="D70" s="201"/>
    </row>
    <row r="83" spans="1:1">
      <c r="A83" s="204"/>
    </row>
  </sheetData>
  <mergeCells count="195">
    <mergeCell ref="J54:L54"/>
    <mergeCell ref="J55:L55"/>
    <mergeCell ref="J56:L56"/>
    <mergeCell ref="J57:L57"/>
    <mergeCell ref="B54:D54"/>
    <mergeCell ref="B55:D55"/>
    <mergeCell ref="B56:D56"/>
    <mergeCell ref="B57:D57"/>
    <mergeCell ref="E54:I54"/>
    <mergeCell ref="E55:I55"/>
    <mergeCell ref="E56:I56"/>
    <mergeCell ref="E57:I57"/>
    <mergeCell ref="M66:O66"/>
    <mergeCell ref="M64:O64"/>
    <mergeCell ref="J60:L60"/>
    <mergeCell ref="M59:O59"/>
    <mergeCell ref="J59:L59"/>
    <mergeCell ref="B64:D64"/>
    <mergeCell ref="B58:D58"/>
    <mergeCell ref="M60:O60"/>
    <mergeCell ref="E64:I64"/>
    <mergeCell ref="J64:L64"/>
    <mergeCell ref="B61:D61"/>
    <mergeCell ref="B62:D62"/>
    <mergeCell ref="B63:D63"/>
    <mergeCell ref="J63:L63"/>
    <mergeCell ref="E61:I61"/>
    <mergeCell ref="J61:L61"/>
    <mergeCell ref="J62:L62"/>
    <mergeCell ref="B66:L66"/>
    <mergeCell ref="B60:D60"/>
    <mergeCell ref="B59:D59"/>
    <mergeCell ref="E59:I59"/>
    <mergeCell ref="E60:I60"/>
    <mergeCell ref="M58:O58"/>
    <mergeCell ref="E58:I58"/>
    <mergeCell ref="B33:D33"/>
    <mergeCell ref="B42:D42"/>
    <mergeCell ref="E42:I42"/>
    <mergeCell ref="J42:L42"/>
    <mergeCell ref="B45:D45"/>
    <mergeCell ref="E45:I45"/>
    <mergeCell ref="J45:L45"/>
    <mergeCell ref="B52:D52"/>
    <mergeCell ref="E52:I52"/>
    <mergeCell ref="J52:L52"/>
    <mergeCell ref="B36:D36"/>
    <mergeCell ref="E36:I36"/>
    <mergeCell ref="J36:L36"/>
    <mergeCell ref="B39:D39"/>
    <mergeCell ref="E39:I39"/>
    <mergeCell ref="J39:L39"/>
    <mergeCell ref="J58:L58"/>
    <mergeCell ref="E63:I63"/>
    <mergeCell ref="M9:O9"/>
    <mergeCell ref="B9:D9"/>
    <mergeCell ref="E9:I9"/>
    <mergeCell ref="J9:L9"/>
    <mergeCell ref="J10:L10"/>
    <mergeCell ref="E10:I10"/>
    <mergeCell ref="M10:O10"/>
    <mergeCell ref="B10:D10"/>
    <mergeCell ref="E15:I15"/>
    <mergeCell ref="B15:D15"/>
    <mergeCell ref="B13:D13"/>
    <mergeCell ref="B12:D12"/>
    <mergeCell ref="J11:L11"/>
    <mergeCell ref="M11:O11"/>
    <mergeCell ref="J12:L12"/>
    <mergeCell ref="M12:O12"/>
    <mergeCell ref="E12:I12"/>
    <mergeCell ref="M62:O62"/>
    <mergeCell ref="E62:I62"/>
    <mergeCell ref="M15:O15"/>
    <mergeCell ref="E19:I19"/>
    <mergeCell ref="B18:D18"/>
    <mergeCell ref="M13:O13"/>
    <mergeCell ref="J14:L14"/>
    <mergeCell ref="B2:M2"/>
    <mergeCell ref="B5:O5"/>
    <mergeCell ref="M8:O8"/>
    <mergeCell ref="J8:L8"/>
    <mergeCell ref="E7:I7"/>
    <mergeCell ref="B7:D7"/>
    <mergeCell ref="E8:I8"/>
    <mergeCell ref="J7:L7"/>
    <mergeCell ref="M7:O7"/>
    <mergeCell ref="B8:D8"/>
    <mergeCell ref="J13:L13"/>
    <mergeCell ref="E13:I13"/>
    <mergeCell ref="B11:D11"/>
    <mergeCell ref="E11:I11"/>
    <mergeCell ref="M18:O18"/>
    <mergeCell ref="M14:O14"/>
    <mergeCell ref="J18:L18"/>
    <mergeCell ref="B16:O16"/>
    <mergeCell ref="J33:L33"/>
    <mergeCell ref="M19:O19"/>
    <mergeCell ref="J23:L24"/>
    <mergeCell ref="J20:L20"/>
    <mergeCell ref="M20:O20"/>
    <mergeCell ref="M25:O25"/>
    <mergeCell ref="J25:L25"/>
    <mergeCell ref="J21:L21"/>
    <mergeCell ref="E18:I18"/>
    <mergeCell ref="J15:L15"/>
    <mergeCell ref="B14:D14"/>
    <mergeCell ref="E14:I14"/>
    <mergeCell ref="M23:O24"/>
    <mergeCell ref="B19:D19"/>
    <mergeCell ref="J22:L22"/>
    <mergeCell ref="B20:D20"/>
    <mergeCell ref="E20:I20"/>
    <mergeCell ref="E25:I25"/>
    <mergeCell ref="E24:I24"/>
    <mergeCell ref="J19:L19"/>
    <mergeCell ref="M21:O21"/>
    <mergeCell ref="M22:O22"/>
    <mergeCell ref="B21:D21"/>
    <mergeCell ref="E21:I21"/>
    <mergeCell ref="B34:D34"/>
    <mergeCell ref="E34:I34"/>
    <mergeCell ref="J34:L34"/>
    <mergeCell ref="M34:O34"/>
    <mergeCell ref="B35:D35"/>
    <mergeCell ref="E35:I35"/>
    <mergeCell ref="J35:L35"/>
    <mergeCell ref="M35:O35"/>
    <mergeCell ref="M33:O33"/>
    <mergeCell ref="B30:O30"/>
    <mergeCell ref="B32:D32"/>
    <mergeCell ref="E32:I32"/>
    <mergeCell ref="J32:L32"/>
    <mergeCell ref="M32:O32"/>
    <mergeCell ref="E33:I33"/>
    <mergeCell ref="B22:D22"/>
    <mergeCell ref="B23:D24"/>
    <mergeCell ref="E23:I23"/>
    <mergeCell ref="E22:I22"/>
    <mergeCell ref="B25:D25"/>
    <mergeCell ref="M36:O36"/>
    <mergeCell ref="B37:D37"/>
    <mergeCell ref="E37:I37"/>
    <mergeCell ref="J37:L37"/>
    <mergeCell ref="M37:O37"/>
    <mergeCell ref="B38:D38"/>
    <mergeCell ref="E38:I38"/>
    <mergeCell ref="J38:L38"/>
    <mergeCell ref="M38:O38"/>
    <mergeCell ref="M39:O39"/>
    <mergeCell ref="B40:D40"/>
    <mergeCell ref="E40:I40"/>
    <mergeCell ref="J40:L40"/>
    <mergeCell ref="M40:O40"/>
    <mergeCell ref="B41:D41"/>
    <mergeCell ref="E41:I41"/>
    <mergeCell ref="J41:L41"/>
    <mergeCell ref="M41:O41"/>
    <mergeCell ref="M42:O42"/>
    <mergeCell ref="B43:D43"/>
    <mergeCell ref="E43:I43"/>
    <mergeCell ref="J43:L43"/>
    <mergeCell ref="M43:O43"/>
    <mergeCell ref="B44:D44"/>
    <mergeCell ref="E44:I44"/>
    <mergeCell ref="J44:L44"/>
    <mergeCell ref="M44:O44"/>
    <mergeCell ref="M45:O45"/>
    <mergeCell ref="B46:D46"/>
    <mergeCell ref="E46:I46"/>
    <mergeCell ref="J46:L46"/>
    <mergeCell ref="M46:O46"/>
    <mergeCell ref="B47:D47"/>
    <mergeCell ref="E47:I47"/>
    <mergeCell ref="J47:L47"/>
    <mergeCell ref="M47:O47"/>
    <mergeCell ref="B53:D53"/>
    <mergeCell ref="E53:I53"/>
    <mergeCell ref="J53:L53"/>
    <mergeCell ref="M52:O52"/>
    <mergeCell ref="B48:D48"/>
    <mergeCell ref="E48:I48"/>
    <mergeCell ref="J48:L48"/>
    <mergeCell ref="B49:D49"/>
    <mergeCell ref="E49:I49"/>
    <mergeCell ref="J49:L49"/>
    <mergeCell ref="M49:O49"/>
    <mergeCell ref="B50:D50"/>
    <mergeCell ref="E50:I50"/>
    <mergeCell ref="J50:L50"/>
    <mergeCell ref="M50:O50"/>
    <mergeCell ref="B51:D51"/>
    <mergeCell ref="E51:I51"/>
    <mergeCell ref="J51:L51"/>
    <mergeCell ref="M51:O51"/>
  </mergeCells>
  <phoneticPr fontId="31"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31"/>
  <sheetViews>
    <sheetView showGridLines="0" topLeftCell="A205" zoomScale="70" zoomScaleNormal="70" workbookViewId="0">
      <selection activeCell="S207" sqref="S207"/>
    </sheetView>
  </sheetViews>
  <sheetFormatPr defaultColWidth="11" defaultRowHeight="15"/>
  <cols>
    <col min="1" max="1" width="58.7109375" customWidth="1"/>
    <col min="2" max="2" width="22"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3" customWidth="1"/>
    <col min="14" max="14" width="15.7109375" style="33"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3" customWidth="1"/>
    <col min="33" max="33" width="3.28515625" style="33" customWidth="1"/>
    <col min="34" max="34" width="2.28515625" style="33" customWidth="1"/>
    <col min="35" max="35" width="40.7109375" customWidth="1"/>
    <col min="36" max="36" width="15.42578125" customWidth="1"/>
  </cols>
  <sheetData>
    <row r="1" spans="1:12" ht="29.25" customHeight="1">
      <c r="A1" s="3"/>
      <c r="B1" s="877"/>
      <c r="C1" s="877"/>
      <c r="D1" s="3"/>
      <c r="E1" s="3"/>
      <c r="F1" s="3"/>
      <c r="G1" s="3"/>
      <c r="H1" s="3"/>
      <c r="I1" s="3"/>
      <c r="J1" s="3"/>
      <c r="K1" s="3"/>
      <c r="L1" s="3"/>
    </row>
    <row r="2" spans="1:12" ht="15.75" customHeight="1">
      <c r="A2" s="880" t="s">
        <v>314</v>
      </c>
      <c r="B2" s="880"/>
      <c r="C2" s="880"/>
      <c r="D2" s="880"/>
      <c r="E2" s="880"/>
      <c r="F2" s="880"/>
      <c r="G2" s="880"/>
      <c r="H2" s="880"/>
      <c r="I2" s="880"/>
      <c r="J2" s="253"/>
      <c r="K2" s="253"/>
      <c r="L2" s="253"/>
    </row>
    <row r="3" spans="1:12" ht="4.5" customHeight="1">
      <c r="A3" s="3"/>
      <c r="B3" s="3"/>
      <c r="C3" s="3"/>
      <c r="D3" s="3"/>
      <c r="E3" s="3"/>
      <c r="F3" s="3"/>
      <c r="G3" s="3"/>
      <c r="H3" s="3"/>
      <c r="I3" s="3"/>
      <c r="J3" s="3"/>
      <c r="K3" s="3"/>
      <c r="L3" s="3"/>
    </row>
    <row r="4" spans="1:12">
      <c r="A4" s="251" t="s">
        <v>92</v>
      </c>
      <c r="B4" s="878" t="s">
        <v>158</v>
      </c>
      <c r="C4" s="879"/>
      <c r="D4" s="874" t="s">
        <v>317</v>
      </c>
      <c r="E4" s="874"/>
      <c r="F4" s="878" t="s">
        <v>712</v>
      </c>
      <c r="G4" s="886"/>
      <c r="H4" s="886"/>
      <c r="I4" s="879"/>
      <c r="J4" s="3"/>
      <c r="K4" s="3"/>
      <c r="L4" s="3"/>
    </row>
    <row r="5" spans="1:12" ht="3" customHeight="1">
      <c r="A5" s="251"/>
      <c r="B5" s="3"/>
      <c r="C5" s="3"/>
      <c r="D5" s="254"/>
      <c r="E5" s="254"/>
      <c r="F5" s="3"/>
      <c r="G5" s="3"/>
      <c r="H5" s="3"/>
      <c r="I5" s="3"/>
      <c r="J5" s="3"/>
      <c r="K5" s="3"/>
      <c r="L5" s="3"/>
    </row>
    <row r="6" spans="1:12">
      <c r="A6" s="251" t="s">
        <v>91</v>
      </c>
      <c r="B6" s="878" t="s">
        <v>489</v>
      </c>
      <c r="C6" s="879"/>
      <c r="D6" s="874" t="s">
        <v>249</v>
      </c>
      <c r="E6" s="874"/>
      <c r="F6" s="276" t="s">
        <v>247</v>
      </c>
      <c r="G6" s="251" t="s">
        <v>349</v>
      </c>
      <c r="H6" s="881">
        <v>24341578.491344798</v>
      </c>
      <c r="I6" s="882"/>
      <c r="J6" s="3"/>
      <c r="K6" s="3"/>
      <c r="L6" s="3"/>
    </row>
    <row r="7" spans="1:12" ht="3" customHeight="1">
      <c r="A7" s="251"/>
      <c r="B7" s="3"/>
      <c r="C7" s="3"/>
      <c r="D7" s="254"/>
      <c r="E7" s="254"/>
      <c r="F7" s="3"/>
      <c r="G7" s="251"/>
      <c r="H7" s="3"/>
      <c r="I7" s="3"/>
      <c r="J7" s="3"/>
      <c r="K7" s="3"/>
      <c r="L7" s="3"/>
    </row>
    <row r="8" spans="1:12">
      <c r="A8" s="251" t="s">
        <v>315</v>
      </c>
      <c r="B8" s="878" t="s">
        <v>431</v>
      </c>
      <c r="C8" s="879"/>
      <c r="D8" s="255"/>
      <c r="E8" s="250" t="s">
        <v>250</v>
      </c>
      <c r="F8" s="333"/>
      <c r="G8" s="250" t="s">
        <v>256</v>
      </c>
      <c r="H8" s="878"/>
      <c r="I8" s="879"/>
      <c r="J8" s="3"/>
      <c r="K8" s="3"/>
      <c r="L8" s="3"/>
    </row>
    <row r="9" spans="1:12" ht="3" customHeight="1">
      <c r="A9" s="254"/>
      <c r="B9" s="3"/>
      <c r="C9" s="3"/>
      <c r="D9" s="254"/>
      <c r="E9" s="254"/>
      <c r="F9" s="3"/>
      <c r="G9" s="3"/>
      <c r="H9" s="3"/>
      <c r="I9" s="3"/>
      <c r="J9" s="3"/>
      <c r="K9" s="3"/>
      <c r="L9" s="3"/>
    </row>
    <row r="10" spans="1:12">
      <c r="A10" s="251" t="s">
        <v>316</v>
      </c>
      <c r="B10" s="883">
        <v>42552</v>
      </c>
      <c r="C10" s="884"/>
      <c r="D10" s="872" t="s">
        <v>318</v>
      </c>
      <c r="E10" s="871"/>
      <c r="F10" s="878" t="s">
        <v>73</v>
      </c>
      <c r="G10" s="886"/>
      <c r="H10" s="886"/>
      <c r="I10" s="879"/>
      <c r="J10" s="3"/>
      <c r="K10" s="3"/>
      <c r="L10" s="3"/>
    </row>
    <row r="11" spans="1:12" ht="5.25" customHeight="1">
      <c r="A11" s="3"/>
      <c r="B11" s="3"/>
      <c r="C11" s="3"/>
      <c r="D11" s="3"/>
      <c r="E11" s="3"/>
      <c r="F11" s="3"/>
      <c r="G11" s="3"/>
      <c r="H11" s="3"/>
      <c r="I11" s="3"/>
      <c r="J11" s="3"/>
      <c r="K11" s="3"/>
      <c r="L11" s="3"/>
    </row>
    <row r="12" spans="1:12" ht="15" customHeight="1">
      <c r="A12" s="251" t="s">
        <v>397</v>
      </c>
      <c r="B12" s="873" t="s">
        <v>24</v>
      </c>
      <c r="C12" s="873"/>
      <c r="D12" s="872" t="s">
        <v>319</v>
      </c>
      <c r="E12" s="874"/>
      <c r="F12" s="885" t="s">
        <v>470</v>
      </c>
      <c r="G12" s="885"/>
      <c r="H12" s="885"/>
      <c r="I12" s="885"/>
      <c r="J12" s="3"/>
      <c r="K12" s="3"/>
      <c r="L12" s="3"/>
    </row>
    <row r="13" spans="1:12" ht="5.25" customHeight="1">
      <c r="A13" s="3"/>
      <c r="B13" s="3"/>
      <c r="C13" s="3"/>
      <c r="D13" s="3"/>
      <c r="E13" s="3"/>
      <c r="F13" s="3"/>
      <c r="G13" s="3"/>
      <c r="H13" s="3"/>
      <c r="I13" s="3"/>
      <c r="J13" s="3"/>
      <c r="K13" s="3"/>
      <c r="L13" s="3"/>
    </row>
    <row r="14" spans="1:12" ht="15.75" customHeight="1">
      <c r="A14" s="880" t="s">
        <v>251</v>
      </c>
      <c r="B14" s="880"/>
      <c r="C14" s="880"/>
      <c r="D14" s="880"/>
      <c r="E14" s="880"/>
      <c r="F14" s="880"/>
      <c r="G14" s="880"/>
      <c r="H14" s="880"/>
      <c r="I14" s="880"/>
      <c r="J14" s="3"/>
      <c r="K14" s="3"/>
      <c r="L14" s="3"/>
    </row>
    <row r="15" spans="1:12" ht="3" customHeight="1">
      <c r="A15" s="3"/>
      <c r="B15" s="3"/>
      <c r="C15" s="3"/>
      <c r="D15" s="3"/>
      <c r="E15" s="3"/>
      <c r="F15" s="3"/>
      <c r="G15" s="3"/>
      <c r="H15" s="3"/>
      <c r="I15" s="3"/>
      <c r="J15" s="3"/>
      <c r="K15" s="3"/>
      <c r="L15" s="3"/>
    </row>
    <row r="16" spans="1:12">
      <c r="A16" s="251" t="s">
        <v>252</v>
      </c>
      <c r="B16" s="333" t="s">
        <v>56</v>
      </c>
      <c r="C16" s="250" t="s">
        <v>272</v>
      </c>
      <c r="D16" s="422">
        <v>42736</v>
      </c>
      <c r="E16" s="252" t="s">
        <v>348</v>
      </c>
      <c r="F16" s="422">
        <v>42916</v>
      </c>
      <c r="G16" s="872" t="s">
        <v>253</v>
      </c>
      <c r="H16" s="871"/>
      <c r="I16" s="413">
        <v>43202</v>
      </c>
      <c r="J16" s="3"/>
      <c r="K16" s="3"/>
      <c r="L16" s="3"/>
    </row>
    <row r="17" spans="1:33" ht="3" customHeight="1">
      <c r="A17" s="3"/>
      <c r="B17" s="3"/>
      <c r="C17" s="3"/>
      <c r="D17" s="3"/>
      <c r="E17" s="3"/>
      <c r="F17" s="3"/>
      <c r="G17" s="3"/>
      <c r="H17" s="3"/>
      <c r="I17" s="3"/>
      <c r="J17" s="3"/>
      <c r="K17" s="3"/>
      <c r="L17" s="3"/>
    </row>
    <row r="18" spans="1:33">
      <c r="A18" s="870" t="s">
        <v>254</v>
      </c>
      <c r="B18" s="871"/>
      <c r="C18" s="887" t="s">
        <v>431</v>
      </c>
      <c r="D18" s="887"/>
      <c r="E18" s="887"/>
      <c r="F18" s="256"/>
      <c r="G18" s="256"/>
      <c r="H18" s="256"/>
      <c r="I18" s="256"/>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880" t="s">
        <v>255</v>
      </c>
      <c r="B21" s="880"/>
      <c r="C21" s="880"/>
      <c r="D21" s="880"/>
      <c r="E21" s="880"/>
      <c r="F21" s="880"/>
      <c r="G21" s="880"/>
      <c r="H21" s="880"/>
      <c r="I21" s="880"/>
      <c r="J21" s="3"/>
      <c r="K21" s="3"/>
      <c r="L21" s="3"/>
    </row>
    <row r="22" spans="1:33">
      <c r="A22" s="254" t="s">
        <v>321</v>
      </c>
      <c r="B22" s="3"/>
      <c r="C22" s="3"/>
      <c r="D22" s="257"/>
      <c r="E22" s="257"/>
      <c r="F22" s="3"/>
      <c r="G22" s="3"/>
      <c r="H22" s="257"/>
      <c r="I22" s="257"/>
      <c r="J22" s="3"/>
      <c r="K22" s="3"/>
      <c r="L22" s="3"/>
    </row>
    <row r="23" spans="1:33" ht="3" customHeight="1">
      <c r="A23" s="3"/>
      <c r="B23" s="3"/>
      <c r="C23" s="3"/>
      <c r="D23" s="3"/>
      <c r="E23" s="3"/>
      <c r="F23" s="3"/>
      <c r="G23" s="3"/>
      <c r="H23" s="3"/>
      <c r="I23" s="3"/>
      <c r="J23" s="3"/>
      <c r="K23" s="3"/>
      <c r="L23" s="3"/>
    </row>
    <row r="24" spans="1:33" ht="15.75" thickBot="1">
      <c r="A24" s="251" t="s">
        <v>351</v>
      </c>
      <c r="B24" s="323"/>
      <c r="C24" s="874" t="s">
        <v>324</v>
      </c>
      <c r="D24" s="874"/>
      <c r="E24" s="324"/>
      <c r="F24" s="874" t="s">
        <v>320</v>
      </c>
      <c r="G24" s="874"/>
      <c r="H24" s="875"/>
      <c r="I24" s="876"/>
      <c r="J24" s="3"/>
      <c r="K24" s="3"/>
      <c r="L24" s="3"/>
      <c r="M24" s="20"/>
    </row>
    <row r="25" spans="1:33" ht="19.5" thickBot="1">
      <c r="A25" s="82" t="s">
        <v>351</v>
      </c>
      <c r="B25" s="83"/>
      <c r="C25" s="83"/>
      <c r="D25" s="83"/>
      <c r="E25" s="83"/>
      <c r="F25" s="83"/>
      <c r="G25" s="239"/>
      <c r="H25" s="84"/>
      <c r="I25" s="84"/>
      <c r="J25" s="391" t="s">
        <v>0</v>
      </c>
      <c r="K25" s="392"/>
      <c r="L25" s="392"/>
      <c r="M25" s="392"/>
      <c r="N25" s="393"/>
      <c r="AG25" s="41"/>
    </row>
    <row r="26" spans="1:33">
      <c r="A26" s="860" t="s">
        <v>344</v>
      </c>
      <c r="B26" s="861"/>
      <c r="C26" s="337" t="s">
        <v>17</v>
      </c>
      <c r="D26" s="86"/>
      <c r="E26" s="86"/>
      <c r="F26" s="86"/>
      <c r="G26" s="86"/>
      <c r="H26" s="86"/>
      <c r="I26" s="87"/>
      <c r="J26" s="86"/>
      <c r="K26" s="86"/>
      <c r="L26" s="86"/>
      <c r="M26" s="37"/>
      <c r="N26" s="37"/>
      <c r="AG26" s="41"/>
    </row>
    <row r="27" spans="1:33" ht="18.75">
      <c r="A27" s="85" t="s">
        <v>398</v>
      </c>
      <c r="B27" s="86"/>
      <c r="C27" s="86"/>
      <c r="D27" s="86"/>
      <c r="E27" s="86"/>
      <c r="F27" s="86"/>
      <c r="G27" s="86"/>
      <c r="H27" s="86"/>
      <c r="I27" s="87"/>
      <c r="J27" s="86"/>
      <c r="K27" s="86"/>
      <c r="L27" s="86"/>
      <c r="M27" s="37"/>
      <c r="N27" s="37"/>
      <c r="AG27" s="41"/>
    </row>
    <row r="28" spans="1:33" ht="15.75" thickBot="1">
      <c r="A28" s="3"/>
      <c r="B28" s="3"/>
      <c r="C28" s="3"/>
      <c r="D28" s="3"/>
      <c r="E28" s="3"/>
      <c r="F28" s="3"/>
      <c r="G28" s="3"/>
      <c r="H28" s="3"/>
      <c r="I28" s="3"/>
      <c r="J28" s="3"/>
      <c r="K28" s="3"/>
      <c r="L28" s="3"/>
    </row>
    <row r="29" spans="1:33" ht="15.75" thickBot="1">
      <c r="A29" s="867" t="s">
        <v>342</v>
      </c>
      <c r="B29" s="868"/>
      <c r="C29" s="868"/>
      <c r="D29" s="868"/>
      <c r="E29" s="868"/>
      <c r="F29" s="868"/>
      <c r="G29" s="868"/>
      <c r="H29" s="868"/>
      <c r="I29" s="868"/>
      <c r="J29" s="868"/>
      <c r="K29" s="868"/>
      <c r="L29" s="868"/>
      <c r="M29" s="869"/>
      <c r="O29" s="192"/>
      <c r="P29" s="193"/>
      <c r="Q29" s="194">
        <f>+B33</f>
        <v>2675489.2999999998</v>
      </c>
    </row>
    <row r="30" spans="1:33">
      <c r="A30" s="88" t="s">
        <v>252</v>
      </c>
      <c r="B30" s="307" t="s">
        <v>55</v>
      </c>
      <c r="C30" s="307" t="s">
        <v>56</v>
      </c>
      <c r="D30" s="307" t="s">
        <v>57</v>
      </c>
      <c r="E30" s="307" t="s">
        <v>58</v>
      </c>
      <c r="F30" s="307" t="s">
        <v>65</v>
      </c>
      <c r="G30" s="307" t="s">
        <v>66</v>
      </c>
      <c r="H30" s="307" t="s">
        <v>67</v>
      </c>
      <c r="I30" s="307" t="s">
        <v>68</v>
      </c>
      <c r="J30" s="307" t="s">
        <v>69</v>
      </c>
      <c r="K30" s="307" t="s">
        <v>70</v>
      </c>
      <c r="L30" s="307" t="s">
        <v>71</v>
      </c>
      <c r="M30" s="308" t="s">
        <v>78</v>
      </c>
      <c r="N30" s="309" t="s">
        <v>346</v>
      </c>
      <c r="O30" s="192"/>
      <c r="P30" s="193"/>
      <c r="Q30" s="194">
        <f>+C33</f>
        <v>14534177.495320581</v>
      </c>
    </row>
    <row r="31" spans="1:33">
      <c r="A31" s="248" t="s">
        <v>441</v>
      </c>
      <c r="B31" s="318">
        <v>2675489.2999999998</v>
      </c>
      <c r="C31" s="317">
        <v>11858688.195320582</v>
      </c>
      <c r="D31" s="490"/>
      <c r="E31" s="490"/>
      <c r="F31" s="490"/>
      <c r="G31" s="490"/>
      <c r="H31" s="491"/>
      <c r="I31" s="490"/>
      <c r="J31" s="490"/>
      <c r="K31" s="317"/>
      <c r="L31" s="492"/>
      <c r="M31" s="317"/>
      <c r="N31" s="779"/>
      <c r="O31" s="192"/>
      <c r="P31" s="193"/>
      <c r="Q31" s="194">
        <f>+D33</f>
        <v>0</v>
      </c>
    </row>
    <row r="32" spans="1:33">
      <c r="A32" s="88" t="str">
        <f>CONCATENATE("Выплаты ГФ (в ", $C$26,")")</f>
        <v>Выплаты ГФ (в $)</v>
      </c>
      <c r="B32" s="318">
        <f>7773936+2214860</f>
        <v>9988796</v>
      </c>
      <c r="C32" s="318">
        <v>6937211</v>
      </c>
      <c r="D32" s="318"/>
      <c r="E32" s="318"/>
      <c r="F32" s="318"/>
      <c r="G32" s="318"/>
      <c r="H32" s="476"/>
      <c r="I32" s="317"/>
      <c r="J32" s="317"/>
      <c r="K32" s="317"/>
      <c r="L32" s="317"/>
      <c r="M32" s="317"/>
      <c r="N32" s="780"/>
      <c r="O32" s="192"/>
      <c r="P32" s="193"/>
      <c r="Q32" s="194">
        <f>+E33</f>
        <v>0</v>
      </c>
    </row>
    <row r="33" spans="1:33">
      <c r="A33" s="89" t="s">
        <v>322</v>
      </c>
      <c r="B33" s="319">
        <f>+B31</f>
        <v>2675489.2999999998</v>
      </c>
      <c r="C33" s="319">
        <f>IF(AND(C31=0,C32=0),0,+B33+C31)</f>
        <v>14534177.495320581</v>
      </c>
      <c r="D33" s="488"/>
      <c r="E33" s="488"/>
      <c r="F33" s="488"/>
      <c r="G33" s="488"/>
      <c r="H33" s="488"/>
      <c r="I33" s="488"/>
      <c r="J33" s="488"/>
      <c r="K33" s="488"/>
      <c r="L33" s="493"/>
      <c r="M33" s="319"/>
      <c r="N33" s="780"/>
      <c r="O33" s="304"/>
      <c r="P33" s="193"/>
      <c r="Q33" s="194">
        <f>+F33</f>
        <v>0</v>
      </c>
    </row>
    <row r="34" spans="1:33" ht="15.75" thickBot="1">
      <c r="A34" s="90" t="s">
        <v>323</v>
      </c>
      <c r="B34" s="320">
        <f>+B32</f>
        <v>9988796</v>
      </c>
      <c r="C34" s="320">
        <f>IF(AND(C31=0,C32=0),0,+B34+C32)</f>
        <v>16926007</v>
      </c>
      <c r="D34" s="489"/>
      <c r="E34" s="489"/>
      <c r="F34" s="489"/>
      <c r="G34" s="489"/>
      <c r="H34" s="489"/>
      <c r="I34" s="489"/>
      <c r="J34" s="489"/>
      <c r="K34" s="489"/>
      <c r="L34" s="494"/>
      <c r="M34" s="320"/>
      <c r="N34" s="781"/>
      <c r="O34" s="304"/>
      <c r="P34" s="193"/>
      <c r="Q34" s="194">
        <f>+G33</f>
        <v>0</v>
      </c>
    </row>
    <row r="35" spans="1:33">
      <c r="A35" s="3"/>
      <c r="B35" s="289">
        <f>+IF(AND(B30=$B$16,B33&lt;&gt;0),B34/B33,0)</f>
        <v>0</v>
      </c>
      <c r="C35" s="289">
        <f t="shared" ref="C35:M35" si="0">+IF(AND(C30=$B$16,C33&lt;&gt;0),C34/C33,0)</f>
        <v>1.1645658659012175</v>
      </c>
      <c r="D35" s="289">
        <f t="shared" si="0"/>
        <v>0</v>
      </c>
      <c r="E35" s="289">
        <f>+IF(AND(E30=$B$16,E33&lt;&gt;0),E34/E33,0)</f>
        <v>0</v>
      </c>
      <c r="F35" s="289">
        <f t="shared" si="0"/>
        <v>0</v>
      </c>
      <c r="G35" s="289">
        <f t="shared" si="0"/>
        <v>0</v>
      </c>
      <c r="H35" s="289">
        <f t="shared" si="0"/>
        <v>0</v>
      </c>
      <c r="I35" s="289">
        <f t="shared" si="0"/>
        <v>0</v>
      </c>
      <c r="J35" s="289">
        <f t="shared" si="0"/>
        <v>0</v>
      </c>
      <c r="K35" s="289">
        <f t="shared" si="0"/>
        <v>0</v>
      </c>
      <c r="L35" s="289">
        <f t="shared" si="0"/>
        <v>0</v>
      </c>
      <c r="M35" s="289">
        <f t="shared" si="0"/>
        <v>0</v>
      </c>
      <c r="N35" s="258"/>
      <c r="O35" s="195"/>
      <c r="P35" s="196"/>
      <c r="Q35" s="194">
        <f>+H33</f>
        <v>0</v>
      </c>
    </row>
    <row r="36" spans="1:33" ht="18.75">
      <c r="A36" s="85" t="s">
        <v>363</v>
      </c>
      <c r="B36" s="3"/>
      <c r="C36" s="3"/>
      <c r="D36" s="297"/>
      <c r="E36" s="3"/>
      <c r="F36" s="236"/>
      <c r="G36" s="3"/>
      <c r="H36" s="3"/>
      <c r="I36" s="3"/>
      <c r="J36" s="3"/>
      <c r="K36" s="3"/>
      <c r="L36" s="3"/>
      <c r="M36" s="38"/>
      <c r="N36" s="38"/>
      <c r="AG36" s="20"/>
    </row>
    <row r="37" spans="1:33" ht="15.75" thickBot="1">
      <c r="A37" s="3"/>
      <c r="B37" s="3"/>
      <c r="C37" s="3"/>
      <c r="D37" s="3"/>
      <c r="E37" s="3"/>
      <c r="F37" s="3"/>
      <c r="G37" s="3"/>
      <c r="H37" s="3"/>
      <c r="I37" s="3"/>
      <c r="J37" s="3"/>
      <c r="K37" s="3"/>
      <c r="L37" s="3"/>
      <c r="M37" s="36"/>
      <c r="N37" s="36"/>
    </row>
    <row r="38" spans="1:33" ht="30" customHeight="1">
      <c r="A38" s="364"/>
      <c r="B38" s="365" t="str">
        <f>CONCATENATE("Общий бюджет (в ",'Ввод данных'!$C$26,")")</f>
        <v>Общий бюджет (в $)</v>
      </c>
      <c r="C38" s="366" t="str">
        <f>CONCATENATE("Общие расходы (в ",'Ввод данных'!$C$26,")")</f>
        <v>Общие расходы (в $)</v>
      </c>
      <c r="D38" s="245"/>
      <c r="E38" s="260"/>
      <c r="F38" s="3"/>
      <c r="G38" s="3"/>
      <c r="H38" s="3"/>
      <c r="I38" s="96"/>
      <c r="J38" s="39"/>
      <c r="M38"/>
      <c r="N38"/>
      <c r="AC38" s="20"/>
      <c r="AD38" s="33"/>
    </row>
    <row r="39" spans="1:33">
      <c r="A39" s="503" t="s">
        <v>490</v>
      </c>
      <c r="B39" s="325">
        <v>3410134.5564546594</v>
      </c>
      <c r="C39" s="328">
        <v>2565688.5099999998</v>
      </c>
      <c r="D39" s="15"/>
      <c r="E39" s="305"/>
      <c r="F39" s="306"/>
      <c r="G39" s="3"/>
      <c r="H39" s="3"/>
      <c r="I39" s="97"/>
      <c r="J39" s="40"/>
      <c r="M39"/>
      <c r="N39"/>
      <c r="AC39" s="20"/>
      <c r="AD39" s="33"/>
    </row>
    <row r="40" spans="1:33">
      <c r="A40" s="503" t="s">
        <v>491</v>
      </c>
      <c r="B40" s="325">
        <v>1703752.3526155706</v>
      </c>
      <c r="C40" s="328">
        <v>1149155.8699999999</v>
      </c>
      <c r="D40" s="15"/>
      <c r="E40" s="305"/>
      <c r="F40" s="306"/>
      <c r="G40" s="3"/>
      <c r="H40" s="3"/>
      <c r="I40" s="97"/>
      <c r="J40" s="40"/>
      <c r="M40"/>
      <c r="N40"/>
      <c r="AC40" s="20"/>
      <c r="AD40" s="33"/>
    </row>
    <row r="41" spans="1:33">
      <c r="A41" s="503" t="s">
        <v>492</v>
      </c>
      <c r="B41" s="325">
        <v>505644.47803000006</v>
      </c>
      <c r="C41" s="328">
        <v>192450.58000000002</v>
      </c>
      <c r="D41" s="15"/>
      <c r="E41" s="305"/>
      <c r="F41" s="306"/>
      <c r="G41" s="3"/>
      <c r="H41" s="3"/>
      <c r="I41" s="97"/>
      <c r="J41" s="40"/>
      <c r="M41"/>
      <c r="N41"/>
      <c r="AC41" s="20"/>
      <c r="AD41" s="33"/>
    </row>
    <row r="42" spans="1:33">
      <c r="A42" s="327" t="s">
        <v>493</v>
      </c>
      <c r="B42" s="325">
        <v>261475.27294360212</v>
      </c>
      <c r="C42" s="328">
        <v>169602.51</v>
      </c>
      <c r="D42" s="15"/>
      <c r="E42" s="305"/>
      <c r="F42" s="306"/>
      <c r="G42" s="3"/>
      <c r="H42" s="3"/>
      <c r="I42" s="97"/>
      <c r="J42" s="40"/>
      <c r="M42"/>
      <c r="N42"/>
      <c r="AC42" s="20"/>
      <c r="AD42" s="33"/>
    </row>
    <row r="43" spans="1:33">
      <c r="A43" s="503" t="s">
        <v>494</v>
      </c>
      <c r="B43" s="326">
        <v>81121.686226500009</v>
      </c>
      <c r="C43" s="328">
        <v>47897.21</v>
      </c>
      <c r="D43" s="15"/>
      <c r="E43" s="305"/>
      <c r="F43" s="306"/>
      <c r="G43" s="3"/>
      <c r="H43" s="3"/>
      <c r="I43" s="97"/>
      <c r="J43" s="40"/>
      <c r="M43"/>
      <c r="N43"/>
      <c r="AC43" s="20"/>
      <c r="AD43" s="33"/>
    </row>
    <row r="44" spans="1:33" ht="30">
      <c r="A44" s="504" t="s">
        <v>495</v>
      </c>
      <c r="B44" s="325">
        <v>1446265.1533987715</v>
      </c>
      <c r="C44" s="328">
        <v>544372.69999999995</v>
      </c>
      <c r="D44" s="15"/>
      <c r="E44" s="305"/>
      <c r="F44" s="306"/>
      <c r="G44" s="3"/>
      <c r="H44" s="3"/>
      <c r="I44" s="97"/>
      <c r="J44" s="40"/>
      <c r="M44"/>
      <c r="N44"/>
      <c r="AC44" s="20"/>
      <c r="AD44" s="33"/>
    </row>
    <row r="45" spans="1:33">
      <c r="A45" s="327" t="s">
        <v>496</v>
      </c>
      <c r="B45" s="325">
        <v>64080.399999999994</v>
      </c>
      <c r="C45" s="328">
        <v>57255.34</v>
      </c>
      <c r="D45" s="15"/>
      <c r="E45" s="305"/>
      <c r="F45" s="306"/>
      <c r="G45" s="3"/>
      <c r="H45" s="3"/>
      <c r="I45" s="97"/>
      <c r="J45" s="40"/>
      <c r="M45"/>
      <c r="N45"/>
      <c r="AC45" s="20"/>
      <c r="AD45" s="33"/>
    </row>
    <row r="46" spans="1:33">
      <c r="A46" s="327" t="s">
        <v>497</v>
      </c>
      <c r="B46" s="325">
        <v>149212.02249999999</v>
      </c>
      <c r="C46" s="328">
        <v>128087.14000000001</v>
      </c>
      <c r="D46" s="15"/>
      <c r="E46" s="305"/>
      <c r="F46" s="306"/>
      <c r="G46" s="3"/>
      <c r="H46" s="3"/>
      <c r="I46" s="97"/>
      <c r="J46" s="40"/>
      <c r="M46"/>
      <c r="N46"/>
      <c r="AC46" s="20"/>
      <c r="AD46" s="33"/>
    </row>
    <row r="47" spans="1:33">
      <c r="A47" s="327" t="s">
        <v>498</v>
      </c>
      <c r="B47" s="325">
        <v>286351.62388065801</v>
      </c>
      <c r="C47" s="328">
        <v>199663.22</v>
      </c>
      <c r="D47" s="15"/>
      <c r="E47" s="305"/>
      <c r="F47" s="306"/>
      <c r="G47" s="3"/>
      <c r="H47" s="3"/>
      <c r="I47" s="97"/>
      <c r="J47" s="40"/>
      <c r="M47"/>
      <c r="N47"/>
      <c r="AC47" s="20"/>
      <c r="AD47" s="33"/>
    </row>
    <row r="48" spans="1:33">
      <c r="A48" s="327" t="s">
        <v>499</v>
      </c>
      <c r="B48" s="325">
        <v>11469.931632</v>
      </c>
      <c r="C48" s="328">
        <v>367.75</v>
      </c>
      <c r="D48" s="15"/>
      <c r="E48" s="305"/>
      <c r="F48" s="306"/>
      <c r="G48" s="3"/>
      <c r="H48" s="3"/>
      <c r="I48" s="97"/>
      <c r="J48" s="40"/>
      <c r="M48"/>
      <c r="N48"/>
      <c r="AC48" s="20"/>
      <c r="AD48" s="33"/>
    </row>
    <row r="49" spans="1:32">
      <c r="A49" s="327" t="s">
        <v>500</v>
      </c>
      <c r="B49" s="325">
        <v>6493532.1190502187</v>
      </c>
      <c r="C49" s="328">
        <v>2226909.7300000004</v>
      </c>
      <c r="D49" s="15"/>
      <c r="E49" s="305"/>
      <c r="F49" s="306"/>
      <c r="G49" s="3"/>
      <c r="H49" s="3"/>
      <c r="I49" s="97"/>
      <c r="J49" s="40"/>
      <c r="M49"/>
      <c r="N49"/>
      <c r="AC49" s="20"/>
      <c r="AD49" s="33"/>
    </row>
    <row r="50" spans="1:32">
      <c r="A50" s="327" t="s">
        <v>501</v>
      </c>
      <c r="B50" s="325">
        <v>121137.8985886</v>
      </c>
      <c r="C50" s="328">
        <v>54213.619999999995</v>
      </c>
      <c r="D50" s="15"/>
      <c r="E50" s="305"/>
      <c r="F50" s="306"/>
      <c r="G50" s="3"/>
      <c r="H50" s="3"/>
      <c r="I50" s="97"/>
      <c r="J50" s="40"/>
      <c r="M50"/>
      <c r="N50"/>
      <c r="AC50" s="20"/>
      <c r="AD50" s="33"/>
    </row>
    <row r="51" spans="1:32">
      <c r="A51" s="329" t="s">
        <v>502</v>
      </c>
      <c r="B51" s="326"/>
      <c r="C51" s="328">
        <v>0</v>
      </c>
      <c r="D51" s="15"/>
      <c r="E51" s="305"/>
      <c r="F51" s="306"/>
      <c r="G51" s="3"/>
      <c r="H51" s="3"/>
      <c r="I51" s="97"/>
      <c r="J51" s="40"/>
      <c r="M51"/>
      <c r="N51"/>
      <c r="AC51" s="20"/>
      <c r="AD51" s="33"/>
    </row>
    <row r="52" spans="1:32" ht="30">
      <c r="A52" s="504" t="s">
        <v>503</v>
      </c>
      <c r="B52" s="326"/>
      <c r="C52" s="328">
        <v>0</v>
      </c>
      <c r="D52" s="15"/>
      <c r="E52" s="305"/>
      <c r="F52" s="306"/>
      <c r="G52" s="3"/>
      <c r="H52" s="3"/>
      <c r="I52" s="97"/>
      <c r="J52" s="40"/>
      <c r="M52"/>
      <c r="N52"/>
      <c r="AC52" s="20"/>
      <c r="AD52" s="33"/>
    </row>
    <row r="53" spans="1:32">
      <c r="A53" s="327"/>
      <c r="B53" s="477"/>
      <c r="C53" s="328"/>
      <c r="D53" s="15"/>
      <c r="E53" s="305"/>
      <c r="F53" s="306"/>
      <c r="G53" s="3"/>
      <c r="H53" s="3"/>
      <c r="I53" s="97"/>
      <c r="J53" s="40"/>
      <c r="M53"/>
      <c r="N53"/>
      <c r="AC53" s="20"/>
      <c r="AD53" s="33"/>
    </row>
    <row r="54" spans="1:32">
      <c r="A54" s="327"/>
      <c r="B54" s="477"/>
      <c r="C54" s="328"/>
      <c r="D54" s="258"/>
      <c r="E54" s="305"/>
      <c r="F54" s="306"/>
      <c r="G54" s="3"/>
      <c r="H54" s="3"/>
      <c r="I54" s="3"/>
      <c r="J54" s="40"/>
      <c r="M54"/>
      <c r="N54"/>
      <c r="AC54" s="20"/>
      <c r="AD54" s="33"/>
    </row>
    <row r="55" spans="1:32" ht="15.75" thickBot="1">
      <c r="A55" s="329"/>
      <c r="B55" s="478"/>
      <c r="C55" s="486"/>
      <c r="D55" s="242"/>
      <c r="E55" s="305"/>
      <c r="F55" s="3"/>
      <c r="G55" s="3"/>
      <c r="H55" s="3"/>
      <c r="I55" s="3"/>
      <c r="J55" s="40"/>
      <c r="M55"/>
      <c r="N55"/>
      <c r="AC55" s="20"/>
      <c r="AD55" s="33"/>
    </row>
    <row r="56" spans="1:32" ht="15.75" thickBot="1">
      <c r="A56" s="330" t="s">
        <v>343</v>
      </c>
      <c r="B56" s="505">
        <f>SUM(B39:B55)</f>
        <v>14534177.495320581</v>
      </c>
      <c r="C56" s="332">
        <f>SUM(C39:C55)</f>
        <v>7335664.1799999997</v>
      </c>
      <c r="D56" s="3"/>
      <c r="E56" s="798" t="str">
        <f ca="1">+IF((ROUND(B56,0)=ROUND(OFFSET(A33,0,RIGHT('Ввод данных'!$B$16,LEN('Ввод данных'!$B$16)-1),1,1),0)),"Все правильно: данные верны","Предупреждение: данные не совпадают")</f>
        <v>Все правильно: данные верны</v>
      </c>
      <c r="F56" s="799"/>
      <c r="G56" s="799"/>
      <c r="H56" s="800"/>
      <c r="I56" s="187"/>
      <c r="J56" s="187"/>
      <c r="K56" s="187"/>
      <c r="L56" s="195"/>
      <c r="M56" s="196"/>
      <c r="N56" s="194"/>
      <c r="O56" s="192"/>
      <c r="AC56" s="33"/>
      <c r="AD56" s="33"/>
    </row>
    <row r="57" spans="1:32">
      <c r="A57" s="3"/>
      <c r="B57" s="187"/>
      <c r="C57" s="187"/>
      <c r="E57" s="187"/>
      <c r="F57" s="187"/>
      <c r="G57" s="187"/>
      <c r="H57" s="187"/>
      <c r="I57" s="187"/>
      <c r="J57" s="187"/>
      <c r="K57" s="187"/>
      <c r="L57" s="187"/>
      <c r="M57" s="187"/>
      <c r="N57" s="187"/>
      <c r="O57" s="195"/>
      <c r="P57" s="196"/>
      <c r="Q57" s="194"/>
    </row>
    <row r="58" spans="1:32" ht="18.75">
      <c r="A58" s="85" t="s">
        <v>341</v>
      </c>
      <c r="B58" s="3"/>
      <c r="C58" s="187"/>
      <c r="D58" s="444"/>
      <c r="E58" s="3"/>
      <c r="F58" s="3"/>
      <c r="G58" s="3"/>
      <c r="H58" s="3"/>
      <c r="I58" s="3"/>
      <c r="J58" s="3"/>
      <c r="K58" s="3"/>
      <c r="L58" s="3"/>
      <c r="O58" s="192"/>
      <c r="P58" s="193"/>
      <c r="Q58" s="194">
        <f>+I33</f>
        <v>0</v>
      </c>
    </row>
    <row r="59" spans="1:32" ht="15.75" thickBot="1">
      <c r="A59" s="3"/>
      <c r="B59" s="3"/>
      <c r="C59" s="3"/>
      <c r="D59" s="3"/>
      <c r="E59" s="3"/>
      <c r="F59" s="3"/>
      <c r="G59" s="3"/>
      <c r="H59" s="3"/>
      <c r="I59" s="3"/>
      <c r="J59" s="3"/>
      <c r="K59" s="3"/>
      <c r="L59" s="3"/>
      <c r="O59" s="192"/>
      <c r="P59" s="193"/>
      <c r="Q59" s="194">
        <f>+J33</f>
        <v>0</v>
      </c>
    </row>
    <row r="60" spans="1:32" ht="51" customHeight="1">
      <c r="A60" s="456"/>
      <c r="B60" s="457" t="s">
        <v>258</v>
      </c>
      <c r="C60" s="457" t="s">
        <v>259</v>
      </c>
      <c r="D60" s="458" t="str">
        <f>CONCATENATE("Всего израсходовано и выплачено (в ",C26,")")</f>
        <v>Всего израсходовано и выплачено (в $)</v>
      </c>
      <c r="E60" s="3"/>
      <c r="F60" s="263"/>
      <c r="G60" s="260"/>
      <c r="H60" s="249"/>
      <c r="I60" s="249"/>
      <c r="J60" s="249"/>
      <c r="K60" s="249"/>
      <c r="L60" s="21"/>
      <c r="M60" s="21"/>
      <c r="N60" s="192"/>
      <c r="O60" s="193"/>
      <c r="P60" s="194">
        <f>+L33</f>
        <v>0</v>
      </c>
      <c r="Q60" s="192"/>
      <c r="AF60" s="20"/>
    </row>
    <row r="61" spans="1:32">
      <c r="A61" s="459" t="s">
        <v>325</v>
      </c>
      <c r="B61" s="506">
        <v>9988796</v>
      </c>
      <c r="C61" s="506">
        <v>6937211</v>
      </c>
      <c r="D61" s="461">
        <f>+C61+B61</f>
        <v>16926007</v>
      </c>
      <c r="E61" s="3"/>
      <c r="F61" s="92"/>
      <c r="G61" s="261"/>
      <c r="H61" s="91"/>
      <c r="I61" s="190"/>
      <c r="J61" s="191"/>
      <c r="K61" s="93"/>
      <c r="L61" s="34"/>
      <c r="M61" s="34"/>
      <c r="N61" s="192"/>
      <c r="O61" s="192"/>
      <c r="P61" s="192"/>
      <c r="Q61" s="192"/>
      <c r="AF61" s="20"/>
    </row>
    <row r="62" spans="1:32">
      <c r="A62" s="459" t="s">
        <v>326</v>
      </c>
      <c r="B62" s="506">
        <v>1225556.3599999999</v>
      </c>
      <c r="C62" s="506">
        <v>2923861.3099999996</v>
      </c>
      <c r="D62" s="461">
        <f>+C62+B62</f>
        <v>4149417.6699999995</v>
      </c>
      <c r="E62" s="3"/>
      <c r="F62" s="230"/>
      <c r="G62" s="261"/>
      <c r="H62" s="91"/>
      <c r="I62" s="190"/>
      <c r="J62" s="190"/>
      <c r="K62" s="93"/>
      <c r="L62" s="35"/>
      <c r="M62" s="35"/>
      <c r="N62" s="192"/>
      <c r="O62" s="192"/>
      <c r="P62" s="192"/>
      <c r="Q62" s="192"/>
      <c r="AF62" s="20"/>
    </row>
    <row r="63" spans="1:32">
      <c r="A63" s="459" t="s">
        <v>327</v>
      </c>
      <c r="B63" s="506">
        <v>1842984.6700000002</v>
      </c>
      <c r="C63" s="506">
        <v>2120459.4600000009</v>
      </c>
      <c r="D63" s="461">
        <f>+C63+B63</f>
        <v>3963444.1300000008</v>
      </c>
      <c r="E63" s="3"/>
      <c r="F63" s="92"/>
      <c r="G63" s="261"/>
      <c r="H63" s="91"/>
      <c r="I63" s="190"/>
      <c r="J63" s="191"/>
      <c r="K63" s="93"/>
      <c r="L63" s="34"/>
      <c r="M63" s="34"/>
      <c r="N63"/>
      <c r="AF63" s="20"/>
    </row>
    <row r="64" spans="1:32" ht="15.75" thickBot="1">
      <c r="A64" s="460" t="s">
        <v>355</v>
      </c>
      <c r="B64" s="507">
        <v>1449932.94</v>
      </c>
      <c r="C64" s="506">
        <v>1749323.2700000003</v>
      </c>
      <c r="D64" s="462">
        <f>+C64+B64</f>
        <v>3199256.21</v>
      </c>
      <c r="E64" s="187"/>
      <c r="F64" s="231"/>
      <c r="G64" s="262"/>
      <c r="H64" s="94"/>
      <c r="I64" s="94"/>
      <c r="J64" s="94"/>
      <c r="K64" s="93"/>
      <c r="L64" s="35"/>
      <c r="M64" s="35"/>
      <c r="N64"/>
      <c r="AF64" s="20"/>
    </row>
    <row r="65" spans="1:33" ht="15.75" customHeight="1">
      <c r="A65" s="3"/>
      <c r="B65" s="3"/>
      <c r="C65" s="187"/>
      <c r="D65" s="3"/>
      <c r="E65" s="187"/>
      <c r="F65" s="3"/>
      <c r="G65" s="3"/>
      <c r="H65" s="3"/>
      <c r="I65" s="3"/>
      <c r="J65" s="3"/>
      <c r="K65" s="3"/>
      <c r="L65" s="3"/>
      <c r="AG65" s="20"/>
    </row>
    <row r="66" spans="1:33">
      <c r="A66" s="3"/>
      <c r="B66" s="3"/>
      <c r="C66" s="455"/>
      <c r="D66" s="3"/>
      <c r="E66" s="3"/>
      <c r="F66" s="3"/>
      <c r="G66" s="3"/>
      <c r="H66" s="3"/>
      <c r="I66" s="3"/>
      <c r="J66" s="3"/>
      <c r="K66" s="3"/>
      <c r="L66" s="3"/>
    </row>
    <row r="67" spans="1:33" ht="18.75">
      <c r="A67" s="85" t="s">
        <v>328</v>
      </c>
      <c r="B67" s="3"/>
      <c r="C67" s="187"/>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64" t="s">
        <v>364</v>
      </c>
      <c r="B69" s="865"/>
      <c r="C69" s="866"/>
      <c r="D69" s="484"/>
      <c r="E69" s="3"/>
      <c r="F69" s="3"/>
      <c r="G69" s="3"/>
      <c r="H69" s="3"/>
      <c r="I69" s="3"/>
      <c r="J69" s="3"/>
      <c r="K69" s="3"/>
      <c r="L69" s="33"/>
      <c r="N69"/>
    </row>
    <row r="70" spans="1:33">
      <c r="A70" s="479"/>
      <c r="B70" s="385"/>
      <c r="C70" s="425" t="s">
        <v>356</v>
      </c>
      <c r="D70" s="480" t="s">
        <v>357</v>
      </c>
      <c r="E70" s="3"/>
      <c r="F70" s="3"/>
      <c r="G70" s="3"/>
      <c r="H70" s="3"/>
      <c r="I70" s="3"/>
      <c r="J70" s="3"/>
      <c r="K70" s="3"/>
      <c r="L70" s="33"/>
      <c r="N70"/>
    </row>
    <row r="71" spans="1:33">
      <c r="A71" s="481" t="s">
        <v>374</v>
      </c>
      <c r="B71" s="42"/>
      <c r="C71" s="508">
        <v>74</v>
      </c>
      <c r="D71" s="509">
        <v>77</v>
      </c>
      <c r="E71" s="3"/>
      <c r="F71" s="3"/>
      <c r="G71" s="3"/>
      <c r="H71" s="3"/>
      <c r="I71" s="3"/>
      <c r="J71" s="3"/>
      <c r="K71" s="3"/>
      <c r="L71" s="33"/>
      <c r="N71"/>
    </row>
    <row r="72" spans="1:33">
      <c r="A72" s="264" t="s">
        <v>365</v>
      </c>
      <c r="B72" s="42"/>
      <c r="C72" s="508">
        <v>60</v>
      </c>
      <c r="D72" s="509">
        <v>39</v>
      </c>
      <c r="E72" s="3"/>
      <c r="F72" s="3"/>
      <c r="G72" s="261"/>
      <c r="H72" s="261"/>
      <c r="I72" s="3"/>
      <c r="J72" s="3"/>
      <c r="K72" s="3"/>
      <c r="L72" s="33"/>
      <c r="N72"/>
    </row>
    <row r="73" spans="1:33" ht="15.75" thickBot="1">
      <c r="A73" s="482" t="s">
        <v>366</v>
      </c>
      <c r="B73" s="483"/>
      <c r="C73" s="510">
        <v>10</v>
      </c>
      <c r="D73" s="509">
        <v>21</v>
      </c>
      <c r="E73" s="3"/>
      <c r="F73" s="3"/>
      <c r="G73" s="261"/>
      <c r="H73" s="261"/>
      <c r="I73" s="3"/>
      <c r="J73" s="3"/>
      <c r="K73" s="3"/>
      <c r="L73" s="33"/>
      <c r="N73"/>
    </row>
    <row r="74" spans="1:33">
      <c r="A74" s="3"/>
      <c r="B74" s="3"/>
      <c r="C74" s="426"/>
      <c r="D74" s="426"/>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98" t="s">
        <v>329</v>
      </c>
      <c r="B76" s="99"/>
      <c r="C76" s="99"/>
      <c r="D76" s="99"/>
      <c r="E76" s="99"/>
      <c r="F76" s="99"/>
      <c r="G76" s="394" t="s">
        <v>360</v>
      </c>
      <c r="H76" s="386"/>
      <c r="I76" s="387"/>
      <c r="J76" s="387"/>
      <c r="K76" s="411"/>
      <c r="L76" s="100"/>
      <c r="M76" s="80"/>
      <c r="N76" s="80"/>
      <c r="O76" s="80"/>
      <c r="AA76" s="19"/>
      <c r="AB76" s="19"/>
    </row>
    <row r="77" spans="1:33" ht="18.75">
      <c r="A77" s="101"/>
      <c r="B77" s="100"/>
      <c r="C77" s="100"/>
      <c r="D77" s="100"/>
      <c r="E77" s="100"/>
      <c r="F77" s="100"/>
      <c r="G77" s="100"/>
      <c r="H77" s="100"/>
      <c r="I77" s="100"/>
      <c r="J77" s="102"/>
      <c r="K77" s="102"/>
      <c r="L77" s="100"/>
      <c r="M77" s="80"/>
      <c r="N77" s="80"/>
      <c r="O77" s="80"/>
      <c r="AA77" s="19"/>
      <c r="AB77" s="19"/>
    </row>
    <row r="78" spans="1:33" ht="18.75">
      <c r="A78" s="101" t="s">
        <v>1</v>
      </c>
      <c r="B78" s="100"/>
      <c r="C78" s="100"/>
      <c r="D78" s="100"/>
      <c r="E78" s="100"/>
      <c r="F78" s="100"/>
      <c r="G78" s="100"/>
      <c r="H78" s="100"/>
      <c r="I78" s="100"/>
      <c r="J78" s="102"/>
      <c r="K78" s="102"/>
      <c r="L78" s="100"/>
      <c r="M78" s="80"/>
      <c r="N78" s="80"/>
      <c r="O78" s="80"/>
      <c r="AA78" s="19"/>
      <c r="AB78" s="19"/>
    </row>
    <row r="79" spans="1:33" ht="15.75" thickBot="1">
      <c r="A79" s="2"/>
      <c r="B79" s="103"/>
      <c r="C79" s="103"/>
      <c r="D79" s="103"/>
      <c r="E79" s="103"/>
      <c r="F79" s="103"/>
      <c r="G79" s="2"/>
      <c r="H79" s="103"/>
      <c r="I79" s="2"/>
      <c r="J79" s="2"/>
      <c r="K79" s="2"/>
      <c r="L79" s="2"/>
      <c r="M79" s="20"/>
      <c r="N79" s="19"/>
      <c r="O79" s="19"/>
      <c r="P79" s="19"/>
      <c r="Q79" s="19"/>
      <c r="AB79" s="19"/>
    </row>
    <row r="80" spans="1:33" ht="45">
      <c r="A80" s="862"/>
      <c r="B80" s="863"/>
      <c r="C80" s="104" t="s">
        <v>260</v>
      </c>
      <c r="D80" s="105" t="s">
        <v>261</v>
      </c>
      <c r="E80" s="353" t="s">
        <v>330</v>
      </c>
      <c r="F80" s="354" t="s">
        <v>257</v>
      </c>
      <c r="G80" s="272"/>
      <c r="H80" s="273"/>
      <c r="I80" s="15"/>
      <c r="J80" s="2"/>
      <c r="K80" s="2"/>
      <c r="L80" s="2"/>
      <c r="M80" s="20"/>
      <c r="N80" s="19"/>
      <c r="O80" s="19"/>
      <c r="P80" s="19"/>
      <c r="Q80" s="19"/>
    </row>
    <row r="81" spans="1:17">
      <c r="A81" s="854" t="s">
        <v>610</v>
      </c>
      <c r="B81" s="855"/>
      <c r="C81" s="233">
        <v>0</v>
      </c>
      <c r="D81" s="233">
        <v>0</v>
      </c>
      <c r="E81" s="233"/>
      <c r="F81" s="107">
        <f>SUM(C81:E81)</f>
        <v>0</v>
      </c>
      <c r="G81" s="272"/>
      <c r="H81" s="273"/>
      <c r="I81" s="15"/>
      <c r="J81" s="2"/>
      <c r="K81" s="2"/>
      <c r="L81" s="2"/>
      <c r="M81" s="20"/>
      <c r="N81" s="19"/>
      <c r="O81" s="19"/>
      <c r="P81" s="19"/>
      <c r="Q81" s="19"/>
    </row>
    <row r="82" spans="1:17" ht="15.75" thickBot="1">
      <c r="A82" s="856" t="s">
        <v>611</v>
      </c>
      <c r="B82" s="857"/>
      <c r="C82" s="234">
        <v>0</v>
      </c>
      <c r="D82" s="234">
        <v>0</v>
      </c>
      <c r="E82" s="234"/>
      <c r="F82" s="109">
        <f>SUM(C82:E82)</f>
        <v>0</v>
      </c>
      <c r="G82" s="272"/>
      <c r="H82" s="273"/>
      <c r="I82" s="15"/>
      <c r="J82" s="2"/>
      <c r="K82" s="2"/>
      <c r="L82" s="2"/>
      <c r="M82" s="20"/>
      <c r="N82" s="19"/>
      <c r="O82" s="19"/>
      <c r="P82" s="19"/>
      <c r="Q82" s="19"/>
    </row>
    <row r="83" spans="1:17">
      <c r="A83" s="854" t="s">
        <v>612</v>
      </c>
      <c r="B83" s="855"/>
      <c r="C83" s="233">
        <v>2</v>
      </c>
      <c r="D83" s="233">
        <v>0</v>
      </c>
      <c r="E83" s="233"/>
      <c r="F83" s="107">
        <f>SUM(C83:E83)</f>
        <v>2</v>
      </c>
      <c r="G83" s="259"/>
      <c r="H83" s="271"/>
      <c r="I83" s="271"/>
      <c r="J83" s="2"/>
      <c r="K83" s="2"/>
      <c r="L83" s="2"/>
      <c r="M83" s="20"/>
      <c r="N83" s="19"/>
      <c r="O83" s="19"/>
      <c r="P83" s="19"/>
      <c r="Q83" s="19"/>
    </row>
    <row r="84" spans="1:17" ht="15.75" thickBot="1">
      <c r="A84" s="856" t="s">
        <v>613</v>
      </c>
      <c r="B84" s="857"/>
      <c r="C84" s="234">
        <v>2</v>
      </c>
      <c r="D84" s="234">
        <v>1</v>
      </c>
      <c r="E84" s="234"/>
      <c r="F84" s="109">
        <f>SUM(C84:E84)</f>
        <v>3</v>
      </c>
      <c r="G84" s="259"/>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101" t="s">
        <v>399</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547" t="s">
        <v>385</v>
      </c>
      <c r="B89" s="349" t="s">
        <v>262</v>
      </c>
      <c r="C89" s="349" t="s">
        <v>263</v>
      </c>
      <c r="D89" s="111" t="s">
        <v>264</v>
      </c>
      <c r="E89" s="15"/>
      <c r="F89" s="15"/>
      <c r="G89" s="15"/>
      <c r="H89" s="273"/>
      <c r="I89" s="2"/>
      <c r="J89" s="2"/>
      <c r="K89" s="2"/>
      <c r="L89" s="2"/>
      <c r="M89" s="19"/>
      <c r="N89" s="19"/>
      <c r="O89" s="19"/>
    </row>
    <row r="90" spans="1:17" ht="15.75" thickBot="1">
      <c r="A90" s="398" t="s">
        <v>576</v>
      </c>
      <c r="B90" s="511">
        <v>7</v>
      </c>
      <c r="C90" s="511">
        <v>7</v>
      </c>
      <c r="D90" s="512">
        <f>B90-C90</f>
        <v>0</v>
      </c>
      <c r="E90" s="15"/>
      <c r="F90" s="15"/>
      <c r="G90" s="15"/>
      <c r="H90" s="273"/>
      <c r="I90" s="2"/>
      <c r="J90" s="2"/>
      <c r="K90" s="2"/>
      <c r="L90" s="2"/>
      <c r="M90" s="19"/>
      <c r="N90" s="19"/>
      <c r="O90" s="19"/>
    </row>
    <row r="91" spans="1:17" ht="15.75" thickBot="1">
      <c r="A91" s="398" t="s">
        <v>246</v>
      </c>
      <c r="B91" s="298">
        <v>4</v>
      </c>
      <c r="C91" s="298">
        <v>4</v>
      </c>
      <c r="D91" s="299">
        <f>+B91-C91</f>
        <v>0</v>
      </c>
      <c r="E91" s="238"/>
      <c r="F91" s="243"/>
      <c r="G91" s="15"/>
      <c r="H91" s="271"/>
      <c r="I91" s="2"/>
      <c r="J91" s="2"/>
      <c r="K91" s="2"/>
      <c r="L91" s="2"/>
      <c r="M91" s="19"/>
      <c r="N91" s="19"/>
      <c r="O91" s="19"/>
    </row>
    <row r="92" spans="1:17">
      <c r="A92" s="2"/>
      <c r="B92" s="370"/>
      <c r="C92" s="370"/>
      <c r="D92" s="370"/>
      <c r="E92" s="2"/>
      <c r="F92" s="2"/>
      <c r="G92" s="2"/>
      <c r="H92" s="2"/>
      <c r="I92" s="2"/>
      <c r="J92" s="2"/>
      <c r="K92" s="2"/>
      <c r="L92" s="2"/>
      <c r="M92" s="19"/>
      <c r="N92" s="19"/>
      <c r="O92" s="19"/>
    </row>
    <row r="93" spans="1:17" ht="18.75">
      <c r="A93" s="101" t="s">
        <v>369</v>
      </c>
      <c r="B93" s="2"/>
      <c r="C93" s="2"/>
      <c r="D93" s="2"/>
      <c r="E93" s="2"/>
      <c r="F93" s="2"/>
      <c r="G93" s="2"/>
      <c r="H93" s="2"/>
      <c r="I93" s="2"/>
      <c r="J93" s="2"/>
      <c r="K93" s="2"/>
      <c r="L93" s="2"/>
      <c r="M93" s="19"/>
      <c r="N93" s="19"/>
      <c r="O93" s="19"/>
    </row>
    <row r="94" spans="1:17" ht="15.75" thickBot="1">
      <c r="A94" s="2"/>
      <c r="B94" s="2"/>
      <c r="C94" s="2"/>
      <c r="D94" s="2"/>
      <c r="E94" s="2"/>
      <c r="F94" s="2"/>
      <c r="G94" s="2"/>
      <c r="H94" s="2"/>
      <c r="I94" s="2"/>
      <c r="J94" s="2"/>
      <c r="K94" s="2"/>
      <c r="L94" s="2"/>
      <c r="M94" s="19"/>
      <c r="N94" s="19"/>
      <c r="O94" s="19"/>
    </row>
    <row r="95" spans="1:17" ht="30">
      <c r="A95" s="110"/>
      <c r="B95" s="397" t="s">
        <v>413</v>
      </c>
      <c r="C95" s="349" t="s">
        <v>414</v>
      </c>
      <c r="D95" s="349" t="s">
        <v>415</v>
      </c>
      <c r="E95" s="401" t="s">
        <v>411</v>
      </c>
      <c r="F95" s="135" t="s">
        <v>367</v>
      </c>
      <c r="G95" s="244"/>
      <c r="H95" s="273"/>
      <c r="I95" s="2"/>
      <c r="J95" s="2"/>
      <c r="K95" s="2"/>
      <c r="L95" s="2"/>
      <c r="M95" s="19"/>
      <c r="N95" s="19"/>
      <c r="O95" s="19"/>
    </row>
    <row r="96" spans="1:17" ht="15.75" thickBot="1">
      <c r="A96" s="112" t="s">
        <v>614</v>
      </c>
      <c r="B96" s="298">
        <v>42</v>
      </c>
      <c r="C96" s="511">
        <v>32</v>
      </c>
      <c r="D96" s="298">
        <v>32</v>
      </c>
      <c r="E96" s="298">
        <v>42</v>
      </c>
      <c r="F96" s="548">
        <v>32</v>
      </c>
      <c r="G96" s="274"/>
      <c r="H96" s="259"/>
      <c r="I96" s="2"/>
      <c r="J96" s="2"/>
      <c r="K96" s="2"/>
      <c r="L96" s="2"/>
      <c r="M96" s="19"/>
      <c r="N96" s="19"/>
      <c r="O96" s="19"/>
    </row>
    <row r="97" spans="1:34" ht="15.75" thickBot="1">
      <c r="A97" s="112" t="s">
        <v>615</v>
      </c>
      <c r="B97" s="298">
        <v>10</v>
      </c>
      <c r="C97" s="298">
        <v>10</v>
      </c>
      <c r="D97" s="298">
        <v>10</v>
      </c>
      <c r="E97" s="298">
        <v>10</v>
      </c>
      <c r="F97" s="300">
        <v>10</v>
      </c>
      <c r="G97" s="274"/>
      <c r="H97" s="259"/>
      <c r="I97" s="2"/>
      <c r="J97" s="2"/>
      <c r="K97" s="2"/>
      <c r="L97" s="2"/>
      <c r="M97" s="19"/>
      <c r="N97" s="19"/>
      <c r="O97" s="19"/>
    </row>
    <row r="98" spans="1:34">
      <c r="A98" s="2"/>
      <c r="B98" s="2"/>
      <c r="C98" s="2"/>
      <c r="D98" s="2"/>
      <c r="E98" s="2"/>
      <c r="F98" s="2"/>
      <c r="G98" s="2"/>
      <c r="I98" s="2"/>
      <c r="J98" s="2"/>
      <c r="K98" s="2"/>
      <c r="L98" s="2"/>
      <c r="M98" s="19"/>
      <c r="N98" s="19"/>
      <c r="O98" s="19"/>
    </row>
    <row r="99" spans="1:34" ht="18.75">
      <c r="A99" s="101" t="s">
        <v>7</v>
      </c>
      <c r="B99" s="2"/>
      <c r="C99" s="2"/>
      <c r="D99" s="2"/>
      <c r="E99" s="2"/>
      <c r="F99" s="2"/>
      <c r="G99" s="2"/>
      <c r="H99" s="2"/>
      <c r="I99" s="2"/>
      <c r="J99" s="2"/>
      <c r="K99" s="2"/>
      <c r="L99" s="2"/>
      <c r="M99" s="19"/>
      <c r="N99" s="19"/>
      <c r="O99" s="19"/>
    </row>
    <row r="100" spans="1:34" ht="15.75" thickBot="1">
      <c r="A100" s="2"/>
      <c r="B100" s="2"/>
      <c r="C100" s="2"/>
      <c r="D100" s="2"/>
      <c r="E100" s="2"/>
      <c r="F100" s="2"/>
      <c r="G100" s="2"/>
      <c r="H100" s="2"/>
      <c r="I100" s="2"/>
      <c r="J100" s="2"/>
      <c r="K100" s="2"/>
      <c r="L100" s="2"/>
      <c r="M100" s="19"/>
      <c r="N100" s="19"/>
      <c r="O100" s="19"/>
    </row>
    <row r="101" spans="1:34" ht="27.75" customHeight="1">
      <c r="A101" s="110"/>
      <c r="B101" s="355" t="s">
        <v>266</v>
      </c>
      <c r="C101" s="355" t="s">
        <v>267</v>
      </c>
      <c r="D101" s="356" t="s">
        <v>368</v>
      </c>
      <c r="E101" s="2"/>
      <c r="F101" s="2"/>
      <c r="G101" s="2"/>
      <c r="H101" s="2"/>
      <c r="I101" s="19"/>
      <c r="J101" s="19"/>
      <c r="K101" s="19"/>
      <c r="M101"/>
      <c r="N101" s="19"/>
      <c r="AE101" s="33"/>
      <c r="AH101"/>
    </row>
    <row r="102" spans="1:34" ht="27.75" customHeight="1">
      <c r="A102" s="106" t="s">
        <v>617</v>
      </c>
      <c r="B102" s="233">
        <v>2</v>
      </c>
      <c r="C102" s="235">
        <v>2</v>
      </c>
      <c r="D102" s="275">
        <v>0</v>
      </c>
      <c r="E102" s="2"/>
      <c r="F102" s="2"/>
      <c r="G102" s="2"/>
      <c r="H102" s="2"/>
      <c r="I102" s="19"/>
      <c r="J102" s="19"/>
      <c r="K102" s="19"/>
      <c r="M102"/>
      <c r="N102" s="19"/>
      <c r="AE102" s="33"/>
      <c r="AH102"/>
    </row>
    <row r="103" spans="1:34" ht="27.75" customHeight="1" thickBot="1">
      <c r="A103" s="108" t="s">
        <v>618</v>
      </c>
      <c r="B103" s="234">
        <v>40</v>
      </c>
      <c r="C103" s="549">
        <v>34</v>
      </c>
      <c r="D103" s="550">
        <v>6</v>
      </c>
      <c r="E103" s="2"/>
      <c r="F103" s="2"/>
      <c r="G103" s="2"/>
      <c r="H103" s="2"/>
      <c r="I103" s="19"/>
      <c r="J103" s="19"/>
      <c r="K103" s="19"/>
      <c r="M103"/>
      <c r="N103" s="19"/>
      <c r="AE103" s="33"/>
      <c r="AH103"/>
    </row>
    <row r="104" spans="1:34">
      <c r="A104" s="106" t="s">
        <v>616</v>
      </c>
      <c r="B104" s="233"/>
      <c r="C104" s="235"/>
      <c r="D104" s="275">
        <f>B104-C104</f>
        <v>0</v>
      </c>
      <c r="E104" s="2"/>
      <c r="F104" s="2"/>
      <c r="G104" s="2"/>
      <c r="H104" s="2"/>
      <c r="I104" s="19"/>
      <c r="J104" s="19"/>
      <c r="K104" s="19"/>
      <c r="M104"/>
      <c r="N104" s="19"/>
      <c r="AE104" s="33"/>
      <c r="AH104"/>
    </row>
    <row r="105" spans="1:34" ht="15.75" thickBot="1">
      <c r="A105" s="108" t="s">
        <v>619</v>
      </c>
      <c r="B105" s="423">
        <v>10</v>
      </c>
      <c r="C105" s="424">
        <v>10</v>
      </c>
      <c r="D105" s="275">
        <f>B105-C105</f>
        <v>0</v>
      </c>
      <c r="E105" s="2"/>
      <c r="F105" s="2"/>
      <c r="G105" s="2"/>
      <c r="H105" s="2"/>
      <c r="I105" s="19"/>
      <c r="J105" s="19"/>
      <c r="K105" s="19"/>
      <c r="M105"/>
      <c r="N105" s="19"/>
      <c r="AE105" s="33"/>
      <c r="AH105"/>
    </row>
    <row r="106" spans="1:34">
      <c r="A106" s="2"/>
      <c r="B106" s="2"/>
      <c r="C106" s="2"/>
      <c r="D106" s="2"/>
      <c r="E106" s="2"/>
      <c r="F106" s="2"/>
      <c r="G106" s="2"/>
      <c r="H106" s="2"/>
      <c r="I106" s="2"/>
      <c r="J106" s="2"/>
      <c r="K106" s="2"/>
      <c r="L106" s="2"/>
      <c r="M106" s="19"/>
      <c r="N106" s="19"/>
      <c r="O106" s="19"/>
    </row>
    <row r="107" spans="1:34" ht="18.75">
      <c r="A107" s="101" t="s">
        <v>404</v>
      </c>
      <c r="B107" s="2"/>
      <c r="C107" s="2"/>
      <c r="D107" s="2"/>
      <c r="E107" s="2"/>
      <c r="F107" s="2"/>
      <c r="G107" s="2"/>
      <c r="H107" s="2"/>
      <c r="I107" s="2"/>
      <c r="J107" s="2"/>
      <c r="K107" s="2"/>
      <c r="L107" s="2"/>
      <c r="M107" s="19"/>
      <c r="N107" s="19"/>
      <c r="O107" s="19"/>
    </row>
    <row r="108" spans="1:34" ht="15.75" thickBot="1">
      <c r="A108" s="2"/>
      <c r="B108" s="2"/>
      <c r="C108" s="2"/>
      <c r="D108" s="2"/>
      <c r="E108" s="2"/>
      <c r="F108" s="2"/>
      <c r="G108" s="2"/>
      <c r="H108" s="15"/>
      <c r="I108" s="15"/>
      <c r="J108" s="15"/>
      <c r="K108" s="15"/>
      <c r="L108" s="15"/>
      <c r="M108" s="20"/>
      <c r="N108" s="20"/>
      <c r="O108" s="20"/>
    </row>
    <row r="109" spans="1:34">
      <c r="A109" s="463"/>
      <c r="B109" s="310" t="s">
        <v>55</v>
      </c>
      <c r="C109" s="310" t="s">
        <v>56</v>
      </c>
      <c r="D109" s="310" t="s">
        <v>57</v>
      </c>
      <c r="E109" s="310" t="s">
        <v>58</v>
      </c>
      <c r="F109" s="310" t="s">
        <v>65</v>
      </c>
      <c r="G109" s="310" t="s">
        <v>66</v>
      </c>
      <c r="H109" s="310" t="s">
        <v>67</v>
      </c>
      <c r="I109" s="310" t="s">
        <v>68</v>
      </c>
      <c r="J109" s="310" t="s">
        <v>69</v>
      </c>
      <c r="K109" s="310" t="s">
        <v>70</v>
      </c>
      <c r="L109" s="310" t="s">
        <v>71</v>
      </c>
      <c r="M109" s="311" t="s">
        <v>78</v>
      </c>
      <c r="N109" s="20"/>
      <c r="O109" s="20"/>
    </row>
    <row r="110" spans="1:34" ht="15" customHeight="1">
      <c r="A110" s="464" t="s">
        <v>442</v>
      </c>
      <c r="B110" s="301">
        <v>68288.95</v>
      </c>
      <c r="C110" s="301">
        <v>6219002.4738936163</v>
      </c>
      <c r="D110" s="301"/>
      <c r="E110" s="301"/>
      <c r="F110" s="301"/>
      <c r="G110" s="301"/>
      <c r="H110" s="301"/>
      <c r="I110" s="301"/>
      <c r="J110" s="301"/>
      <c r="K110" s="301"/>
      <c r="L110" s="301"/>
      <c r="M110" s="301"/>
      <c r="N110" s="20"/>
      <c r="O110" s="20"/>
    </row>
    <row r="111" spans="1:34" ht="15" customHeight="1">
      <c r="A111" s="464" t="s">
        <v>331</v>
      </c>
      <c r="B111" s="301">
        <v>3286506.8408695655</v>
      </c>
      <c r="C111" s="301">
        <v>2290937.1599999997</v>
      </c>
      <c r="D111" s="485"/>
      <c r="E111" s="301"/>
      <c r="F111" s="301"/>
      <c r="G111" s="301"/>
      <c r="H111" s="301"/>
      <c r="I111" s="301"/>
      <c r="J111" s="301"/>
      <c r="K111" s="301"/>
      <c r="L111" s="301"/>
      <c r="M111" s="301"/>
      <c r="N111" s="20"/>
      <c r="O111" s="20"/>
    </row>
    <row r="112" spans="1:34" ht="15" customHeight="1">
      <c r="A112" s="464" t="s">
        <v>268</v>
      </c>
      <c r="B112" s="301">
        <v>68288.95</v>
      </c>
      <c r="C112" s="301">
        <v>1722880</v>
      </c>
      <c r="D112" s="301"/>
      <c r="E112" s="301"/>
      <c r="F112" s="301"/>
      <c r="G112" s="301"/>
      <c r="H112" s="301"/>
      <c r="I112" s="301"/>
      <c r="J112" s="301"/>
      <c r="K112" s="301"/>
      <c r="L112" s="301"/>
      <c r="M112" s="301"/>
      <c r="N112" s="20"/>
      <c r="O112" s="20"/>
    </row>
    <row r="113" spans="1:35" ht="15" customHeight="1">
      <c r="A113" s="465" t="s">
        <v>370</v>
      </c>
      <c r="B113" s="302">
        <f>+B110</f>
        <v>68288.95</v>
      </c>
      <c r="C113" s="302">
        <f>+C110+B110</f>
        <v>6287291.4238936165</v>
      </c>
      <c r="D113" s="302"/>
      <c r="E113" s="302"/>
      <c r="F113" s="302"/>
      <c r="G113" s="302"/>
      <c r="H113" s="302"/>
      <c r="I113" s="302"/>
      <c r="J113" s="302"/>
      <c r="K113" s="302"/>
      <c r="L113" s="302"/>
      <c r="M113" s="302"/>
      <c r="N113" s="20"/>
      <c r="O113" s="20"/>
    </row>
    <row r="114" spans="1:35" ht="15" customHeight="1">
      <c r="A114" s="465" t="s">
        <v>332</v>
      </c>
      <c r="B114" s="302">
        <f>+B111</f>
        <v>3286506.8408695655</v>
      </c>
      <c r="C114" s="302">
        <f>+C111+B111</f>
        <v>5577444.0008695647</v>
      </c>
      <c r="D114" s="302"/>
      <c r="E114" s="302"/>
      <c r="F114" s="302"/>
      <c r="G114" s="302"/>
      <c r="H114" s="302"/>
      <c r="I114" s="302"/>
      <c r="J114" s="302"/>
      <c r="K114" s="302"/>
      <c r="L114" s="302"/>
      <c r="M114" s="302"/>
      <c r="N114" s="20"/>
      <c r="O114" s="20"/>
    </row>
    <row r="115" spans="1:35">
      <c r="A115" s="466" t="s">
        <v>333</v>
      </c>
      <c r="B115" s="303">
        <f>+B112</f>
        <v>68288.95</v>
      </c>
      <c r="C115" s="303">
        <f>+C112+B112</f>
        <v>1791168.95</v>
      </c>
      <c r="D115" s="302"/>
      <c r="E115" s="302"/>
      <c r="F115" s="302"/>
      <c r="G115" s="302"/>
      <c r="H115" s="302"/>
      <c r="I115" s="302"/>
      <c r="J115" s="302"/>
      <c r="K115" s="302"/>
      <c r="L115" s="302"/>
      <c r="M115" s="302"/>
      <c r="N115" s="20"/>
      <c r="O115" s="20"/>
    </row>
    <row r="116" spans="1:35">
      <c r="A116" s="3"/>
      <c r="B116" s="2"/>
      <c r="C116" s="2"/>
      <c r="D116" s="2"/>
      <c r="E116" s="2"/>
      <c r="F116" s="2"/>
      <c r="G116" s="2"/>
      <c r="H116" s="15"/>
      <c r="I116" s="113"/>
      <c r="J116" s="114"/>
      <c r="K116" s="15"/>
      <c r="L116" s="115"/>
      <c r="M116" s="20"/>
      <c r="N116" s="20"/>
      <c r="O116" s="20"/>
    </row>
    <row r="117" spans="1:35">
      <c r="A117" s="2" t="s">
        <v>406</v>
      </c>
      <c r="B117" s="2"/>
      <c r="C117" s="2"/>
      <c r="D117" s="2"/>
      <c r="E117" s="2"/>
      <c r="F117" s="2"/>
      <c r="G117" s="2"/>
      <c r="H117" s="15"/>
      <c r="I117" s="113"/>
      <c r="J117" s="114"/>
      <c r="K117" s="15"/>
      <c r="L117" s="115"/>
      <c r="M117" s="20"/>
      <c r="N117" s="20"/>
      <c r="O117" s="20"/>
    </row>
    <row r="118" spans="1:35">
      <c r="B118" s="2"/>
      <c r="C118" s="2"/>
      <c r="D118" s="2"/>
      <c r="E118" s="2"/>
      <c r="F118" s="2"/>
      <c r="G118" s="2"/>
      <c r="H118" s="15"/>
      <c r="I118" s="113"/>
      <c r="J118" s="115"/>
      <c r="K118" s="15"/>
      <c r="L118" s="115"/>
      <c r="M118" s="20"/>
      <c r="N118" s="20"/>
      <c r="O118" s="20"/>
    </row>
    <row r="119" spans="1:35">
      <c r="A119" s="3"/>
      <c r="B119" s="3"/>
      <c r="C119" s="3"/>
      <c r="D119" s="3"/>
      <c r="E119" s="3"/>
      <c r="F119" s="3"/>
      <c r="G119" s="3"/>
      <c r="H119" s="15"/>
      <c r="I119" s="15"/>
      <c r="J119" s="15"/>
      <c r="K119" s="15"/>
      <c r="L119" s="15"/>
      <c r="M119" s="20"/>
      <c r="N119" s="20"/>
      <c r="O119" s="20"/>
    </row>
    <row r="120" spans="1:35" ht="19.5" thickBot="1">
      <c r="A120" s="101" t="s">
        <v>371</v>
      </c>
      <c r="B120" s="3"/>
      <c r="C120" s="3"/>
      <c r="D120" s="3"/>
      <c r="E120" s="3"/>
      <c r="F120" s="3"/>
      <c r="G120" s="3"/>
      <c r="H120" s="15"/>
      <c r="I120" s="15"/>
      <c r="J120" s="15"/>
      <c r="K120" s="15"/>
      <c r="L120" s="15"/>
      <c r="M120" s="20"/>
      <c r="N120" s="20"/>
      <c r="O120" s="20"/>
    </row>
    <row r="121" spans="1:35" ht="127.5">
      <c r="A121" s="574" t="s">
        <v>269</v>
      </c>
      <c r="B121" s="575" t="s">
        <v>457</v>
      </c>
      <c r="C121" s="576" t="s">
        <v>372</v>
      </c>
      <c r="D121" s="576" t="s">
        <v>345</v>
      </c>
      <c r="E121" s="577" t="s">
        <v>3</v>
      </c>
      <c r="F121" s="578" t="s">
        <v>352</v>
      </c>
      <c r="G121" s="579" t="s">
        <v>373</v>
      </c>
      <c r="H121" s="576" t="s">
        <v>375</v>
      </c>
      <c r="I121" s="576" t="s">
        <v>376</v>
      </c>
      <c r="J121" s="580" t="s">
        <v>377</v>
      </c>
      <c r="K121" s="2"/>
      <c r="L121" s="20"/>
      <c r="M121" s="20"/>
      <c r="N121" s="20"/>
      <c r="O121" s="19"/>
      <c r="Q121" s="20"/>
      <c r="AF121"/>
      <c r="AI121" s="33"/>
    </row>
    <row r="122" spans="1:35">
      <c r="A122" s="794" t="s">
        <v>244</v>
      </c>
      <c r="B122" s="622" t="s">
        <v>44</v>
      </c>
      <c r="C122" s="621">
        <v>1</v>
      </c>
      <c r="D122" s="620">
        <v>30</v>
      </c>
      <c r="E122" s="619">
        <v>439</v>
      </c>
      <c r="F122" s="618">
        <v>13170</v>
      </c>
      <c r="G122" s="617">
        <v>74850</v>
      </c>
      <c r="H122" s="616">
        <v>5.6833712984054667</v>
      </c>
      <c r="I122" s="621">
        <v>3</v>
      </c>
      <c r="J122" s="615">
        <v>2.6833712984054667</v>
      </c>
      <c r="K122" s="2"/>
      <c r="L122" s="20"/>
      <c r="M122" s="20"/>
      <c r="N122" s="20"/>
      <c r="O122" s="19"/>
      <c r="Q122" s="20"/>
      <c r="AF122"/>
      <c r="AI122" s="33"/>
    </row>
    <row r="123" spans="1:35">
      <c r="A123" s="794"/>
      <c r="B123" s="622" t="s">
        <v>430</v>
      </c>
      <c r="C123" s="621">
        <v>2</v>
      </c>
      <c r="D123" s="620">
        <v>60</v>
      </c>
      <c r="E123" s="619">
        <v>391</v>
      </c>
      <c r="F123" s="618">
        <v>23460</v>
      </c>
      <c r="G123" s="617">
        <v>65057</v>
      </c>
      <c r="H123" s="616">
        <v>2.7731031543052005</v>
      </c>
      <c r="I123" s="621">
        <v>3</v>
      </c>
      <c r="J123" s="615">
        <v>-0.22689684569479951</v>
      </c>
      <c r="K123" s="2"/>
      <c r="L123" s="20"/>
      <c r="M123" s="20"/>
      <c r="N123" s="20"/>
      <c r="O123" s="19"/>
      <c r="Q123" s="20"/>
      <c r="AF123"/>
      <c r="AI123" s="33"/>
    </row>
    <row r="124" spans="1:35">
      <c r="A124" s="794"/>
      <c r="B124" s="622" t="s">
        <v>39</v>
      </c>
      <c r="C124" s="621">
        <v>2</v>
      </c>
      <c r="D124" s="620">
        <v>60</v>
      </c>
      <c r="E124" s="619">
        <v>126</v>
      </c>
      <c r="F124" s="618">
        <v>7560</v>
      </c>
      <c r="G124" s="617">
        <v>54065</v>
      </c>
      <c r="H124" s="616">
        <v>7.1514550264550261</v>
      </c>
      <c r="I124" s="621">
        <v>3</v>
      </c>
      <c r="J124" s="615">
        <v>4.1514550264550261</v>
      </c>
      <c r="K124" s="2"/>
      <c r="L124" s="20"/>
      <c r="M124" s="20"/>
      <c r="N124" s="20"/>
      <c r="O124" s="19"/>
      <c r="Q124" s="20"/>
      <c r="AF124"/>
      <c r="AI124" s="33"/>
    </row>
    <row r="125" spans="1:35">
      <c r="A125" s="794"/>
      <c r="B125" s="622" t="s">
        <v>42</v>
      </c>
      <c r="C125" s="621">
        <v>2</v>
      </c>
      <c r="D125" s="620">
        <v>60</v>
      </c>
      <c r="E125" s="619">
        <v>9</v>
      </c>
      <c r="F125" s="618">
        <v>540</v>
      </c>
      <c r="G125" s="617">
        <v>4225</v>
      </c>
      <c r="H125" s="616">
        <v>7.8240740740740744</v>
      </c>
      <c r="I125" s="621">
        <v>3</v>
      </c>
      <c r="J125" s="615">
        <v>4.8240740740740744</v>
      </c>
      <c r="K125" s="2"/>
      <c r="L125" s="20"/>
      <c r="M125" s="20"/>
      <c r="N125" s="20"/>
      <c r="O125" s="19"/>
      <c r="Q125" s="20"/>
      <c r="AF125"/>
      <c r="AI125" s="33"/>
    </row>
    <row r="126" spans="1:35">
      <c r="A126" s="795" t="s">
        <v>246</v>
      </c>
      <c r="B126" s="628" t="s">
        <v>629</v>
      </c>
      <c r="C126" s="614">
        <v>1</v>
      </c>
      <c r="D126" s="627">
        <v>26</v>
      </c>
      <c r="E126" s="626">
        <v>578</v>
      </c>
      <c r="F126" s="625">
        <f t="shared" ref="F126:F141" si="1">C126*D126*E126</f>
        <v>15028</v>
      </c>
      <c r="G126" s="626">
        <v>44855</v>
      </c>
      <c r="H126" s="624">
        <f t="shared" ref="H126:H141" si="2">G126/F126</f>
        <v>2.9847617780143731</v>
      </c>
      <c r="I126" s="621">
        <v>3</v>
      </c>
      <c r="J126" s="623">
        <f t="shared" ref="J126:J141" si="3">H126-I126</f>
        <v>-1.5238221985626854E-2</v>
      </c>
      <c r="K126" s="2"/>
      <c r="L126" s="20"/>
      <c r="M126" s="20"/>
      <c r="N126" s="20"/>
      <c r="O126" s="19"/>
      <c r="Q126" s="20"/>
      <c r="AF126"/>
      <c r="AI126" s="33"/>
    </row>
    <row r="127" spans="1:35">
      <c r="A127" s="795"/>
      <c r="B127" s="474" t="s">
        <v>630</v>
      </c>
      <c r="C127" s="581">
        <v>1</v>
      </c>
      <c r="D127" s="582">
        <v>26</v>
      </c>
      <c r="E127" s="586">
        <v>301</v>
      </c>
      <c r="F127" s="583">
        <f t="shared" si="1"/>
        <v>7826</v>
      </c>
      <c r="G127" s="586">
        <v>25611</v>
      </c>
      <c r="H127" s="584">
        <f t="shared" si="2"/>
        <v>3.2725530283669819</v>
      </c>
      <c r="I127" s="621">
        <v>3</v>
      </c>
      <c r="J127" s="585">
        <f t="shared" si="3"/>
        <v>0.27255302836698192</v>
      </c>
      <c r="K127" s="2"/>
      <c r="L127" s="20"/>
      <c r="M127" s="20"/>
      <c r="N127" s="20"/>
      <c r="O127" s="19"/>
      <c r="Q127" s="20"/>
      <c r="AF127"/>
      <c r="AI127" s="33"/>
    </row>
    <row r="128" spans="1:35">
      <c r="A128" s="795"/>
      <c r="B128" s="474" t="s">
        <v>631</v>
      </c>
      <c r="C128" s="581">
        <v>3</v>
      </c>
      <c r="D128" s="582">
        <v>30</v>
      </c>
      <c r="E128" s="586">
        <v>52</v>
      </c>
      <c r="F128" s="583">
        <f t="shared" si="1"/>
        <v>4680</v>
      </c>
      <c r="G128" s="586">
        <v>24000</v>
      </c>
      <c r="H128" s="584">
        <f t="shared" si="2"/>
        <v>5.1282051282051286</v>
      </c>
      <c r="I128" s="621">
        <v>3</v>
      </c>
      <c r="J128" s="585">
        <f t="shared" si="3"/>
        <v>2.1282051282051286</v>
      </c>
      <c r="K128" s="2"/>
      <c r="L128" s="20"/>
      <c r="M128" s="20"/>
      <c r="N128" s="20"/>
      <c r="O128" s="19"/>
      <c r="Q128" s="20"/>
      <c r="AF128"/>
      <c r="AI128" s="33"/>
    </row>
    <row r="129" spans="1:35">
      <c r="A129" s="795"/>
      <c r="B129" s="474" t="s">
        <v>632</v>
      </c>
      <c r="C129" s="581">
        <v>3</v>
      </c>
      <c r="D129" s="582">
        <v>30</v>
      </c>
      <c r="E129" s="586">
        <v>1301</v>
      </c>
      <c r="F129" s="583">
        <f t="shared" si="1"/>
        <v>117090</v>
      </c>
      <c r="G129" s="586">
        <v>476249</v>
      </c>
      <c r="H129" s="584">
        <f t="shared" si="2"/>
        <v>4.0673755231018873</v>
      </c>
      <c r="I129" s="621">
        <v>3</v>
      </c>
      <c r="J129" s="585">
        <f t="shared" si="3"/>
        <v>1.0673755231018873</v>
      </c>
      <c r="K129" s="2"/>
      <c r="L129" s="20"/>
      <c r="M129" s="20"/>
      <c r="N129" s="20"/>
      <c r="O129" s="19"/>
      <c r="Q129" s="20"/>
      <c r="AF129"/>
      <c r="AI129" s="33"/>
    </row>
    <row r="130" spans="1:35">
      <c r="A130" s="795"/>
      <c r="B130" s="474" t="s">
        <v>633</v>
      </c>
      <c r="C130" s="581">
        <v>4</v>
      </c>
      <c r="D130" s="582">
        <v>30</v>
      </c>
      <c r="E130" s="586">
        <v>470</v>
      </c>
      <c r="F130" s="583">
        <f t="shared" si="1"/>
        <v>56400</v>
      </c>
      <c r="G130" s="586">
        <v>238631</v>
      </c>
      <c r="H130" s="584">
        <f t="shared" si="2"/>
        <v>4.2310460992907801</v>
      </c>
      <c r="I130" s="621">
        <v>3</v>
      </c>
      <c r="J130" s="585">
        <f t="shared" si="3"/>
        <v>1.2310460992907801</v>
      </c>
      <c r="K130" s="2"/>
      <c r="L130" s="20"/>
      <c r="M130" s="20"/>
      <c r="N130" s="20"/>
      <c r="O130" s="19"/>
      <c r="Q130" s="20"/>
      <c r="AF130"/>
      <c r="AI130" s="33"/>
    </row>
    <row r="131" spans="1:35">
      <c r="A131" s="795"/>
      <c r="B131" s="474" t="s">
        <v>634</v>
      </c>
      <c r="C131" s="581">
        <v>2</v>
      </c>
      <c r="D131" s="582">
        <v>30</v>
      </c>
      <c r="E131" s="586">
        <v>72</v>
      </c>
      <c r="F131" s="583">
        <f t="shared" si="1"/>
        <v>4320</v>
      </c>
      <c r="G131" s="586">
        <v>31133</v>
      </c>
      <c r="H131" s="584">
        <f t="shared" si="2"/>
        <v>7.2067129629629632</v>
      </c>
      <c r="I131" s="621">
        <v>3</v>
      </c>
      <c r="J131" s="585">
        <f t="shared" si="3"/>
        <v>4.2067129629629632</v>
      </c>
      <c r="K131" s="2"/>
      <c r="L131" s="20"/>
      <c r="M131" s="20"/>
      <c r="N131" s="20"/>
      <c r="O131" s="19"/>
      <c r="Q131" s="20"/>
      <c r="AF131"/>
      <c r="AI131" s="33"/>
    </row>
    <row r="132" spans="1:35">
      <c r="A132" s="795"/>
      <c r="B132" s="474" t="s">
        <v>635</v>
      </c>
      <c r="C132" s="581">
        <v>4</v>
      </c>
      <c r="D132" s="582">
        <v>30</v>
      </c>
      <c r="E132" s="586">
        <v>1512</v>
      </c>
      <c r="F132" s="583">
        <f t="shared" si="1"/>
        <v>181440</v>
      </c>
      <c r="G132" s="586">
        <v>417104</v>
      </c>
      <c r="H132" s="584">
        <f t="shared" si="2"/>
        <v>2.2988536155202821</v>
      </c>
      <c r="I132" s="621">
        <v>3</v>
      </c>
      <c r="J132" s="585">
        <f t="shared" si="3"/>
        <v>-0.70114638447971789</v>
      </c>
      <c r="K132" s="2"/>
      <c r="L132" s="20"/>
      <c r="M132" s="20"/>
      <c r="N132" s="20"/>
      <c r="O132" s="19"/>
      <c r="Q132" s="20"/>
      <c r="AF132"/>
      <c r="AI132" s="33"/>
    </row>
    <row r="133" spans="1:35">
      <c r="A133" s="795"/>
      <c r="B133" s="474" t="s">
        <v>636</v>
      </c>
      <c r="C133" s="581">
        <v>1</v>
      </c>
      <c r="D133" s="582">
        <v>30</v>
      </c>
      <c r="E133" s="586">
        <v>155</v>
      </c>
      <c r="F133" s="583">
        <f t="shared" si="1"/>
        <v>4650</v>
      </c>
      <c r="G133" s="586">
        <v>28914</v>
      </c>
      <c r="H133" s="584">
        <f t="shared" si="2"/>
        <v>6.218064516129032</v>
      </c>
      <c r="I133" s="621">
        <v>3</v>
      </c>
      <c r="J133" s="585">
        <f t="shared" si="3"/>
        <v>3.218064516129032</v>
      </c>
      <c r="K133" s="2"/>
      <c r="L133" s="20"/>
      <c r="M133" s="20"/>
      <c r="N133" s="20"/>
      <c r="O133" s="19"/>
      <c r="Q133" s="20"/>
      <c r="AF133"/>
      <c r="AI133" s="33"/>
    </row>
    <row r="134" spans="1:35">
      <c r="A134" s="795"/>
      <c r="B134" s="475" t="s">
        <v>637</v>
      </c>
      <c r="C134" s="581">
        <v>2</v>
      </c>
      <c r="D134" s="582">
        <v>30</v>
      </c>
      <c r="E134" s="586">
        <v>1031</v>
      </c>
      <c r="F134" s="583">
        <f t="shared" si="1"/>
        <v>61860</v>
      </c>
      <c r="G134" s="586">
        <v>408776</v>
      </c>
      <c r="H134" s="584">
        <f t="shared" si="2"/>
        <v>6.6080827675396057</v>
      </c>
      <c r="I134" s="621">
        <v>3</v>
      </c>
      <c r="J134" s="585">
        <f t="shared" si="3"/>
        <v>3.6080827675396057</v>
      </c>
      <c r="K134" s="2"/>
      <c r="L134" s="20"/>
      <c r="M134" s="20"/>
      <c r="N134" s="20"/>
      <c r="O134" s="19"/>
      <c r="Q134" s="20"/>
      <c r="AF134"/>
      <c r="AI134" s="33"/>
    </row>
    <row r="135" spans="1:35">
      <c r="A135" s="795"/>
      <c r="B135" s="475" t="s">
        <v>638</v>
      </c>
      <c r="C135" s="581">
        <v>3</v>
      </c>
      <c r="D135" s="582">
        <v>30</v>
      </c>
      <c r="E135" s="587">
        <v>1307</v>
      </c>
      <c r="F135" s="588">
        <f t="shared" si="1"/>
        <v>117630</v>
      </c>
      <c r="G135" s="587">
        <v>767607</v>
      </c>
      <c r="H135" s="589">
        <f t="shared" si="2"/>
        <v>6.5256057128283604</v>
      </c>
      <c r="I135" s="621">
        <v>3</v>
      </c>
      <c r="J135" s="590">
        <f t="shared" si="3"/>
        <v>3.5256057128283604</v>
      </c>
      <c r="K135" s="2"/>
      <c r="L135" s="20"/>
      <c r="M135" s="20"/>
      <c r="N135" s="20"/>
      <c r="O135" s="19"/>
      <c r="Q135" s="20"/>
      <c r="AF135"/>
      <c r="AI135" s="33"/>
    </row>
    <row r="136" spans="1:35">
      <c r="A136" s="795"/>
      <c r="B136" s="473" t="s">
        <v>639</v>
      </c>
      <c r="C136" s="581">
        <v>4</v>
      </c>
      <c r="D136" s="582">
        <v>30</v>
      </c>
      <c r="E136" s="591">
        <v>72</v>
      </c>
      <c r="F136" s="588">
        <f t="shared" si="1"/>
        <v>8640</v>
      </c>
      <c r="G136" s="591">
        <v>194916</v>
      </c>
      <c r="H136" s="589">
        <f t="shared" si="2"/>
        <v>22.559722222222224</v>
      </c>
      <c r="I136" s="621">
        <v>3</v>
      </c>
      <c r="J136" s="590">
        <f t="shared" si="3"/>
        <v>19.559722222222224</v>
      </c>
      <c r="K136" s="2"/>
      <c r="L136" s="20"/>
      <c r="M136" s="20"/>
      <c r="N136" s="20"/>
      <c r="O136" s="19"/>
      <c r="Q136" s="20"/>
      <c r="AF136"/>
      <c r="AI136" s="33"/>
    </row>
    <row r="137" spans="1:35">
      <c r="A137" s="796"/>
      <c r="B137" s="592" t="s">
        <v>640</v>
      </c>
      <c r="C137" s="593">
        <v>5</v>
      </c>
      <c r="D137" s="582">
        <v>30</v>
      </c>
      <c r="E137" s="594">
        <v>1012</v>
      </c>
      <c r="F137" s="595">
        <f t="shared" si="1"/>
        <v>151800</v>
      </c>
      <c r="G137" s="594">
        <v>1194975</v>
      </c>
      <c r="H137" s="589">
        <f t="shared" si="2"/>
        <v>7.8720355731225293</v>
      </c>
      <c r="I137" s="621">
        <v>3</v>
      </c>
      <c r="J137" s="590">
        <f t="shared" si="3"/>
        <v>4.8720355731225293</v>
      </c>
      <c r="K137" s="2"/>
      <c r="L137" s="20"/>
      <c r="M137" s="20"/>
      <c r="N137" s="20"/>
      <c r="O137" s="19"/>
      <c r="Q137" s="20"/>
      <c r="AF137"/>
      <c r="AI137" s="33"/>
    </row>
    <row r="138" spans="1:35">
      <c r="A138" s="796"/>
      <c r="B138" s="592" t="s">
        <v>641</v>
      </c>
      <c r="C138" s="593">
        <v>2</v>
      </c>
      <c r="D138" s="582">
        <v>30</v>
      </c>
      <c r="E138" s="594">
        <v>197</v>
      </c>
      <c r="F138" s="595">
        <f t="shared" si="1"/>
        <v>11820</v>
      </c>
      <c r="G138" s="594">
        <v>35548</v>
      </c>
      <c r="H138" s="589">
        <f t="shared" si="2"/>
        <v>3.0074450084602371</v>
      </c>
      <c r="I138" s="621">
        <v>3</v>
      </c>
      <c r="J138" s="590">
        <f t="shared" si="3"/>
        <v>7.4450084602371014E-3</v>
      </c>
      <c r="K138" s="2"/>
      <c r="L138" s="20"/>
      <c r="M138" s="20"/>
      <c r="N138" s="20"/>
      <c r="O138" s="19"/>
      <c r="Q138" s="20"/>
      <c r="AF138"/>
      <c r="AI138" s="33"/>
    </row>
    <row r="139" spans="1:35">
      <c r="A139" s="796"/>
      <c r="B139" s="592" t="s">
        <v>642</v>
      </c>
      <c r="C139" s="593">
        <v>4</v>
      </c>
      <c r="D139" s="582">
        <v>30</v>
      </c>
      <c r="E139" s="594">
        <v>14</v>
      </c>
      <c r="F139" s="595">
        <f t="shared" si="1"/>
        <v>1680</v>
      </c>
      <c r="G139" s="594">
        <v>1116</v>
      </c>
      <c r="H139" s="589">
        <f t="shared" si="2"/>
        <v>0.66428571428571426</v>
      </c>
      <c r="I139" s="621">
        <v>3</v>
      </c>
      <c r="J139" s="590">
        <f t="shared" si="3"/>
        <v>-2.3357142857142859</v>
      </c>
      <c r="K139" s="2"/>
      <c r="L139" s="20"/>
      <c r="M139" s="20"/>
      <c r="N139" s="20"/>
      <c r="O139" s="19"/>
      <c r="Q139" s="20"/>
      <c r="AF139"/>
      <c r="AI139" s="33"/>
    </row>
    <row r="140" spans="1:35">
      <c r="A140" s="796"/>
      <c r="B140" s="592" t="s">
        <v>643</v>
      </c>
      <c r="C140" s="593">
        <v>1</v>
      </c>
      <c r="D140" s="582">
        <v>30</v>
      </c>
      <c r="E140" s="594">
        <v>31</v>
      </c>
      <c r="F140" s="595">
        <f t="shared" si="1"/>
        <v>930</v>
      </c>
      <c r="G140" s="594">
        <v>8880</v>
      </c>
      <c r="H140" s="589">
        <f t="shared" si="2"/>
        <v>9.5483870967741939</v>
      </c>
      <c r="I140" s="621">
        <v>3</v>
      </c>
      <c r="J140" s="590">
        <f t="shared" si="3"/>
        <v>6.5483870967741939</v>
      </c>
      <c r="K140" s="2"/>
      <c r="L140" s="20"/>
      <c r="M140" s="20"/>
      <c r="N140" s="20"/>
      <c r="O140" s="19"/>
      <c r="Q140" s="20"/>
      <c r="AF140"/>
      <c r="AI140" s="33"/>
    </row>
    <row r="141" spans="1:35" ht="15.75" thickBot="1">
      <c r="A141" s="797"/>
      <c r="B141" s="596" t="s">
        <v>644</v>
      </c>
      <c r="C141" s="597">
        <v>1</v>
      </c>
      <c r="D141" s="598">
        <v>26</v>
      </c>
      <c r="E141" s="599">
        <v>78</v>
      </c>
      <c r="F141" s="600">
        <f t="shared" si="1"/>
        <v>2028</v>
      </c>
      <c r="G141" s="599">
        <v>4323</v>
      </c>
      <c r="H141" s="601">
        <f t="shared" si="2"/>
        <v>2.1316568047337277</v>
      </c>
      <c r="I141" s="602">
        <v>3</v>
      </c>
      <c r="J141" s="603">
        <f t="shared" si="3"/>
        <v>-0.86834319526627235</v>
      </c>
      <c r="K141" s="2"/>
      <c r="L141" s="20"/>
      <c r="M141" s="20"/>
      <c r="N141" s="20"/>
      <c r="O141" s="19"/>
      <c r="Q141" s="20"/>
      <c r="AF141"/>
      <c r="AI141" s="33"/>
    </row>
    <row r="142" spans="1:35">
      <c r="K142" s="2"/>
      <c r="L142" s="20"/>
      <c r="M142" s="20"/>
      <c r="N142" s="20"/>
      <c r="O142" s="19"/>
      <c r="Q142" s="20"/>
      <c r="AF142"/>
      <c r="AI142" s="33"/>
    </row>
    <row r="143" spans="1:35">
      <c r="K143" s="2"/>
      <c r="L143" s="20"/>
      <c r="M143" s="20"/>
      <c r="N143" s="20"/>
      <c r="O143" s="19"/>
      <c r="AF143"/>
      <c r="AI143" s="33"/>
    </row>
    <row r="144" spans="1:35">
      <c r="K144" s="2"/>
      <c r="L144" s="20"/>
      <c r="M144" s="20"/>
      <c r="N144" s="20"/>
      <c r="O144" s="19"/>
      <c r="Q144" s="20"/>
      <c r="AF144"/>
      <c r="AI144" s="33"/>
    </row>
    <row r="145" spans="1:35">
      <c r="K145" s="2"/>
      <c r="L145" s="20"/>
      <c r="M145" s="20"/>
      <c r="N145" s="20"/>
      <c r="O145" s="19"/>
      <c r="Q145" s="20"/>
      <c r="AF145"/>
      <c r="AI145" s="33"/>
    </row>
    <row r="146" spans="1:35">
      <c r="A146" s="3"/>
      <c r="B146" s="15"/>
      <c r="C146" s="15"/>
      <c r="D146" s="15"/>
      <c r="E146" s="15"/>
      <c r="F146" s="2"/>
      <c r="G146" s="2"/>
      <c r="H146" s="2"/>
      <c r="I146" s="15"/>
      <c r="J146" s="2"/>
      <c r="K146" s="15"/>
      <c r="L146" s="15"/>
      <c r="M146" s="20"/>
      <c r="N146" s="20"/>
      <c r="O146" s="20"/>
      <c r="P146" s="19"/>
    </row>
    <row r="147" spans="1:35" ht="15.75" thickBot="1">
      <c r="A147" s="3"/>
      <c r="B147" s="3"/>
      <c r="C147" s="3"/>
      <c r="D147" s="3"/>
      <c r="E147" s="3"/>
      <c r="F147" s="2"/>
      <c r="G147" s="2"/>
      <c r="H147" s="2" t="str">
        <f>IF(AND(F147&gt;0,G147&gt;0),G147/F147,"")</f>
        <v/>
      </c>
      <c r="I147" s="3"/>
      <c r="J147" s="3"/>
      <c r="K147" s="2"/>
      <c r="L147" s="2"/>
      <c r="M147" s="20"/>
      <c r="N147" s="20"/>
      <c r="O147" s="20"/>
      <c r="P147" s="19"/>
    </row>
    <row r="148" spans="1:35" ht="19.5" thickBot="1">
      <c r="A148" s="218" t="s">
        <v>609</v>
      </c>
      <c r="B148" s="116"/>
      <c r="C148" s="116"/>
      <c r="D148" s="117"/>
      <c r="E148" s="117"/>
      <c r="F148" s="117"/>
      <c r="G148" s="228"/>
      <c r="H148" s="219"/>
      <c r="I148" s="288"/>
      <c r="J148" s="513" t="s">
        <v>353</v>
      </c>
      <c r="K148" s="514"/>
      <c r="L148" s="515"/>
      <c r="M148" s="516"/>
      <c r="N148" s="515"/>
      <c r="O148" s="517"/>
      <c r="P148" s="33"/>
    </row>
    <row r="149" spans="1:35" ht="15.75" thickBot="1">
      <c r="A149" s="3"/>
      <c r="B149" s="3"/>
      <c r="C149" s="3"/>
      <c r="D149" s="3"/>
      <c r="E149" s="3"/>
      <c r="F149" s="3"/>
      <c r="G149" s="3"/>
      <c r="H149" s="3"/>
      <c r="I149" s="3"/>
      <c r="J149" s="3"/>
      <c r="K149" s="3"/>
      <c r="L149" s="3"/>
      <c r="M149"/>
      <c r="N149"/>
      <c r="O149" s="33"/>
      <c r="P149" s="33"/>
    </row>
    <row r="150" spans="1:35" ht="25.5">
      <c r="A150" s="801" t="s">
        <v>378</v>
      </c>
      <c r="B150" s="802"/>
      <c r="C150" s="803"/>
      <c r="D150" s="280" t="s">
        <v>270</v>
      </c>
      <c r="E150" s="357" t="s">
        <v>334</v>
      </c>
      <c r="F150" s="223"/>
      <c r="G150" s="321" t="s">
        <v>55</v>
      </c>
      <c r="H150" s="546" t="s">
        <v>56</v>
      </c>
      <c r="I150" s="321" t="s">
        <v>57</v>
      </c>
      <c r="J150" s="321" t="s">
        <v>58</v>
      </c>
      <c r="K150" s="321" t="s">
        <v>65</v>
      </c>
      <c r="L150" s="321" t="s">
        <v>66</v>
      </c>
      <c r="M150" s="321" t="s">
        <v>67</v>
      </c>
      <c r="N150" s="321" t="s">
        <v>68</v>
      </c>
      <c r="O150" s="321" t="s">
        <v>69</v>
      </c>
      <c r="P150" s="321" t="s">
        <v>70</v>
      </c>
      <c r="Q150" s="322" t="s">
        <v>71</v>
      </c>
      <c r="R150" s="61"/>
    </row>
    <row r="151" spans="1:35" ht="39.75" customHeight="1">
      <c r="A151" s="804" t="s">
        <v>577</v>
      </c>
      <c r="B151" s="805"/>
      <c r="C151" s="806"/>
      <c r="D151" s="772" t="s">
        <v>578</v>
      </c>
      <c r="E151" s="791" t="s">
        <v>579</v>
      </c>
      <c r="F151" s="518" t="s">
        <v>379</v>
      </c>
      <c r="G151" s="521">
        <v>13750</v>
      </c>
      <c r="H151" s="521">
        <v>14375</v>
      </c>
      <c r="I151" s="246"/>
      <c r="J151" s="519"/>
      <c r="K151" s="519"/>
      <c r="L151" s="519"/>
      <c r="M151" s="519"/>
      <c r="N151" s="520"/>
      <c r="O151" s="521"/>
      <c r="P151" s="521"/>
      <c r="Q151" s="522"/>
      <c r="R151" s="61"/>
    </row>
    <row r="152" spans="1:35" ht="40.5" customHeight="1">
      <c r="A152" s="788"/>
      <c r="B152" s="789"/>
      <c r="C152" s="790"/>
      <c r="D152" s="772"/>
      <c r="E152" s="791"/>
      <c r="F152" s="518" t="s">
        <v>580</v>
      </c>
      <c r="G152" s="521">
        <v>14682</v>
      </c>
      <c r="H152" s="521">
        <v>15859</v>
      </c>
      <c r="I152" s="246"/>
      <c r="J152" s="519"/>
      <c r="K152" s="519"/>
      <c r="L152" s="519"/>
      <c r="M152" s="519"/>
      <c r="N152" s="520"/>
      <c r="O152" s="521"/>
      <c r="P152" s="521"/>
      <c r="Q152" s="522"/>
      <c r="R152" s="61"/>
    </row>
    <row r="153" spans="1:35" ht="42" customHeight="1">
      <c r="A153" s="784" t="s">
        <v>581</v>
      </c>
      <c r="B153" s="785"/>
      <c r="C153" s="786"/>
      <c r="D153" s="787" t="s">
        <v>578</v>
      </c>
      <c r="E153" s="768" t="s">
        <v>579</v>
      </c>
      <c r="F153" s="523" t="s">
        <v>379</v>
      </c>
      <c r="G153" s="527">
        <v>2700</v>
      </c>
      <c r="H153" s="527">
        <v>3100</v>
      </c>
      <c r="I153" s="247"/>
      <c r="J153" s="525"/>
      <c r="K153" s="525"/>
      <c r="L153" s="525"/>
      <c r="M153" s="525"/>
      <c r="N153" s="526"/>
      <c r="O153" s="527"/>
      <c r="P153" s="527"/>
      <c r="Q153" s="528"/>
      <c r="R153" s="61"/>
    </row>
    <row r="154" spans="1:35" ht="48" customHeight="1">
      <c r="A154" s="784"/>
      <c r="B154" s="785"/>
      <c r="C154" s="786"/>
      <c r="D154" s="787"/>
      <c r="E154" s="768"/>
      <c r="F154" s="523" t="s">
        <v>582</v>
      </c>
      <c r="G154" s="527">
        <v>2668</v>
      </c>
      <c r="H154" s="527">
        <v>2995</v>
      </c>
      <c r="I154" s="279"/>
      <c r="J154" s="526"/>
      <c r="K154" s="526"/>
      <c r="L154" s="526"/>
      <c r="M154" s="526"/>
      <c r="N154" s="526"/>
      <c r="O154" s="527"/>
      <c r="P154" s="527"/>
      <c r="Q154" s="528"/>
      <c r="R154" s="61"/>
    </row>
    <row r="155" spans="1:35" ht="42" customHeight="1">
      <c r="A155" s="788" t="s">
        <v>512</v>
      </c>
      <c r="B155" s="789"/>
      <c r="C155" s="790"/>
      <c r="D155" s="772" t="s">
        <v>578</v>
      </c>
      <c r="E155" s="791" t="s">
        <v>579</v>
      </c>
      <c r="F155" s="518" t="s">
        <v>379</v>
      </c>
      <c r="G155" s="521">
        <v>1410</v>
      </c>
      <c r="H155" s="521">
        <v>1480</v>
      </c>
      <c r="I155" s="519"/>
      <c r="J155" s="519"/>
      <c r="K155" s="529"/>
      <c r="L155" s="519"/>
      <c r="M155" s="519"/>
      <c r="N155" s="520"/>
      <c r="O155" s="521"/>
      <c r="P155" s="521"/>
      <c r="Q155" s="522"/>
      <c r="R155" s="61"/>
    </row>
    <row r="156" spans="1:35" ht="38.25" customHeight="1">
      <c r="A156" s="788"/>
      <c r="B156" s="789"/>
      <c r="C156" s="790"/>
      <c r="D156" s="772"/>
      <c r="E156" s="791"/>
      <c r="F156" s="518" t="s">
        <v>583</v>
      </c>
      <c r="G156" s="521">
        <v>2514</v>
      </c>
      <c r="H156" s="521">
        <v>2851</v>
      </c>
      <c r="I156" s="519"/>
      <c r="J156" s="519"/>
      <c r="K156" s="529"/>
      <c r="L156" s="519"/>
      <c r="M156" s="519"/>
      <c r="N156" s="520"/>
      <c r="O156" s="521"/>
      <c r="P156" s="521"/>
      <c r="Q156" s="522"/>
      <c r="R156" s="61"/>
    </row>
    <row r="157" spans="1:35" ht="39.75" customHeight="1">
      <c r="A157" s="784" t="s">
        <v>525</v>
      </c>
      <c r="B157" s="785"/>
      <c r="C157" s="786"/>
      <c r="D157" s="787" t="s">
        <v>578</v>
      </c>
      <c r="E157" s="768" t="s">
        <v>579</v>
      </c>
      <c r="F157" s="523" t="s">
        <v>379</v>
      </c>
      <c r="G157" s="532" t="s">
        <v>584</v>
      </c>
      <c r="H157" s="532" t="s">
        <v>652</v>
      </c>
      <c r="I157" s="530"/>
      <c r="J157" s="530"/>
      <c r="K157" s="531"/>
      <c r="L157" s="530"/>
      <c r="M157" s="531"/>
      <c r="N157" s="531"/>
      <c r="O157" s="531"/>
      <c r="P157" s="532"/>
      <c r="Q157" s="533"/>
      <c r="R157" s="61"/>
    </row>
    <row r="158" spans="1:35" ht="39.75" customHeight="1">
      <c r="A158" s="784"/>
      <c r="B158" s="785"/>
      <c r="C158" s="786"/>
      <c r="D158" s="787"/>
      <c r="E158" s="768"/>
      <c r="F158" s="523" t="s">
        <v>651</v>
      </c>
      <c r="G158" s="532" t="s">
        <v>585</v>
      </c>
      <c r="H158" s="532" t="s">
        <v>653</v>
      </c>
      <c r="I158" s="530"/>
      <c r="J158" s="530"/>
      <c r="K158" s="531"/>
      <c r="L158" s="530"/>
      <c r="M158" s="530"/>
      <c r="N158" s="531"/>
      <c r="O158" s="531"/>
      <c r="P158" s="532"/>
      <c r="Q158" s="533"/>
      <c r="R158" s="61"/>
    </row>
    <row r="159" spans="1:35" ht="39.75" customHeight="1">
      <c r="A159" s="769" t="s">
        <v>531</v>
      </c>
      <c r="B159" s="770"/>
      <c r="C159" s="771"/>
      <c r="D159" s="772" t="s">
        <v>578</v>
      </c>
      <c r="E159" s="791" t="s">
        <v>579</v>
      </c>
      <c r="F159" s="518" t="s">
        <v>379</v>
      </c>
      <c r="G159" s="536" t="s">
        <v>586</v>
      </c>
      <c r="H159" s="536" t="s">
        <v>654</v>
      </c>
      <c r="I159" s="406"/>
      <c r="J159" s="534"/>
      <c r="K159" s="534"/>
      <c r="L159" s="534"/>
      <c r="M159" s="534"/>
      <c r="N159" s="535"/>
      <c r="O159" s="536"/>
      <c r="P159" s="536"/>
      <c r="Q159" s="537"/>
      <c r="R159" s="61"/>
    </row>
    <row r="160" spans="1:35" ht="35.25" customHeight="1">
      <c r="A160" s="769"/>
      <c r="B160" s="770"/>
      <c r="C160" s="771"/>
      <c r="D160" s="772"/>
      <c r="E160" s="791"/>
      <c r="F160" s="518" t="s">
        <v>583</v>
      </c>
      <c r="G160" s="536" t="s">
        <v>587</v>
      </c>
      <c r="H160" s="536" t="s">
        <v>655</v>
      </c>
      <c r="I160" s="406"/>
      <c r="J160" s="534"/>
      <c r="K160" s="534"/>
      <c r="L160" s="534"/>
      <c r="M160" s="534"/>
      <c r="N160" s="535"/>
      <c r="O160" s="536"/>
      <c r="P160" s="536"/>
      <c r="Q160" s="537"/>
      <c r="R160" s="61"/>
    </row>
    <row r="161" spans="1:34" ht="39" customHeight="1">
      <c r="A161" s="784" t="s">
        <v>535</v>
      </c>
      <c r="B161" s="785"/>
      <c r="C161" s="786"/>
      <c r="D161" s="787" t="s">
        <v>578</v>
      </c>
      <c r="E161" s="768" t="s">
        <v>579</v>
      </c>
      <c r="F161" s="523" t="s">
        <v>379</v>
      </c>
      <c r="G161" s="532" t="s">
        <v>588</v>
      </c>
      <c r="H161" s="532" t="s">
        <v>657</v>
      </c>
      <c r="I161" s="407"/>
      <c r="J161" s="530"/>
      <c r="K161" s="530"/>
      <c r="L161" s="530"/>
      <c r="M161" s="530"/>
      <c r="N161" s="530"/>
      <c r="O161" s="532"/>
      <c r="P161" s="532"/>
      <c r="Q161" s="538"/>
      <c r="R161" s="61"/>
    </row>
    <row r="162" spans="1:34" ht="43.5" customHeight="1">
      <c r="A162" s="784"/>
      <c r="B162" s="785"/>
      <c r="C162" s="786"/>
      <c r="D162" s="787"/>
      <c r="E162" s="768"/>
      <c r="F162" s="523" t="s">
        <v>656</v>
      </c>
      <c r="G162" s="532" t="s">
        <v>589</v>
      </c>
      <c r="H162" s="532" t="s">
        <v>658</v>
      </c>
      <c r="I162" s="404"/>
      <c r="J162" s="524"/>
      <c r="K162" s="524"/>
      <c r="L162" s="524"/>
      <c r="M162" s="524"/>
      <c r="N162" s="530"/>
      <c r="O162" s="532"/>
      <c r="P162" s="532"/>
      <c r="Q162" s="538"/>
      <c r="R162" s="61"/>
    </row>
    <row r="163" spans="1:34" ht="40.5" customHeight="1">
      <c r="A163" s="769" t="s">
        <v>542</v>
      </c>
      <c r="B163" s="770"/>
      <c r="C163" s="771"/>
      <c r="D163" s="772" t="s">
        <v>590</v>
      </c>
      <c r="E163" s="791" t="s">
        <v>579</v>
      </c>
      <c r="F163" s="518" t="s">
        <v>379</v>
      </c>
      <c r="G163" s="536" t="s">
        <v>591</v>
      </c>
      <c r="H163" s="536" t="s">
        <v>659</v>
      </c>
      <c r="I163" s="406"/>
      <c r="J163" s="534"/>
      <c r="K163" s="534"/>
      <c r="L163" s="534"/>
      <c r="M163" s="534"/>
      <c r="N163" s="535"/>
      <c r="O163" s="536"/>
      <c r="P163" s="536"/>
      <c r="Q163" s="537"/>
      <c r="R163" s="61"/>
    </row>
    <row r="164" spans="1:34" ht="36.75" customHeight="1">
      <c r="A164" s="769"/>
      <c r="B164" s="770"/>
      <c r="C164" s="771"/>
      <c r="D164" s="772"/>
      <c r="E164" s="791"/>
      <c r="F164" s="518" t="s">
        <v>583</v>
      </c>
      <c r="G164" s="536" t="s">
        <v>592</v>
      </c>
      <c r="H164" s="536" t="s">
        <v>660</v>
      </c>
      <c r="I164" s="534"/>
      <c r="J164" s="534"/>
      <c r="K164" s="534"/>
      <c r="L164" s="534"/>
      <c r="M164" s="534"/>
      <c r="N164" s="535"/>
      <c r="O164" s="536"/>
      <c r="P164" s="536"/>
      <c r="Q164" s="534"/>
      <c r="R164" s="61"/>
    </row>
    <row r="165" spans="1:34" ht="36" customHeight="1">
      <c r="A165" s="784" t="s">
        <v>528</v>
      </c>
      <c r="B165" s="785"/>
      <c r="C165" s="786"/>
      <c r="D165" s="787" t="s">
        <v>590</v>
      </c>
      <c r="E165" s="768" t="s">
        <v>579</v>
      </c>
      <c r="F165" s="523" t="s">
        <v>379</v>
      </c>
      <c r="G165" s="532" t="s">
        <v>593</v>
      </c>
      <c r="H165" s="532" t="s">
        <v>662</v>
      </c>
      <c r="I165" s="524"/>
      <c r="J165" s="530"/>
      <c r="K165" s="524"/>
      <c r="L165" s="530"/>
      <c r="M165" s="524"/>
      <c r="N165" s="530"/>
      <c r="O165" s="532"/>
      <c r="P165" s="532"/>
      <c r="Q165" s="524"/>
      <c r="R165" s="61"/>
    </row>
    <row r="166" spans="1:34" ht="42.75" customHeight="1">
      <c r="A166" s="784"/>
      <c r="B166" s="785"/>
      <c r="C166" s="786"/>
      <c r="D166" s="787"/>
      <c r="E166" s="768"/>
      <c r="F166" s="523" t="s">
        <v>661</v>
      </c>
      <c r="G166" s="532" t="s">
        <v>594</v>
      </c>
      <c r="H166" s="532" t="s">
        <v>663</v>
      </c>
      <c r="I166" s="530"/>
      <c r="J166" s="530"/>
      <c r="K166" s="530"/>
      <c r="L166" s="530"/>
      <c r="M166" s="530"/>
      <c r="N166" s="530"/>
      <c r="O166" s="532"/>
      <c r="P166" s="532"/>
      <c r="Q166" s="530"/>
      <c r="R166" s="61"/>
    </row>
    <row r="167" spans="1:34" ht="36.75" customHeight="1">
      <c r="A167" s="769" t="s">
        <v>539</v>
      </c>
      <c r="B167" s="770"/>
      <c r="C167" s="771"/>
      <c r="D167" s="772" t="s">
        <v>590</v>
      </c>
      <c r="E167" s="772" t="s">
        <v>579</v>
      </c>
      <c r="F167" s="518" t="s">
        <v>379</v>
      </c>
      <c r="G167" s="536" t="s">
        <v>595</v>
      </c>
      <c r="H167" s="536" t="s">
        <v>665</v>
      </c>
      <c r="I167" s="534"/>
      <c r="J167" s="534"/>
      <c r="K167" s="534"/>
      <c r="L167" s="534"/>
      <c r="M167" s="534"/>
      <c r="N167" s="535"/>
      <c r="O167" s="536"/>
      <c r="P167" s="536"/>
      <c r="Q167" s="534"/>
      <c r="R167" s="61"/>
    </row>
    <row r="168" spans="1:34" ht="38.25" customHeight="1">
      <c r="A168" s="769"/>
      <c r="B168" s="770"/>
      <c r="C168" s="771"/>
      <c r="D168" s="772"/>
      <c r="E168" s="772"/>
      <c r="F168" s="518" t="s">
        <v>664</v>
      </c>
      <c r="G168" s="536" t="s">
        <v>596</v>
      </c>
      <c r="H168" s="536" t="s">
        <v>666</v>
      </c>
      <c r="I168" s="534"/>
      <c r="J168" s="534"/>
      <c r="K168" s="534"/>
      <c r="L168" s="534"/>
      <c r="M168" s="534"/>
      <c r="N168" s="535"/>
      <c r="O168" s="536"/>
      <c r="P168" s="536"/>
      <c r="Q168" s="534"/>
      <c r="R168" s="61"/>
    </row>
    <row r="169" spans="1:34" ht="42.75" customHeight="1">
      <c r="A169" s="784" t="s">
        <v>545</v>
      </c>
      <c r="B169" s="785"/>
      <c r="C169" s="786"/>
      <c r="D169" s="787" t="s">
        <v>590</v>
      </c>
      <c r="E169" s="768" t="s">
        <v>579</v>
      </c>
      <c r="F169" s="523" t="s">
        <v>379</v>
      </c>
      <c r="G169" s="532" t="s">
        <v>597</v>
      </c>
      <c r="H169" s="532" t="s">
        <v>668</v>
      </c>
      <c r="I169" s="530"/>
      <c r="J169" s="530"/>
      <c r="K169" s="530"/>
      <c r="L169" s="530"/>
      <c r="M169" s="530"/>
      <c r="N169" s="530"/>
      <c r="O169" s="532"/>
      <c r="P169" s="532"/>
      <c r="Q169" s="530"/>
      <c r="R169" s="61"/>
    </row>
    <row r="170" spans="1:34" ht="39.75" customHeight="1">
      <c r="A170" s="784"/>
      <c r="B170" s="785"/>
      <c r="C170" s="786"/>
      <c r="D170" s="787"/>
      <c r="E170" s="768"/>
      <c r="F170" s="523" t="s">
        <v>667</v>
      </c>
      <c r="G170" s="532" t="s">
        <v>598</v>
      </c>
      <c r="H170" s="532" t="s">
        <v>669</v>
      </c>
      <c r="I170" s="530"/>
      <c r="J170" s="530"/>
      <c r="K170" s="530"/>
      <c r="L170" s="530"/>
      <c r="M170" s="530"/>
      <c r="N170" s="530"/>
      <c r="O170" s="532"/>
      <c r="P170" s="532"/>
      <c r="Q170" s="530"/>
      <c r="R170" s="61"/>
    </row>
    <row r="171" spans="1:34" ht="18.75" customHeight="1">
      <c r="A171" s="769" t="s">
        <v>599</v>
      </c>
      <c r="B171" s="770"/>
      <c r="C171" s="771"/>
      <c r="D171" s="772" t="s">
        <v>578</v>
      </c>
      <c r="E171" s="772" t="s">
        <v>600</v>
      </c>
      <c r="F171" s="518" t="s">
        <v>379</v>
      </c>
      <c r="G171" s="539">
        <v>0.93</v>
      </c>
      <c r="H171" s="539">
        <v>0.93</v>
      </c>
      <c r="I171" s="534"/>
      <c r="J171" s="534"/>
      <c r="K171" s="534"/>
      <c r="L171" s="534"/>
      <c r="M171" s="534"/>
      <c r="N171" s="535"/>
      <c r="O171" s="539"/>
      <c r="P171" s="539"/>
      <c r="Q171" s="534"/>
      <c r="R171" s="61"/>
    </row>
    <row r="172" spans="1:34" ht="21" customHeight="1">
      <c r="A172" s="769"/>
      <c r="B172" s="770"/>
      <c r="C172" s="771"/>
      <c r="D172" s="772"/>
      <c r="E172" s="772"/>
      <c r="F172" s="518" t="s">
        <v>670</v>
      </c>
      <c r="G172" s="535" t="s">
        <v>601</v>
      </c>
      <c r="H172" s="539">
        <v>0.98</v>
      </c>
      <c r="I172" s="534"/>
      <c r="J172" s="534"/>
      <c r="K172" s="534"/>
      <c r="L172" s="534"/>
      <c r="M172" s="534"/>
      <c r="N172" s="535"/>
      <c r="O172" s="539"/>
      <c r="P172" s="535"/>
      <c r="Q172" s="534"/>
      <c r="R172" s="61"/>
    </row>
    <row r="173" spans="1:34" ht="19.5" customHeight="1">
      <c r="A173" s="784" t="s">
        <v>552</v>
      </c>
      <c r="B173" s="785"/>
      <c r="C173" s="786"/>
      <c r="D173" s="787" t="s">
        <v>590</v>
      </c>
      <c r="E173" s="768" t="s">
        <v>579</v>
      </c>
      <c r="F173" s="523" t="s">
        <v>379</v>
      </c>
      <c r="G173" s="531">
        <v>0.85</v>
      </c>
      <c r="H173" s="531">
        <v>0.88</v>
      </c>
      <c r="I173" s="530"/>
      <c r="J173" s="530"/>
      <c r="K173" s="530"/>
      <c r="L173" s="530"/>
      <c r="M173" s="530"/>
      <c r="N173" s="530"/>
      <c r="O173" s="531"/>
      <c r="P173" s="531"/>
      <c r="Q173" s="530"/>
      <c r="R173" s="61"/>
    </row>
    <row r="174" spans="1:34" ht="21" customHeight="1">
      <c r="A174" s="784"/>
      <c r="B174" s="785"/>
      <c r="C174" s="786"/>
      <c r="D174" s="787"/>
      <c r="E174" s="768"/>
      <c r="F174" s="523" t="s">
        <v>671</v>
      </c>
      <c r="G174" s="530" t="s">
        <v>602</v>
      </c>
      <c r="H174" s="531">
        <v>0.95</v>
      </c>
      <c r="I174" s="530"/>
      <c r="J174" s="530"/>
      <c r="K174" s="530"/>
      <c r="L174" s="530"/>
      <c r="M174" s="530"/>
      <c r="N174" s="530"/>
      <c r="O174" s="530"/>
      <c r="P174" s="530"/>
      <c r="Q174" s="530"/>
      <c r="R174" s="61"/>
    </row>
    <row r="175" spans="1:34" s="19" customFormat="1" ht="21" customHeight="1">
      <c r="A175" s="769" t="s">
        <v>556</v>
      </c>
      <c r="B175" s="770"/>
      <c r="C175" s="771"/>
      <c r="D175" s="772" t="s">
        <v>578</v>
      </c>
      <c r="E175" s="768" t="s">
        <v>579</v>
      </c>
      <c r="F175" s="518" t="s">
        <v>379</v>
      </c>
      <c r="G175" s="539">
        <v>0.75</v>
      </c>
      <c r="H175" s="539">
        <v>0.8</v>
      </c>
      <c r="I175" s="534"/>
      <c r="J175" s="534"/>
      <c r="K175" s="534"/>
      <c r="L175" s="534"/>
      <c r="M175" s="535"/>
      <c r="N175" s="539"/>
      <c r="O175" s="539"/>
      <c r="P175" s="539"/>
      <c r="Q175" s="534"/>
      <c r="AF175" s="20"/>
      <c r="AG175" s="20"/>
      <c r="AH175" s="20"/>
    </row>
    <row r="176" spans="1:34" ht="20.25" customHeight="1">
      <c r="A176" s="769"/>
      <c r="B176" s="770"/>
      <c r="C176" s="771"/>
      <c r="D176" s="772"/>
      <c r="E176" s="768"/>
      <c r="F176" s="518" t="s">
        <v>656</v>
      </c>
      <c r="G176" s="539" t="s">
        <v>603</v>
      </c>
      <c r="H176" s="539">
        <v>0.69</v>
      </c>
      <c r="I176" s="534"/>
      <c r="J176" s="534"/>
      <c r="K176" s="534"/>
      <c r="L176" s="534"/>
      <c r="M176" s="535"/>
      <c r="N176" s="539"/>
      <c r="O176" s="539"/>
      <c r="P176" s="539"/>
      <c r="Q176" s="534"/>
    </row>
    <row r="177" spans="1:34">
      <c r="A177" s="3"/>
      <c r="B177" s="3"/>
      <c r="C177" s="3"/>
      <c r="D177" s="3"/>
      <c r="E177" s="3"/>
      <c r="F177" s="2"/>
      <c r="G177" s="3"/>
      <c r="H177" s="3"/>
      <c r="I177" s="3"/>
      <c r="J177" s="3"/>
      <c r="K177" s="3"/>
      <c r="L177" s="3"/>
      <c r="M177" s="3"/>
      <c r="N177"/>
      <c r="P177" s="33"/>
      <c r="Q177" s="33"/>
    </row>
    <row r="178" spans="1:34" ht="16.5" thickBot="1">
      <c r="A178" s="281"/>
      <c r="B178" s="3"/>
      <c r="C178" s="3"/>
      <c r="D178" s="3"/>
      <c r="E178" s="3"/>
      <c r="F178" s="2"/>
      <c r="G178" s="3"/>
      <c r="H178" s="3"/>
      <c r="I178" s="3"/>
      <c r="J178" s="3"/>
      <c r="K178" s="3"/>
      <c r="L178" s="3"/>
      <c r="M178" s="3"/>
      <c r="N178"/>
      <c r="P178" s="33"/>
      <c r="Q178" s="33"/>
    </row>
    <row r="179" spans="1:34" ht="25.5">
      <c r="A179" s="3" t="s">
        <v>380</v>
      </c>
      <c r="B179" s="3"/>
      <c r="C179" s="3"/>
      <c r="D179" s="280" t="s">
        <v>270</v>
      </c>
      <c r="E179" s="357" t="s">
        <v>334</v>
      </c>
      <c r="F179" s="223"/>
      <c r="G179" s="321" t="s">
        <v>55</v>
      </c>
      <c r="H179" s="321" t="s">
        <v>56</v>
      </c>
      <c r="I179" s="321" t="s">
        <v>57</v>
      </c>
      <c r="J179" s="321" t="s">
        <v>58</v>
      </c>
      <c r="K179" s="321" t="s">
        <v>65</v>
      </c>
      <c r="L179" s="321" t="s">
        <v>66</v>
      </c>
      <c r="M179" s="321" t="s">
        <v>67</v>
      </c>
      <c r="N179" s="321" t="s">
        <v>68</v>
      </c>
      <c r="O179" s="321" t="s">
        <v>69</v>
      </c>
      <c r="P179" s="321" t="s">
        <v>70</v>
      </c>
      <c r="Q179" s="322" t="s">
        <v>71</v>
      </c>
      <c r="R179" s="33"/>
      <c r="S179" s="33"/>
    </row>
    <row r="180" spans="1:34">
      <c r="A180" s="773" t="str">
        <f>IF(ISBLANK(A151),"",(A151))</f>
        <v>Процент ЛУИН, охваченных программами по  профилактике ВИЧ</v>
      </c>
      <c r="B180" s="774"/>
      <c r="C180" s="775"/>
      <c r="D180" s="758" t="str">
        <f>IF(ISBLANK(D151),"",(D151))</f>
        <v>Топ 10</v>
      </c>
      <c r="E180" s="760" t="str">
        <f>IF(ISBLANK(E151),"",(E151))</f>
        <v>с текущим грантом</v>
      </c>
      <c r="F180" s="518" t="s">
        <v>379</v>
      </c>
      <c r="G180" s="540">
        <f>G151</f>
        <v>13750</v>
      </c>
      <c r="H180" s="540">
        <v>14375</v>
      </c>
      <c r="I180" s="540">
        <f t="shared" ref="I180:N182" si="4">I151</f>
        <v>0</v>
      </c>
      <c r="J180" s="540">
        <f t="shared" si="4"/>
        <v>0</v>
      </c>
      <c r="K180" s="540">
        <f t="shared" si="4"/>
        <v>0</v>
      </c>
      <c r="L180" s="540">
        <f t="shared" si="4"/>
        <v>0</v>
      </c>
      <c r="M180" s="540">
        <f t="shared" si="4"/>
        <v>0</v>
      </c>
      <c r="N180" s="541">
        <f t="shared" si="4"/>
        <v>0</v>
      </c>
      <c r="O180" s="541">
        <f t="shared" ref="O180:Q180" si="5">O151</f>
        <v>0</v>
      </c>
      <c r="P180" s="541">
        <f t="shared" si="5"/>
        <v>0</v>
      </c>
      <c r="Q180" s="541">
        <f t="shared" si="5"/>
        <v>0</v>
      </c>
      <c r="R180" s="33"/>
      <c r="S180" s="33"/>
    </row>
    <row r="181" spans="1:34" ht="15.75" thickBot="1">
      <c r="A181" s="776"/>
      <c r="B181" s="777"/>
      <c r="C181" s="778"/>
      <c r="D181" s="758"/>
      <c r="E181" s="760"/>
      <c r="F181" s="518" t="s">
        <v>580</v>
      </c>
      <c r="G181" s="540">
        <f t="shared" ref="G181:G185" si="6">G152</f>
        <v>14682</v>
      </c>
      <c r="H181" s="540">
        <v>15859</v>
      </c>
      <c r="I181" s="540">
        <f t="shared" si="4"/>
        <v>0</v>
      </c>
      <c r="J181" s="540">
        <f t="shared" si="4"/>
        <v>0</v>
      </c>
      <c r="K181" s="540">
        <f t="shared" si="4"/>
        <v>0</v>
      </c>
      <c r="L181" s="540">
        <f t="shared" si="4"/>
        <v>0</v>
      </c>
      <c r="M181" s="540">
        <f t="shared" si="4"/>
        <v>0</v>
      </c>
      <c r="N181" s="541">
        <f t="shared" si="4"/>
        <v>0</v>
      </c>
      <c r="O181" s="541">
        <f t="shared" ref="O181:Q181" si="7">O152</f>
        <v>0</v>
      </c>
      <c r="P181" s="541">
        <f t="shared" si="7"/>
        <v>0</v>
      </c>
      <c r="Q181" s="541">
        <f t="shared" si="7"/>
        <v>0</v>
      </c>
      <c r="R181" s="33"/>
      <c r="S181" s="33"/>
    </row>
    <row r="182" spans="1:34">
      <c r="A182" s="762" t="str">
        <f>IF(ISBLANK(A153),"",(A153))</f>
        <v xml:space="preserve">Процент взрослых и детей с известным ВИЧ статусом, получающих антиретровирусную терапию на данный момент </v>
      </c>
      <c r="B182" s="763"/>
      <c r="C182" s="764"/>
      <c r="D182" s="792" t="str">
        <f>IF(ISBLANK(D153),"",(D153))</f>
        <v>Топ 10</v>
      </c>
      <c r="E182" s="793" t="str">
        <f>IF(ISBLANK(E153),"",(E153))</f>
        <v>с текущим грантом</v>
      </c>
      <c r="F182" s="523" t="s">
        <v>379</v>
      </c>
      <c r="G182" s="542">
        <f t="shared" si="6"/>
        <v>2700</v>
      </c>
      <c r="H182" s="542">
        <v>3100</v>
      </c>
      <c r="I182" s="542">
        <f>I153</f>
        <v>0</v>
      </c>
      <c r="J182" s="542">
        <f t="shared" si="4"/>
        <v>0</v>
      </c>
      <c r="K182" s="542">
        <f t="shared" si="4"/>
        <v>0</v>
      </c>
      <c r="L182" s="542">
        <f t="shared" si="4"/>
        <v>0</v>
      </c>
      <c r="M182" s="542">
        <f t="shared" si="4"/>
        <v>0</v>
      </c>
      <c r="N182" s="543">
        <f t="shared" si="4"/>
        <v>0</v>
      </c>
      <c r="O182" s="543">
        <f t="shared" ref="O182:Q182" si="8">O153</f>
        <v>0</v>
      </c>
      <c r="P182" s="543">
        <f t="shared" si="8"/>
        <v>0</v>
      </c>
      <c r="Q182" s="543">
        <f t="shared" si="8"/>
        <v>0</v>
      </c>
      <c r="R182" s="33"/>
      <c r="S182" s="33"/>
    </row>
    <row r="183" spans="1:34" ht="15.75" thickBot="1">
      <c r="A183" s="765"/>
      <c r="B183" s="766"/>
      <c r="C183" s="767"/>
      <c r="D183" s="792"/>
      <c r="E183" s="793"/>
      <c r="F183" s="523" t="s">
        <v>582</v>
      </c>
      <c r="G183" s="542">
        <f t="shared" si="6"/>
        <v>2668</v>
      </c>
      <c r="H183" s="542">
        <v>2995</v>
      </c>
      <c r="I183" s="542">
        <f t="shared" ref="I183:N185" si="9">I154</f>
        <v>0</v>
      </c>
      <c r="J183" s="542">
        <f t="shared" si="9"/>
        <v>0</v>
      </c>
      <c r="K183" s="542">
        <f t="shared" si="9"/>
        <v>0</v>
      </c>
      <c r="L183" s="542">
        <f t="shared" si="9"/>
        <v>0</v>
      </c>
      <c r="M183" s="542">
        <f t="shared" si="9"/>
        <v>0</v>
      </c>
      <c r="N183" s="543">
        <f t="shared" si="9"/>
        <v>0</v>
      </c>
      <c r="O183" s="543">
        <f t="shared" ref="O183:Q183" si="10">O154</f>
        <v>0</v>
      </c>
      <c r="P183" s="543">
        <f t="shared" si="10"/>
        <v>0</v>
      </c>
      <c r="Q183" s="543">
        <f t="shared" si="10"/>
        <v>0</v>
      </c>
      <c r="R183" s="33"/>
      <c r="S183" s="33"/>
    </row>
    <row r="184" spans="1:34">
      <c r="A184" s="773" t="str">
        <f>IF(ISBLANK(A155),"",(A155))</f>
        <v xml:space="preserve">Количество ЛЖВ, находящихся на попечении общинных организаций и участвующих в программах поддержки </v>
      </c>
      <c r="B184" s="774"/>
      <c r="C184" s="775"/>
      <c r="D184" s="758" t="str">
        <f>IF(ISBLANK(D155),"",(D155))</f>
        <v>Топ 10</v>
      </c>
      <c r="E184" s="760" t="str">
        <f>IF(ISBLANK(E155),"",(E155))</f>
        <v>с текущим грантом</v>
      </c>
      <c r="F184" s="518" t="s">
        <v>379</v>
      </c>
      <c r="G184" s="540">
        <f t="shared" si="6"/>
        <v>1410</v>
      </c>
      <c r="H184" s="540">
        <v>1480</v>
      </c>
      <c r="I184" s="540">
        <f t="shared" si="9"/>
        <v>0</v>
      </c>
      <c r="J184" s="540">
        <f t="shared" si="9"/>
        <v>0</v>
      </c>
      <c r="K184" s="540">
        <f t="shared" si="9"/>
        <v>0</v>
      </c>
      <c r="L184" s="540">
        <f t="shared" si="9"/>
        <v>0</v>
      </c>
      <c r="M184" s="540">
        <f t="shared" si="9"/>
        <v>0</v>
      </c>
      <c r="N184" s="541">
        <f t="shared" si="9"/>
        <v>0</v>
      </c>
      <c r="O184" s="541">
        <f t="shared" ref="O184:Q184" si="11">O155</f>
        <v>0</v>
      </c>
      <c r="P184" s="541">
        <f t="shared" si="11"/>
        <v>0</v>
      </c>
      <c r="Q184" s="541">
        <f t="shared" si="11"/>
        <v>0</v>
      </c>
      <c r="R184" s="33"/>
      <c r="S184" s="33"/>
    </row>
    <row r="185" spans="1:34" ht="15.75" thickBot="1">
      <c r="A185" s="776"/>
      <c r="B185" s="777"/>
      <c r="C185" s="778"/>
      <c r="D185" s="759"/>
      <c r="E185" s="761"/>
      <c r="F185" s="518" t="s">
        <v>583</v>
      </c>
      <c r="G185" s="540">
        <f t="shared" si="6"/>
        <v>2514</v>
      </c>
      <c r="H185" s="540">
        <v>2851</v>
      </c>
      <c r="I185" s="544">
        <f t="shared" si="9"/>
        <v>0</v>
      </c>
      <c r="J185" s="540">
        <f t="shared" si="9"/>
        <v>0</v>
      </c>
      <c r="K185" s="540">
        <f t="shared" si="9"/>
        <v>0</v>
      </c>
      <c r="L185" s="540">
        <f t="shared" si="9"/>
        <v>0</v>
      </c>
      <c r="M185" s="540">
        <f t="shared" si="9"/>
        <v>0</v>
      </c>
      <c r="N185" s="541">
        <f t="shared" si="9"/>
        <v>0</v>
      </c>
      <c r="O185" s="541">
        <f t="shared" ref="O185:Q185" si="12">O156</f>
        <v>0</v>
      </c>
      <c r="P185" s="541">
        <f t="shared" si="12"/>
        <v>0</v>
      </c>
      <c r="Q185" s="541">
        <f t="shared" si="12"/>
        <v>0</v>
      </c>
      <c r="R185" s="33"/>
      <c r="S185" s="33"/>
    </row>
    <row r="186" spans="1:34">
      <c r="A186" s="3"/>
      <c r="B186" s="3"/>
      <c r="C186" s="3"/>
      <c r="D186" s="3"/>
      <c r="E186" s="3"/>
      <c r="F186" s="3"/>
      <c r="I186" s="3"/>
      <c r="J186" s="3"/>
      <c r="K186" s="3"/>
      <c r="M186"/>
      <c r="O186" s="33"/>
      <c r="P186" s="33"/>
      <c r="Q186" s="33"/>
    </row>
    <row r="187" spans="1:34" s="19" customFormat="1" ht="15" customHeight="1">
      <c r="A187" s="769" t="s">
        <v>604</v>
      </c>
      <c r="B187" s="770"/>
      <c r="C187" s="771"/>
      <c r="D187" s="772" t="s">
        <v>578</v>
      </c>
      <c r="E187" s="768" t="s">
        <v>579</v>
      </c>
      <c r="F187" s="518" t="s">
        <v>379</v>
      </c>
      <c r="G187" s="534">
        <v>350</v>
      </c>
      <c r="H187" s="534">
        <v>350</v>
      </c>
      <c r="I187" s="534"/>
      <c r="J187" s="534"/>
      <c r="K187" s="534"/>
      <c r="L187" s="534"/>
      <c r="M187" s="535"/>
      <c r="N187" s="539"/>
      <c r="O187" s="539"/>
      <c r="P187" s="539"/>
      <c r="Q187" s="539"/>
      <c r="AF187" s="20"/>
      <c r="AG187" s="20"/>
      <c r="AH187" s="20"/>
    </row>
    <row r="188" spans="1:34">
      <c r="A188" s="769"/>
      <c r="B188" s="770"/>
      <c r="C188" s="771"/>
      <c r="D188" s="772"/>
      <c r="E188" s="768"/>
      <c r="F188" s="518" t="s">
        <v>583</v>
      </c>
      <c r="G188" s="534">
        <v>437</v>
      </c>
      <c r="H188" s="534">
        <v>509</v>
      </c>
      <c r="I188" s="534"/>
      <c r="J188" s="534"/>
      <c r="K188" s="534"/>
      <c r="L188" s="534"/>
      <c r="M188" s="535"/>
      <c r="N188" s="539"/>
      <c r="O188" s="539"/>
      <c r="P188" s="539"/>
      <c r="Q188" s="539"/>
    </row>
    <row r="189" spans="1:34" ht="14.25" customHeight="1">
      <c r="A189" s="784" t="s">
        <v>570</v>
      </c>
      <c r="B189" s="785"/>
      <c r="C189" s="786"/>
      <c r="D189" s="787" t="s">
        <v>590</v>
      </c>
      <c r="E189" s="768" t="s">
        <v>579</v>
      </c>
      <c r="F189" s="523" t="s">
        <v>379</v>
      </c>
      <c r="G189" s="530">
        <v>20</v>
      </c>
      <c r="H189" s="530">
        <v>22</v>
      </c>
      <c r="I189" s="530"/>
      <c r="J189" s="530"/>
      <c r="K189" s="530"/>
      <c r="L189" s="530"/>
      <c r="M189" s="530"/>
      <c r="N189" s="530"/>
      <c r="O189" s="530"/>
      <c r="P189" s="530"/>
      <c r="Q189" s="530"/>
      <c r="R189" s="61"/>
    </row>
    <row r="190" spans="1:34">
      <c r="A190" s="784"/>
      <c r="B190" s="785"/>
      <c r="C190" s="786"/>
      <c r="D190" s="787"/>
      <c r="E190" s="768"/>
      <c r="F190" s="523" t="s">
        <v>672</v>
      </c>
      <c r="G190" s="530">
        <v>28</v>
      </c>
      <c r="H190" s="530">
        <v>26</v>
      </c>
      <c r="I190" s="530"/>
      <c r="J190" s="530"/>
      <c r="K190" s="530"/>
      <c r="L190" s="530"/>
      <c r="M190" s="530"/>
      <c r="N190" s="530"/>
      <c r="O190" s="530"/>
      <c r="P190" s="530"/>
      <c r="Q190" s="530"/>
      <c r="R190" s="61"/>
    </row>
    <row r="191" spans="1:34" s="19" customFormat="1" ht="15" customHeight="1">
      <c r="A191" s="769" t="s">
        <v>646</v>
      </c>
      <c r="B191" s="770"/>
      <c r="C191" s="771"/>
      <c r="D191" s="772" t="s">
        <v>578</v>
      </c>
      <c r="E191" s="768" t="s">
        <v>579</v>
      </c>
      <c r="F191" s="518"/>
      <c r="G191" s="534"/>
      <c r="H191" s="534"/>
      <c r="I191" s="534"/>
      <c r="J191" s="534"/>
      <c r="K191" s="534"/>
      <c r="L191" s="534"/>
      <c r="M191" s="535"/>
      <c r="N191" s="539"/>
      <c r="O191" s="539"/>
      <c r="P191" s="539"/>
      <c r="Q191" s="539"/>
      <c r="AF191" s="20"/>
      <c r="AG191" s="20"/>
      <c r="AH191" s="20"/>
    </row>
    <row r="192" spans="1:34" ht="40.5" customHeight="1">
      <c r="A192" s="769"/>
      <c r="B192" s="770"/>
      <c r="C192" s="771"/>
      <c r="D192" s="772"/>
      <c r="E192" s="768"/>
      <c r="F192" s="518"/>
      <c r="G192" s="536" t="s">
        <v>647</v>
      </c>
      <c r="H192" s="536"/>
      <c r="I192" s="534"/>
      <c r="J192" s="534"/>
      <c r="K192" s="534"/>
      <c r="L192" s="534"/>
      <c r="M192" s="535"/>
      <c r="N192" s="539"/>
      <c r="O192" s="539"/>
      <c r="P192" s="539"/>
      <c r="Q192" s="539"/>
    </row>
    <row r="193" spans="1:34" ht="36" customHeight="1">
      <c r="A193" s="784" t="s">
        <v>519</v>
      </c>
      <c r="B193" s="785"/>
      <c r="C193" s="786"/>
      <c r="D193" s="787" t="s">
        <v>590</v>
      </c>
      <c r="E193" s="768" t="s">
        <v>579</v>
      </c>
      <c r="F193" s="523" t="s">
        <v>379</v>
      </c>
      <c r="G193" s="532" t="s">
        <v>606</v>
      </c>
      <c r="H193" s="532" t="s">
        <v>674</v>
      </c>
      <c r="I193" s="530"/>
      <c r="J193" s="530"/>
      <c r="K193" s="530"/>
      <c r="L193" s="530"/>
      <c r="M193" s="530"/>
      <c r="N193" s="530"/>
      <c r="O193" s="530"/>
      <c r="P193" s="530"/>
      <c r="Q193" s="530"/>
      <c r="R193" s="61"/>
    </row>
    <row r="194" spans="1:34" ht="37.5" customHeight="1">
      <c r="A194" s="784"/>
      <c r="B194" s="785"/>
      <c r="C194" s="786"/>
      <c r="D194" s="787"/>
      <c r="E194" s="768"/>
      <c r="F194" s="523" t="s">
        <v>673</v>
      </c>
      <c r="G194" s="532" t="s">
        <v>607</v>
      </c>
      <c r="H194" s="532" t="s">
        <v>675</v>
      </c>
      <c r="I194" s="530"/>
      <c r="J194" s="530"/>
      <c r="K194" s="530"/>
      <c r="L194" s="530"/>
      <c r="M194" s="530"/>
      <c r="N194" s="530"/>
      <c r="O194" s="530"/>
      <c r="P194" s="530"/>
      <c r="Q194" s="530"/>
      <c r="R194" s="61"/>
    </row>
    <row r="195" spans="1:34" s="19" customFormat="1" ht="15" customHeight="1">
      <c r="A195" s="769" t="s">
        <v>605</v>
      </c>
      <c r="B195" s="770"/>
      <c r="C195" s="771"/>
      <c r="D195" s="772" t="s">
        <v>578</v>
      </c>
      <c r="E195" s="768" t="s">
        <v>579</v>
      </c>
      <c r="F195" s="518"/>
      <c r="G195" s="534">
        <v>110</v>
      </c>
      <c r="H195" s="534"/>
      <c r="I195" s="534"/>
      <c r="J195" s="534"/>
      <c r="K195" s="534"/>
      <c r="L195" s="534"/>
      <c r="M195" s="535"/>
      <c r="N195" s="539"/>
      <c r="O195" s="539"/>
      <c r="P195" s="539"/>
      <c r="Q195" s="539"/>
      <c r="AF195" s="20"/>
      <c r="AG195" s="20"/>
      <c r="AH195" s="20"/>
    </row>
    <row r="196" spans="1:34">
      <c r="A196" s="769"/>
      <c r="B196" s="770"/>
      <c r="C196" s="771"/>
      <c r="D196" s="772"/>
      <c r="E196" s="768"/>
      <c r="F196" s="518"/>
      <c r="G196" s="534">
        <v>150</v>
      </c>
      <c r="H196" s="534"/>
      <c r="I196" s="534"/>
      <c r="J196" s="534"/>
      <c r="K196" s="534"/>
      <c r="L196" s="534"/>
      <c r="M196" s="535"/>
      <c r="N196" s="539"/>
      <c r="O196" s="539"/>
      <c r="P196" s="539"/>
      <c r="Q196" s="539"/>
    </row>
    <row r="197" spans="1:34" ht="14.25" customHeight="1">
      <c r="A197" s="784" t="s">
        <v>559</v>
      </c>
      <c r="B197" s="785"/>
      <c r="C197" s="786"/>
      <c r="D197" s="787" t="s">
        <v>590</v>
      </c>
      <c r="E197" s="768" t="s">
        <v>579</v>
      </c>
      <c r="F197" s="523"/>
      <c r="G197" s="531">
        <v>0.9</v>
      </c>
      <c r="H197" s="531"/>
      <c r="I197" s="530"/>
      <c r="J197" s="530"/>
      <c r="K197" s="530"/>
      <c r="L197" s="530"/>
      <c r="M197" s="530"/>
      <c r="N197" s="530"/>
      <c r="O197" s="530"/>
      <c r="P197" s="530"/>
      <c r="Q197" s="530"/>
      <c r="R197" s="61"/>
    </row>
    <row r="198" spans="1:34">
      <c r="A198" s="784"/>
      <c r="B198" s="785"/>
      <c r="C198" s="786"/>
      <c r="D198" s="787"/>
      <c r="E198" s="768"/>
      <c r="F198" s="523"/>
      <c r="G198" s="531">
        <v>1.05</v>
      </c>
      <c r="H198" s="531"/>
      <c r="I198" s="530"/>
      <c r="J198" s="530"/>
      <c r="K198" s="530"/>
      <c r="L198" s="530"/>
      <c r="M198" s="530"/>
      <c r="N198" s="530"/>
      <c r="O198" s="530"/>
      <c r="P198" s="530"/>
      <c r="Q198" s="530"/>
      <c r="R198" s="61"/>
    </row>
    <row r="199" spans="1:34" s="19" customFormat="1" ht="15" customHeight="1">
      <c r="A199" s="769" t="s">
        <v>563</v>
      </c>
      <c r="B199" s="770"/>
      <c r="C199" s="771"/>
      <c r="D199" s="772" t="s">
        <v>578</v>
      </c>
      <c r="E199" s="768" t="s">
        <v>579</v>
      </c>
      <c r="F199" s="518"/>
      <c r="G199" s="545">
        <v>0.85</v>
      </c>
      <c r="H199" s="545"/>
      <c r="I199" s="534"/>
      <c r="J199" s="534"/>
      <c r="K199" s="534"/>
      <c r="L199" s="534"/>
      <c r="M199" s="535"/>
      <c r="N199" s="539"/>
      <c r="O199" s="539"/>
      <c r="P199" s="539"/>
      <c r="Q199" s="539"/>
      <c r="AF199" s="20"/>
      <c r="AG199" s="20"/>
      <c r="AH199" s="20"/>
    </row>
    <row r="200" spans="1:34">
      <c r="A200" s="769"/>
      <c r="B200" s="770"/>
      <c r="C200" s="771"/>
      <c r="D200" s="772"/>
      <c r="E200" s="768"/>
      <c r="F200" s="518"/>
      <c r="G200" s="545">
        <v>0.72</v>
      </c>
      <c r="H200" s="545"/>
      <c r="I200" s="534"/>
      <c r="J200" s="534"/>
      <c r="K200" s="534"/>
      <c r="L200" s="534"/>
      <c r="M200" s="535"/>
      <c r="N200" s="539"/>
      <c r="O200" s="539"/>
      <c r="P200" s="539"/>
      <c r="Q200" s="539"/>
    </row>
    <row r="201" spans="1:34" ht="15.75" thickBot="1">
      <c r="A201" s="3"/>
      <c r="B201" s="3"/>
      <c r="C201" s="3"/>
      <c r="D201" s="3"/>
      <c r="E201" s="3"/>
      <c r="F201" s="3"/>
      <c r="G201" s="3"/>
      <c r="H201" s="2" t="str">
        <f>IF(AND(F201&gt;0,G201&gt;0),G201/F201,"")</f>
        <v/>
      </c>
      <c r="I201" s="100"/>
      <c r="J201" s="100"/>
      <c r="K201" s="3"/>
      <c r="L201" s="3"/>
    </row>
    <row r="202" spans="1:34" ht="19.5" thickBot="1">
      <c r="A202" s="218" t="s">
        <v>608</v>
      </c>
      <c r="B202" s="116"/>
      <c r="C202" s="116"/>
      <c r="D202" s="117"/>
      <c r="E202" s="117"/>
      <c r="F202" s="117"/>
      <c r="G202" s="228"/>
      <c r="H202" s="219"/>
      <c r="I202" s="288"/>
      <c r="J202" s="395" t="s">
        <v>353</v>
      </c>
      <c r="K202" s="388"/>
      <c r="L202" s="389"/>
      <c r="M202" s="390"/>
      <c r="N202" s="389"/>
      <c r="O202" s="1207"/>
      <c r="P202" s="33"/>
    </row>
    <row r="203" spans="1:34" ht="15.75" thickBot="1">
      <c r="A203" s="3"/>
      <c r="B203" s="3"/>
      <c r="C203" s="3"/>
      <c r="D203" s="3"/>
      <c r="E203" s="3"/>
      <c r="F203" s="3"/>
      <c r="G203" s="3"/>
      <c r="H203" s="3"/>
      <c r="I203" s="3"/>
      <c r="J203" s="3"/>
      <c r="K203" s="3"/>
      <c r="L203" s="3"/>
      <c r="M203"/>
      <c r="N203"/>
      <c r="O203" s="33"/>
      <c r="P203" s="33"/>
    </row>
    <row r="204" spans="1:34" ht="39.75" customHeight="1">
      <c r="A204" s="801" t="s">
        <v>378</v>
      </c>
      <c r="B204" s="802"/>
      <c r="C204" s="803"/>
      <c r="D204" s="280" t="s">
        <v>270</v>
      </c>
      <c r="E204" s="357" t="s">
        <v>334</v>
      </c>
      <c r="F204" s="223"/>
      <c r="G204" s="321" t="s">
        <v>463</v>
      </c>
      <c r="H204" s="321" t="s">
        <v>471</v>
      </c>
      <c r="I204" s="321"/>
      <c r="J204" s="321"/>
      <c r="K204" s="321"/>
      <c r="L204" s="321"/>
      <c r="M204" s="321"/>
      <c r="N204" s="321"/>
      <c r="O204" s="321"/>
      <c r="P204" s="321"/>
      <c r="Q204" s="321"/>
      <c r="R204" s="61"/>
    </row>
    <row r="205" spans="1:34" ht="40.5" customHeight="1">
      <c r="A205" s="840" t="s">
        <v>467</v>
      </c>
      <c r="B205" s="841"/>
      <c r="C205" s="842"/>
      <c r="D205" s="772" t="s">
        <v>578</v>
      </c>
      <c r="E205" s="782" t="s">
        <v>432</v>
      </c>
      <c r="F205" s="224" t="s">
        <v>379</v>
      </c>
      <c r="G205" s="246">
        <v>1939</v>
      </c>
      <c r="H205" s="118">
        <v>2254</v>
      </c>
      <c r="I205" s="118"/>
      <c r="J205" s="246"/>
      <c r="K205" s="118"/>
      <c r="L205" s="118"/>
      <c r="M205" s="118"/>
      <c r="N205" s="118"/>
      <c r="O205" s="118"/>
      <c r="P205" s="118"/>
      <c r="Q205" s="118"/>
      <c r="R205" s="61"/>
    </row>
    <row r="206" spans="1:34" ht="42" customHeight="1">
      <c r="A206" s="843"/>
      <c r="B206" s="844"/>
      <c r="C206" s="845"/>
      <c r="D206" s="772"/>
      <c r="E206" s="783"/>
      <c r="F206" s="224" t="s">
        <v>271</v>
      </c>
      <c r="G206" s="246">
        <v>1476</v>
      </c>
      <c r="H206" s="118">
        <v>1689</v>
      </c>
      <c r="I206" s="118"/>
      <c r="J206" s="246"/>
      <c r="K206" s="118"/>
      <c r="L206" s="118"/>
      <c r="M206" s="118"/>
      <c r="N206" s="118"/>
      <c r="O206" s="118"/>
      <c r="P206" s="118"/>
      <c r="Q206" s="118"/>
      <c r="R206" s="61"/>
    </row>
    <row r="207" spans="1:34" ht="48" customHeight="1">
      <c r="A207" s="834" t="s">
        <v>462</v>
      </c>
      <c r="B207" s="835"/>
      <c r="C207" s="836"/>
      <c r="D207" s="787" t="s">
        <v>590</v>
      </c>
      <c r="E207" s="858" t="s">
        <v>432</v>
      </c>
      <c r="F207" s="224" t="s">
        <v>379</v>
      </c>
      <c r="G207" s="404">
        <v>1677</v>
      </c>
      <c r="H207" s="402">
        <v>1677</v>
      </c>
      <c r="I207" s="220"/>
      <c r="J207" s="247"/>
      <c r="K207" s="471"/>
      <c r="L207" s="220"/>
      <c r="M207" s="220"/>
      <c r="N207" s="220"/>
      <c r="O207" s="220"/>
      <c r="P207" s="220"/>
      <c r="Q207" s="220"/>
      <c r="R207" s="61"/>
    </row>
    <row r="208" spans="1:34" ht="42" customHeight="1">
      <c r="A208" s="837"/>
      <c r="B208" s="838"/>
      <c r="C208" s="839"/>
      <c r="D208" s="787"/>
      <c r="E208" s="859"/>
      <c r="F208" s="225" t="s">
        <v>271</v>
      </c>
      <c r="G208" s="404">
        <v>1628</v>
      </c>
      <c r="H208" s="402">
        <v>2087</v>
      </c>
      <c r="I208" s="278"/>
      <c r="J208" s="279"/>
      <c r="K208" s="278"/>
      <c r="L208" s="278"/>
      <c r="M208" s="278"/>
      <c r="N208" s="278"/>
      <c r="O208" s="220"/>
      <c r="P208" s="220"/>
      <c r="Q208" s="220"/>
      <c r="R208" s="61"/>
    </row>
    <row r="209" spans="1:19" ht="38.25" customHeight="1">
      <c r="A209" s="840" t="s">
        <v>464</v>
      </c>
      <c r="B209" s="841"/>
      <c r="C209" s="842"/>
      <c r="D209" s="772" t="s">
        <v>578</v>
      </c>
      <c r="E209" s="782" t="s">
        <v>432</v>
      </c>
      <c r="F209" s="224" t="s">
        <v>379</v>
      </c>
      <c r="G209" s="496">
        <v>0.85</v>
      </c>
      <c r="H209" s="498">
        <v>0.9</v>
      </c>
      <c r="I209" s="118"/>
      <c r="J209" s="118"/>
      <c r="K209" s="472"/>
      <c r="L209" s="118"/>
      <c r="M209" s="118"/>
      <c r="N209" s="118"/>
      <c r="O209" s="118"/>
      <c r="P209" s="118"/>
      <c r="Q209" s="118"/>
      <c r="R209" s="61"/>
    </row>
    <row r="210" spans="1:19" ht="39.75" customHeight="1">
      <c r="A210" s="843"/>
      <c r="B210" s="844"/>
      <c r="C210" s="845"/>
      <c r="D210" s="772"/>
      <c r="E210" s="783"/>
      <c r="F210" s="224" t="s">
        <v>271</v>
      </c>
      <c r="G210" s="496">
        <v>0.96</v>
      </c>
      <c r="H210" s="498">
        <v>0.95</v>
      </c>
      <c r="I210" s="118"/>
      <c r="J210" s="118"/>
      <c r="K210" s="118"/>
      <c r="L210" s="118"/>
      <c r="M210" s="118"/>
      <c r="N210" s="118"/>
      <c r="O210" s="118"/>
      <c r="P210" s="118"/>
      <c r="Q210" s="118"/>
      <c r="R210" s="61"/>
    </row>
    <row r="211" spans="1:19" ht="39.75" customHeight="1">
      <c r="A211" s="834" t="s">
        <v>465</v>
      </c>
      <c r="B211" s="835"/>
      <c r="C211" s="836"/>
      <c r="D211" s="787" t="s">
        <v>590</v>
      </c>
      <c r="E211" s="858" t="s">
        <v>432</v>
      </c>
      <c r="F211" s="224" t="s">
        <v>379</v>
      </c>
      <c r="G211" s="407">
        <v>800</v>
      </c>
      <c r="H211" s="403">
        <v>712</v>
      </c>
      <c r="I211" s="402"/>
      <c r="J211" s="404"/>
      <c r="K211" s="402"/>
      <c r="L211" s="402"/>
      <c r="M211" s="402"/>
      <c r="N211" s="402"/>
      <c r="O211" s="402"/>
      <c r="P211" s="402"/>
      <c r="Q211" s="402"/>
      <c r="R211" s="61"/>
    </row>
    <row r="212" spans="1:19" ht="39.75" customHeight="1">
      <c r="A212" s="837"/>
      <c r="B212" s="838"/>
      <c r="C212" s="839"/>
      <c r="D212" s="787"/>
      <c r="E212" s="859"/>
      <c r="F212" s="224" t="s">
        <v>271</v>
      </c>
      <c r="G212" s="407">
        <v>626</v>
      </c>
      <c r="H212" s="403">
        <v>697</v>
      </c>
      <c r="I212" s="402"/>
      <c r="J212" s="404"/>
      <c r="K212" s="402"/>
      <c r="L212" s="402"/>
      <c r="M212" s="402"/>
      <c r="N212" s="402"/>
      <c r="O212" s="402"/>
      <c r="P212" s="402"/>
      <c r="Q212" s="402"/>
      <c r="R212" s="61"/>
    </row>
    <row r="213" spans="1:19" ht="35.25" customHeight="1">
      <c r="A213" s="848" t="s">
        <v>466</v>
      </c>
      <c r="B213" s="849"/>
      <c r="C213" s="850"/>
      <c r="D213" s="772" t="s">
        <v>578</v>
      </c>
      <c r="E213" s="846" t="s">
        <v>433</v>
      </c>
      <c r="F213" s="224" t="s">
        <v>379</v>
      </c>
      <c r="G213" s="406">
        <v>795</v>
      </c>
      <c r="H213" s="405">
        <v>663</v>
      </c>
      <c r="I213" s="405"/>
      <c r="J213" s="406"/>
      <c r="K213" s="405"/>
      <c r="L213" s="405"/>
      <c r="M213" s="405"/>
      <c r="N213" s="405"/>
      <c r="O213" s="405"/>
      <c r="P213" s="405"/>
      <c r="Q213" s="405"/>
      <c r="R213" s="61"/>
    </row>
    <row r="214" spans="1:19" ht="39" customHeight="1">
      <c r="A214" s="851"/>
      <c r="B214" s="852"/>
      <c r="C214" s="853"/>
      <c r="D214" s="772"/>
      <c r="E214" s="847"/>
      <c r="F214" s="225" t="s">
        <v>271</v>
      </c>
      <c r="G214" s="406">
        <v>601</v>
      </c>
      <c r="H214" s="405">
        <v>702</v>
      </c>
      <c r="I214" s="405"/>
      <c r="J214" s="406"/>
      <c r="K214" s="405"/>
      <c r="L214" s="405"/>
      <c r="M214" s="405"/>
      <c r="N214" s="405"/>
      <c r="O214" s="405"/>
      <c r="P214" s="405"/>
      <c r="Q214" s="405"/>
      <c r="R214" s="61"/>
    </row>
    <row r="215" spans="1:19" ht="43.5" customHeight="1">
      <c r="A215" s="834" t="s">
        <v>468</v>
      </c>
      <c r="B215" s="835"/>
      <c r="C215" s="836"/>
      <c r="D215" s="787" t="s">
        <v>590</v>
      </c>
      <c r="E215" s="807" t="s">
        <v>433</v>
      </c>
      <c r="F215" s="224" t="s">
        <v>379</v>
      </c>
      <c r="G215" s="406"/>
      <c r="H215" s="499">
        <v>0.08</v>
      </c>
      <c r="I215" s="403"/>
      <c r="J215" s="407"/>
      <c r="K215" s="403"/>
      <c r="L215" s="403"/>
      <c r="M215" s="403"/>
      <c r="N215" s="403"/>
      <c r="O215" s="403"/>
      <c r="P215" s="403"/>
      <c r="Q215" s="487"/>
      <c r="R215" s="61"/>
    </row>
    <row r="216" spans="1:19" ht="40.5" customHeight="1">
      <c r="A216" s="837"/>
      <c r="B216" s="838"/>
      <c r="C216" s="839"/>
      <c r="D216" s="787"/>
      <c r="E216" s="808"/>
      <c r="F216" s="224" t="s">
        <v>271</v>
      </c>
      <c r="G216" s="470" t="s">
        <v>469</v>
      </c>
      <c r="H216" s="500">
        <v>0.19</v>
      </c>
      <c r="I216" s="402"/>
      <c r="J216" s="404"/>
      <c r="K216" s="402"/>
      <c r="L216" s="402"/>
      <c r="M216" s="402"/>
      <c r="N216" s="402"/>
      <c r="O216" s="403"/>
      <c r="P216" s="403"/>
      <c r="Q216" s="403"/>
      <c r="R216" s="61"/>
    </row>
    <row r="217" spans="1:19" ht="20.25" customHeight="1">
      <c r="A217" s="3"/>
      <c r="B217" s="3"/>
      <c r="C217" s="3"/>
      <c r="D217" s="3"/>
      <c r="E217" s="3"/>
      <c r="F217" s="2"/>
      <c r="G217" s="3"/>
      <c r="H217" s="3"/>
      <c r="I217" s="3"/>
      <c r="J217" s="3"/>
      <c r="K217" s="3"/>
      <c r="L217" s="3"/>
      <c r="M217" s="3"/>
      <c r="N217" s="3"/>
      <c r="Q217" s="33"/>
    </row>
    <row r="218" spans="1:19">
      <c r="A218" s="3"/>
      <c r="B218" s="3"/>
      <c r="C218" s="3"/>
      <c r="D218" s="3"/>
      <c r="E218" s="3"/>
      <c r="F218" s="2"/>
      <c r="G218" s="3"/>
      <c r="H218" s="3"/>
      <c r="I218" s="3"/>
      <c r="J218" s="3"/>
      <c r="K218" s="3"/>
      <c r="L218" s="3"/>
      <c r="M218" s="3"/>
      <c r="N218" s="3"/>
      <c r="Q218" s="33"/>
    </row>
    <row r="219" spans="1:19" ht="4.5" customHeight="1" thickBot="1">
      <c r="A219" s="3"/>
      <c r="B219" s="3"/>
      <c r="C219" s="3"/>
      <c r="D219" s="3"/>
      <c r="E219" s="3"/>
      <c r="F219" s="2"/>
      <c r="G219" s="3"/>
      <c r="H219" s="3"/>
      <c r="I219" s="3"/>
      <c r="J219" s="3"/>
      <c r="K219" s="3"/>
      <c r="L219" s="3"/>
      <c r="M219" s="3"/>
      <c r="N219" s="3"/>
      <c r="Q219" s="33"/>
    </row>
    <row r="220" spans="1:19" ht="16.5" hidden="1" thickBot="1">
      <c r="A220" s="281"/>
      <c r="B220" s="3"/>
      <c r="C220" s="3"/>
      <c r="D220" s="3"/>
      <c r="E220" s="3"/>
      <c r="F220" s="2"/>
      <c r="G220" s="3"/>
      <c r="H220" s="3"/>
      <c r="I220" s="3"/>
      <c r="J220" s="3"/>
      <c r="K220" s="3"/>
      <c r="L220" s="3"/>
      <c r="M220" s="3"/>
      <c r="N220" s="3"/>
      <c r="Q220" s="33"/>
    </row>
    <row r="221" spans="1:19" ht="25.5">
      <c r="A221" s="3" t="s">
        <v>380</v>
      </c>
      <c r="B221" s="3"/>
      <c r="C221" s="3"/>
      <c r="D221" s="280" t="s">
        <v>270</v>
      </c>
      <c r="E221" s="357" t="s">
        <v>334</v>
      </c>
      <c r="F221" s="223"/>
      <c r="G221" s="321" t="str">
        <f t="shared" ref="G221:Q221" si="13">B30</f>
        <v>P1</v>
      </c>
      <c r="H221" s="321" t="str">
        <f t="shared" si="13"/>
        <v>P2</v>
      </c>
      <c r="I221" s="321" t="str">
        <f t="shared" si="13"/>
        <v>P3</v>
      </c>
      <c r="J221" s="321" t="str">
        <f t="shared" si="13"/>
        <v>P4</v>
      </c>
      <c r="K221" s="321" t="str">
        <f t="shared" si="13"/>
        <v>P5</v>
      </c>
      <c r="L221" s="321" t="str">
        <f t="shared" si="13"/>
        <v>P6</v>
      </c>
      <c r="M221" s="321" t="str">
        <f t="shared" si="13"/>
        <v>P7</v>
      </c>
      <c r="N221" s="321" t="str">
        <f t="shared" si="13"/>
        <v>P8</v>
      </c>
      <c r="O221" s="321" t="str">
        <f t="shared" si="13"/>
        <v>P9</v>
      </c>
      <c r="P221" s="321" t="str">
        <f t="shared" si="13"/>
        <v>P10</v>
      </c>
      <c r="Q221" s="321" t="str">
        <f t="shared" si="13"/>
        <v>P11</v>
      </c>
      <c r="R221" s="33"/>
      <c r="S221" s="33"/>
    </row>
    <row r="222" spans="1:19">
      <c r="A222" s="819" t="str">
        <f>IF(ISBLANK(A205),"",(A205))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B222" s="820"/>
      <c r="C222" s="821"/>
      <c r="D222" s="817" t="str">
        <f>IF(ISBLANK(D205),"",(D205))</f>
        <v>Топ 10</v>
      </c>
      <c r="E222" s="828" t="str">
        <f>IF(ISBLANK(E205),"",(E205))</f>
        <v>да</v>
      </c>
      <c r="F222" s="224" t="s">
        <v>379</v>
      </c>
      <c r="G222" s="335">
        <f t="shared" ref="G222:Q222" si="14">G205</f>
        <v>1939</v>
      </c>
      <c r="H222" s="335">
        <f t="shared" si="14"/>
        <v>2254</v>
      </c>
      <c r="I222" s="335">
        <f t="shared" si="14"/>
        <v>0</v>
      </c>
      <c r="J222" s="335">
        <f t="shared" si="14"/>
        <v>0</v>
      </c>
      <c r="K222" s="335">
        <f t="shared" si="14"/>
        <v>0</v>
      </c>
      <c r="L222" s="335">
        <f t="shared" si="14"/>
        <v>0</v>
      </c>
      <c r="M222" s="335">
        <f t="shared" si="14"/>
        <v>0</v>
      </c>
      <c r="N222" s="335">
        <f t="shared" si="14"/>
        <v>0</v>
      </c>
      <c r="O222" s="335">
        <f t="shared" si="14"/>
        <v>0</v>
      </c>
      <c r="P222" s="335">
        <f t="shared" si="14"/>
        <v>0</v>
      </c>
      <c r="Q222" s="335">
        <f t="shared" si="14"/>
        <v>0</v>
      </c>
      <c r="R222" s="33"/>
      <c r="S222" s="33"/>
    </row>
    <row r="223" spans="1:19" ht="15" customHeight="1" thickBot="1">
      <c r="A223" s="812"/>
      <c r="B223" s="813"/>
      <c r="C223" s="814"/>
      <c r="D223" s="832"/>
      <c r="E223" s="833"/>
      <c r="F223" s="409" t="s">
        <v>271</v>
      </c>
      <c r="G223" s="335">
        <f t="shared" ref="G223:J227" si="15">G206</f>
        <v>1476</v>
      </c>
      <c r="H223" s="335">
        <f t="shared" si="15"/>
        <v>1689</v>
      </c>
      <c r="I223" s="335">
        <f t="shared" si="15"/>
        <v>0</v>
      </c>
      <c r="J223" s="335">
        <f t="shared" si="15"/>
        <v>0</v>
      </c>
      <c r="K223" s="335">
        <f t="shared" ref="K223:Q227" si="16">K206</f>
        <v>0</v>
      </c>
      <c r="L223" s="335">
        <f t="shared" si="16"/>
        <v>0</v>
      </c>
      <c r="M223" s="335">
        <f t="shared" si="16"/>
        <v>0</v>
      </c>
      <c r="N223" s="335">
        <f t="shared" si="16"/>
        <v>0</v>
      </c>
      <c r="O223" s="335">
        <f t="shared" si="16"/>
        <v>0</v>
      </c>
      <c r="P223" s="335">
        <f t="shared" si="16"/>
        <v>0</v>
      </c>
      <c r="Q223" s="335">
        <f t="shared" si="16"/>
        <v>0</v>
      </c>
      <c r="R223" s="33"/>
      <c r="S223" s="33"/>
    </row>
    <row r="224" spans="1:19">
      <c r="A224" s="822" t="str">
        <f>IF(ISBLANK(A207),"",(A207))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B224" s="823"/>
      <c r="C224" s="824"/>
      <c r="D224" s="815" t="str">
        <f>IF(ISBLANK(D207),"",(D207))</f>
        <v xml:space="preserve"> Топ 10</v>
      </c>
      <c r="E224" s="830" t="str">
        <f>IF(ISBLANK(E207),"",(E207))</f>
        <v>да</v>
      </c>
      <c r="F224" s="225" t="s">
        <v>379</v>
      </c>
      <c r="G224" s="408">
        <f t="shared" si="15"/>
        <v>1677</v>
      </c>
      <c r="H224" s="408">
        <f>H207</f>
        <v>1677</v>
      </c>
      <c r="I224" s="408">
        <f t="shared" si="15"/>
        <v>0</v>
      </c>
      <c r="J224" s="408">
        <f>J207</f>
        <v>0</v>
      </c>
      <c r="K224" s="408">
        <f t="shared" si="16"/>
        <v>0</v>
      </c>
      <c r="L224" s="408">
        <f t="shared" si="16"/>
        <v>0</v>
      </c>
      <c r="M224" s="408">
        <f t="shared" si="16"/>
        <v>0</v>
      </c>
      <c r="N224" s="408">
        <f t="shared" si="16"/>
        <v>0</v>
      </c>
      <c r="O224" s="408">
        <f t="shared" si="16"/>
        <v>0</v>
      </c>
      <c r="P224" s="408">
        <f t="shared" si="16"/>
        <v>0</v>
      </c>
      <c r="Q224" s="408">
        <f t="shared" si="16"/>
        <v>0</v>
      </c>
      <c r="R224" s="33"/>
      <c r="S224" s="33"/>
    </row>
    <row r="225" spans="1:19" ht="15" customHeight="1" thickBot="1">
      <c r="A225" s="825"/>
      <c r="B225" s="826"/>
      <c r="C225" s="827"/>
      <c r="D225" s="816"/>
      <c r="E225" s="831"/>
      <c r="F225" s="225" t="s">
        <v>271</v>
      </c>
      <c r="G225" s="408">
        <f t="shared" si="15"/>
        <v>1628</v>
      </c>
      <c r="H225" s="408">
        <f t="shared" si="15"/>
        <v>2087</v>
      </c>
      <c r="I225" s="408">
        <f t="shared" si="15"/>
        <v>0</v>
      </c>
      <c r="J225" s="408">
        <f t="shared" si="15"/>
        <v>0</v>
      </c>
      <c r="K225" s="408">
        <f t="shared" si="16"/>
        <v>0</v>
      </c>
      <c r="L225" s="408">
        <f t="shared" si="16"/>
        <v>0</v>
      </c>
      <c r="M225" s="408">
        <f t="shared" si="16"/>
        <v>0</v>
      </c>
      <c r="N225" s="408">
        <f t="shared" si="16"/>
        <v>0</v>
      </c>
      <c r="O225" s="408">
        <f t="shared" si="16"/>
        <v>0</v>
      </c>
      <c r="P225" s="408">
        <f t="shared" si="16"/>
        <v>0</v>
      </c>
      <c r="Q225" s="408">
        <f t="shared" si="16"/>
        <v>0</v>
      </c>
      <c r="R225" s="33"/>
      <c r="S225" s="33"/>
    </row>
    <row r="226" spans="1:19">
      <c r="A226" s="809" t="str">
        <f>IF(ISBLANK(A209),"",(A209))</f>
        <v xml:space="preserve">MDR TB-1: Процент ранее излеченных ТБ пациентов, прошедших ТЛЧ (только бактериологически положительные случаи) </v>
      </c>
      <c r="B226" s="810"/>
      <c r="C226" s="811"/>
      <c r="D226" s="817" t="str">
        <f>IF(ISBLANK(D209),"",(D209))</f>
        <v>Топ 10</v>
      </c>
      <c r="E226" s="828" t="str">
        <f>IF(ISBLANK(E209),"",(E209))</f>
        <v>да</v>
      </c>
      <c r="F226" s="410" t="s">
        <v>379</v>
      </c>
      <c r="G226" s="335">
        <f t="shared" si="15"/>
        <v>0.85</v>
      </c>
      <c r="H226" s="335">
        <f t="shared" si="15"/>
        <v>0.9</v>
      </c>
      <c r="I226" s="335">
        <f t="shared" si="15"/>
        <v>0</v>
      </c>
      <c r="J226" s="335">
        <f t="shared" si="15"/>
        <v>0</v>
      </c>
      <c r="K226" s="335">
        <f t="shared" si="16"/>
        <v>0</v>
      </c>
      <c r="L226" s="335">
        <f t="shared" si="16"/>
        <v>0</v>
      </c>
      <c r="M226" s="335">
        <f t="shared" si="16"/>
        <v>0</v>
      </c>
      <c r="N226" s="335">
        <f t="shared" si="16"/>
        <v>0</v>
      </c>
      <c r="O226" s="335">
        <f t="shared" si="16"/>
        <v>0</v>
      </c>
      <c r="P226" s="335">
        <f t="shared" si="16"/>
        <v>0</v>
      </c>
      <c r="Q226" s="335">
        <f t="shared" si="16"/>
        <v>0</v>
      </c>
      <c r="R226" s="33"/>
      <c r="S226" s="33"/>
    </row>
    <row r="227" spans="1:19" ht="15.75" thickBot="1">
      <c r="A227" s="812"/>
      <c r="B227" s="813"/>
      <c r="C227" s="814"/>
      <c r="D227" s="818"/>
      <c r="E227" s="829"/>
      <c r="F227" s="277" t="s">
        <v>271</v>
      </c>
      <c r="G227" s="336">
        <f t="shared" si="15"/>
        <v>0.96</v>
      </c>
      <c r="H227" s="336">
        <f t="shared" si="15"/>
        <v>0.95</v>
      </c>
      <c r="I227" s="336">
        <f t="shared" si="15"/>
        <v>0</v>
      </c>
      <c r="J227" s="336">
        <f t="shared" si="15"/>
        <v>0</v>
      </c>
      <c r="K227" s="335">
        <f t="shared" si="16"/>
        <v>0</v>
      </c>
      <c r="L227" s="335">
        <f t="shared" si="16"/>
        <v>0</v>
      </c>
      <c r="M227" s="335">
        <f t="shared" si="16"/>
        <v>0</v>
      </c>
      <c r="N227" s="335">
        <f t="shared" si="16"/>
        <v>0</v>
      </c>
      <c r="O227" s="335">
        <f t="shared" si="16"/>
        <v>0</v>
      </c>
      <c r="P227" s="335">
        <f t="shared" si="16"/>
        <v>0</v>
      </c>
      <c r="Q227" s="335">
        <f t="shared" si="16"/>
        <v>0</v>
      </c>
      <c r="R227" s="33"/>
      <c r="S227" s="33"/>
    </row>
    <row r="228" spans="1:19">
      <c r="A228" s="3"/>
      <c r="B228" s="3"/>
      <c r="C228" s="3"/>
      <c r="D228" s="3"/>
      <c r="E228" s="3"/>
      <c r="F228" s="3"/>
      <c r="G228" s="3"/>
      <c r="H228" s="3"/>
      <c r="I228" s="3"/>
      <c r="J228" s="3"/>
      <c r="K228" s="3"/>
      <c r="L228" s="3"/>
      <c r="M228"/>
      <c r="N228"/>
      <c r="O228" s="33"/>
      <c r="P228" s="33"/>
    </row>
    <row r="229" spans="1:19">
      <c r="M229"/>
      <c r="N229"/>
      <c r="O229" s="33"/>
      <c r="P229" s="33"/>
    </row>
    <row r="230" spans="1:19" ht="14.25" customHeight="1">
      <c r="M230"/>
      <c r="N230"/>
      <c r="O230" s="33"/>
      <c r="P230" s="33"/>
    </row>
    <row r="231" spans="1:19">
      <c r="M231"/>
      <c r="N231"/>
      <c r="O231" s="33"/>
      <c r="P231" s="33"/>
    </row>
  </sheetData>
  <mergeCells count="134">
    <mergeCell ref="A18:B18"/>
    <mergeCell ref="D10:E10"/>
    <mergeCell ref="B12:C12"/>
    <mergeCell ref="G16:H16"/>
    <mergeCell ref="C24:D24"/>
    <mergeCell ref="F24:G24"/>
    <mergeCell ref="H24:I24"/>
    <mergeCell ref="B1:C1"/>
    <mergeCell ref="B8:C8"/>
    <mergeCell ref="A14:I14"/>
    <mergeCell ref="B6:C6"/>
    <mergeCell ref="D6:E6"/>
    <mergeCell ref="H6:I6"/>
    <mergeCell ref="H8:I8"/>
    <mergeCell ref="B10:C10"/>
    <mergeCell ref="D12:E12"/>
    <mergeCell ref="F12:I12"/>
    <mergeCell ref="A2:I2"/>
    <mergeCell ref="B4:C4"/>
    <mergeCell ref="D4:E4"/>
    <mergeCell ref="F4:I4"/>
    <mergeCell ref="F10:I10"/>
    <mergeCell ref="C18:E18"/>
    <mergeCell ref="A21:I21"/>
    <mergeCell ref="E211:E212"/>
    <mergeCell ref="A211:C212"/>
    <mergeCell ref="A26:B26"/>
    <mergeCell ref="A80:B80"/>
    <mergeCell ref="A69:C69"/>
    <mergeCell ref="A83:B83"/>
    <mergeCell ref="A29:M29"/>
    <mergeCell ref="A207:C208"/>
    <mergeCell ref="A209:C210"/>
    <mergeCell ref="A84:B84"/>
    <mergeCell ref="D197:D198"/>
    <mergeCell ref="E197:E198"/>
    <mergeCell ref="A191:C192"/>
    <mergeCell ref="D191:D192"/>
    <mergeCell ref="E191:E192"/>
    <mergeCell ref="A193:C194"/>
    <mergeCell ref="D193:D194"/>
    <mergeCell ref="E193:E194"/>
    <mergeCell ref="A187:C188"/>
    <mergeCell ref="D187:D188"/>
    <mergeCell ref="E187:E188"/>
    <mergeCell ref="A189:C190"/>
    <mergeCell ref="D189:D190"/>
    <mergeCell ref="E189:E190"/>
    <mergeCell ref="D209:D210"/>
    <mergeCell ref="A204:C204"/>
    <mergeCell ref="A205:C206"/>
    <mergeCell ref="E209:E210"/>
    <mergeCell ref="D211:D212"/>
    <mergeCell ref="E213:E214"/>
    <mergeCell ref="A213:C214"/>
    <mergeCell ref="A81:B81"/>
    <mergeCell ref="A82:B82"/>
    <mergeCell ref="D165:D166"/>
    <mergeCell ref="E165:E166"/>
    <mergeCell ref="A167:C168"/>
    <mergeCell ref="D167:D168"/>
    <mergeCell ref="E167:E168"/>
    <mergeCell ref="A159:C160"/>
    <mergeCell ref="D159:D160"/>
    <mergeCell ref="A173:C174"/>
    <mergeCell ref="D173:D174"/>
    <mergeCell ref="A195:C196"/>
    <mergeCell ref="D195:D196"/>
    <mergeCell ref="E195:E196"/>
    <mergeCell ref="A197:C198"/>
    <mergeCell ref="E207:E208"/>
    <mergeCell ref="D207:D208"/>
    <mergeCell ref="E215:E216"/>
    <mergeCell ref="D215:D216"/>
    <mergeCell ref="D213:D214"/>
    <mergeCell ref="A226:C227"/>
    <mergeCell ref="D224:D225"/>
    <mergeCell ref="D226:D227"/>
    <mergeCell ref="A222:C223"/>
    <mergeCell ref="A224:C225"/>
    <mergeCell ref="E226:E227"/>
    <mergeCell ref="E224:E225"/>
    <mergeCell ref="D222:D223"/>
    <mergeCell ref="E222:E223"/>
    <mergeCell ref="A215:C216"/>
    <mergeCell ref="A165:C166"/>
    <mergeCell ref="A122:A125"/>
    <mergeCell ref="A126:A141"/>
    <mergeCell ref="E56:H56"/>
    <mergeCell ref="E159:E160"/>
    <mergeCell ref="A161:C162"/>
    <mergeCell ref="D161:D162"/>
    <mergeCell ref="E161:E162"/>
    <mergeCell ref="A163:C164"/>
    <mergeCell ref="D163:D164"/>
    <mergeCell ref="E163:E164"/>
    <mergeCell ref="A150:C150"/>
    <mergeCell ref="A151:C152"/>
    <mergeCell ref="D151:D152"/>
    <mergeCell ref="E151:E152"/>
    <mergeCell ref="N31:N34"/>
    <mergeCell ref="D205:D206"/>
    <mergeCell ref="E205:E206"/>
    <mergeCell ref="A153:C154"/>
    <mergeCell ref="D153:D154"/>
    <mergeCell ref="E153:E154"/>
    <mergeCell ref="A155:C156"/>
    <mergeCell ref="D155:D156"/>
    <mergeCell ref="E155:E156"/>
    <mergeCell ref="A157:C158"/>
    <mergeCell ref="D157:D158"/>
    <mergeCell ref="E157:E158"/>
    <mergeCell ref="A199:C200"/>
    <mergeCell ref="D199:D200"/>
    <mergeCell ref="E199:E200"/>
    <mergeCell ref="D182:D183"/>
    <mergeCell ref="E182:E183"/>
    <mergeCell ref="A184:C185"/>
    <mergeCell ref="A169:C170"/>
    <mergeCell ref="D169:D170"/>
    <mergeCell ref="E169:E170"/>
    <mergeCell ref="A171:C172"/>
    <mergeCell ref="D171:D172"/>
    <mergeCell ref="E171:E172"/>
    <mergeCell ref="D184:D185"/>
    <mergeCell ref="E184:E185"/>
    <mergeCell ref="E180:E181"/>
    <mergeCell ref="A182:C183"/>
    <mergeCell ref="E173:E174"/>
    <mergeCell ref="A175:C176"/>
    <mergeCell ref="D175:D176"/>
    <mergeCell ref="E175:E176"/>
    <mergeCell ref="A180:C181"/>
    <mergeCell ref="D180:D181"/>
  </mergeCells>
  <phoneticPr fontId="31" type="noConversion"/>
  <conditionalFormatting sqref="A34 D32:G32 A32 L33:M33">
    <cfRule type="expression" dxfId="96" priority="26" stopIfTrue="1">
      <formula>+AND(A31&gt;=#REF!,A31&lt;=#REF!)</formula>
    </cfRule>
  </conditionalFormatting>
  <conditionalFormatting sqref="L34:M34">
    <cfRule type="expression" dxfId="95" priority="27" stopIfTrue="1">
      <formula>+AND(L32&gt;=#REF!,L32&lt;=#REF!)</formula>
    </cfRule>
  </conditionalFormatting>
  <conditionalFormatting sqref="B109:M109 B30:M30">
    <cfRule type="cellIs" dxfId="94" priority="30" stopIfTrue="1" operator="equal">
      <formula>$B$16</formula>
    </cfRule>
  </conditionalFormatting>
  <conditionalFormatting sqref="B12:C12">
    <cfRule type="cellIs" dxfId="93" priority="32" stopIfTrue="1" operator="equal">
      <formula>"C"</formula>
    </cfRule>
    <cfRule type="cellIs" dxfId="92" priority="33" stopIfTrue="1" operator="equal">
      <formula>"B2"</formula>
    </cfRule>
    <cfRule type="cellIs" dxfId="91" priority="34" stopIfTrue="1" operator="equal">
      <formula>"B1"</formula>
    </cfRule>
  </conditionalFormatting>
  <conditionalFormatting sqref="G204:Q204 G221:Q221">
    <cfRule type="cellIs" dxfId="90" priority="41" stopIfTrue="1" operator="equal">
      <formula>$B$16</formula>
    </cfRule>
  </conditionalFormatting>
  <conditionalFormatting sqref="D33:K33">
    <cfRule type="expression" dxfId="89" priority="19" stopIfTrue="1">
      <formula>+AND(D32&gt;=#REF!,D32&lt;=#REF!)</formula>
    </cfRule>
  </conditionalFormatting>
  <conditionalFormatting sqref="D34:K34">
    <cfRule type="expression" dxfId="88" priority="18" stopIfTrue="1">
      <formula>+AND(D32&gt;=#REF!,D32&lt;=#REF!)</formula>
    </cfRule>
  </conditionalFormatting>
  <conditionalFormatting sqref="E56:H56">
    <cfRule type="expression" dxfId="87" priority="15" stopIfTrue="1">
      <formula>LEFT($E$56,3)="Все"</formula>
    </cfRule>
  </conditionalFormatting>
  <conditionalFormatting sqref="B33:C33 B31:B32">
    <cfRule type="expression" dxfId="86" priority="10" stopIfTrue="1">
      <formula>+AND(B30&gt;=#REF!,B30&lt;=#REF!)</formula>
    </cfRule>
  </conditionalFormatting>
  <conditionalFormatting sqref="B34:C34">
    <cfRule type="expression" dxfId="85" priority="11" stopIfTrue="1">
      <formula>+AND(B32&gt;=#REF!,B32&lt;=#REF!)</formula>
    </cfRule>
  </conditionalFormatting>
  <conditionalFormatting sqref="H150">
    <cfRule type="cellIs" dxfId="84" priority="2" stopIfTrue="1" operator="equal">
      <formula>$B$16</formula>
    </cfRule>
  </conditionalFormatting>
  <conditionalFormatting sqref="G150 I150:Q150">
    <cfRule type="cellIs" dxfId="83" priority="9" stopIfTrue="1" operator="equal">
      <formula>$B$16</formula>
    </cfRule>
  </conditionalFormatting>
  <conditionalFormatting sqref="H179">
    <cfRule type="cellIs" dxfId="82" priority="4" stopIfTrue="1" operator="equal">
      <formula>$B$16</formula>
    </cfRule>
  </conditionalFormatting>
  <conditionalFormatting sqref="G179 I179">
    <cfRule type="cellIs" dxfId="81" priority="7" stopIfTrue="1" operator="equal">
      <formula>$B$16</formula>
    </cfRule>
  </conditionalFormatting>
  <conditionalFormatting sqref="J179:Q179">
    <cfRule type="cellIs" dxfId="80" priority="1" stopIfTrue="1" operator="equal">
      <formula>$B$16</formula>
    </cfRule>
  </conditionalFormatting>
  <dataValidations count="9">
    <dataValidation type="list" allowBlank="1" showInputMessage="1" showErrorMessage="1" sqref="F6 IW142 SS142 ACO142 AMK142 AWG142 BGC142 BPY142 BZU142 CJQ142 CTM142 DDI142 DNE142 DXA142 EGW142 EQS142 FAO142 FKK142 FUG142 GEC142 GNY142 GXU142 HHQ142 HRM142 IBI142 ILE142 IVA142 JEW142 JOS142 JYO142 KIK142 KSG142 LCC142 LLY142 LVU142 MFQ142 MPM142 MZI142 NJE142 NTA142 OCW142 OMS142 OWO142 PGK142 PQG142 QAC142 QJY142 QTU142 RDQ142 RNM142 RXI142 SHE142 SRA142 TAW142 TKS142 TUO142 UEK142 UOG142 UYC142 VHY142 VRU142 WBQ142 WLM142 WVI142 A122:A125">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IX142:IX145 ST142:ST145 ACP142:ACP145 AML142:AML145 AWH142:AWH145 BGD142:BGD145 BPZ142:BPZ145 BZV142:BZV145 CJR142:CJR145 CTN142:CTN145 DDJ142:DDJ145 DNF142:DNF145 DXB142:DXB145 EGX142:EGX145 EQT142:EQT145 FAP142:FAP145 FKL142:FKL145 FUH142:FUH145 GED142:GED145 GNZ142:GNZ145 GXV142:GXV145 HHR142:HHR145 HRN142:HRN145 IBJ142:IBJ145 ILF142:ILF145 IVB142:IVB145 JEX142:JEX145 JOT142:JOT145 JYP142:JYP145 KIL142:KIL145 KSH142:KSH145 LCD142:LCD145 LLZ142:LLZ145 LVV142:LVV145 MFR142:MFR145 MPN142:MPN145 MZJ142:MZJ145 NJF142:NJF145 NTB142:NTB145 OCX142:OCX145 OMT142:OMT145 OWP142:OWP145 PGL142:PGL145 PQH142:PQH145 QAD142:QAD145 QJZ142:QJZ145 QTV142:QTV145 RDR142:RDR145 RNN142:RNN145 RXJ142:RXJ145 SHF142:SHF145 SRB142:SRB145 TAX142:TAX145 TKT142:TKT145 TUP142:TUP145 UEL142:UEL145 UOH142:UOH145 UYD142:UYD145 VHZ142:VHZ145 VRV142:VRV145 WBR142:WBR145 WLN142:WLN145 WVJ142:WVJ145 B122:B125">
      <formula1>Medicaments</formula1>
    </dataValidation>
    <dataValidation type="list" allowBlank="1" showInputMessage="1" showErrorMessage="1" sqref="B126:B141 WLN122:WLN141 WBR122:WBR141 VRV122:VRV141 VHZ122:VHZ141 UYD122:UYD141 UOH122:UOH141 UEL122:UEL141 TUP122:TUP141 TKT122:TKT141 TAX122:TAX141 SRB122:SRB141 SHF122:SHF141 RXJ122:RXJ141 RNN122:RNN141 RDR122:RDR141 QTV122:QTV141 QJZ122:QJZ141 QAD122:QAD141 PQH122:PQH141 PGL122:PGL141 OWP122:OWP141 OMT122:OMT141 OCX122:OCX141 NTB122:NTB141 NJF122:NJF141 MZJ122:MZJ141 MPN122:MPN141 MFR122:MFR141 LVV122:LVV141 LLZ122:LLZ141 LCD122:LCD141 KSH122:KSH141 KIL122:KIL141 JYP122:JYP141 JOT122:JOT141 JEX122:JEX141 IVB122:IVB141 ILF122:ILF141 IBJ122:IBJ141 HRN122:HRN141 HHR122:HHR141 GXV122:GXV141 GNZ122:GNZ141 GED122:GED141 FUH122:FUH141 FKL122:FKL141 FAP122:FAP141 EQT122:EQT141 EGX122:EGX141 DXB122:DXB141 DNF122:DNF141 DDJ122:DDJ141 CTN122:CTN141 CJR122:CJR141 BZV122:BZV141 BPZ122:BPZ141 BGD122:BGD141 AWH122:AWH141 AML122:AML141 ACP122:ACP141 ST122:ST141 IX122:IX141 WVJ122:WVJ141">
      <formula1>мва</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21:Q221 D222"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I30" sqref="I30"/>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41"/>
      <c r="H1" s="2"/>
      <c r="I1" s="2"/>
      <c r="J1" s="2"/>
    </row>
    <row r="2" spans="1:24" ht="25.5" customHeight="1"/>
    <row r="3" spans="1:24" ht="36">
      <c r="B3" s="895" t="str">
        <f>+"Панель показателей: "&amp;" "&amp;+IF('Ввод данных'!B4="Выберите","",'Ввод данных'!B4&amp;" - ")&amp;+IF('Ввод данных'!F6="Выберите","",'Ввод данных'!F6)</f>
        <v>Панель показателей:  Кыргызстан - ВИЧ/СПИД/ТБ</v>
      </c>
      <c r="C3" s="895"/>
      <c r="D3" s="895"/>
      <c r="E3" s="895"/>
      <c r="F3" s="895"/>
      <c r="G3" s="895"/>
      <c r="H3" s="895"/>
      <c r="I3" s="895"/>
      <c r="J3" s="895"/>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37" t="s">
        <v>92</v>
      </c>
      <c r="B6" s="896" t="str">
        <f>+IF('Ввод данных'!B4="Выберите","",'Ввод данных'!B4)</f>
        <v>Кыргызстан</v>
      </c>
      <c r="C6" s="896"/>
      <c r="D6" s="899" t="s">
        <v>317</v>
      </c>
      <c r="E6" s="899"/>
      <c r="F6" s="900" t="str">
        <f>+'Ввод данных'!F4</f>
        <v>«Эффективный контроль за туберкулезом и ВИЧ-инфекцией в Кыргызской Республике»</v>
      </c>
      <c r="G6" s="900"/>
      <c r="H6" s="900"/>
      <c r="I6" s="900"/>
      <c r="J6" s="900"/>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75">
      <c r="A9" s="315" t="s">
        <v>249</v>
      </c>
      <c r="B9" s="359" t="str">
        <f>+IF('Ввод данных'!F6="Please Select","",'Ввод данных'!F6)</f>
        <v>ВИЧ/СПИД/ТБ</v>
      </c>
      <c r="C9" s="203" t="s">
        <v>335</v>
      </c>
      <c r="D9" s="290" t="str">
        <f>+'Ввод данных'!B6</f>
        <v>KGZ-C-UNDP</v>
      </c>
      <c r="E9" s="898" t="s">
        <v>274</v>
      </c>
      <c r="F9" s="898"/>
      <c r="G9" s="291">
        <f>+IF(ISBLANK('Ввод данных'!B10),"",'Ввод данных'!B10)</f>
        <v>42552</v>
      </c>
      <c r="H9" s="378" t="s">
        <v>4</v>
      </c>
      <c r="I9" s="897">
        <f>+IF(ISBLANK('Ввод данных'!H6),"",'Ввод данных'!H6)</f>
        <v>24341578.491344798</v>
      </c>
      <c r="J9" s="897"/>
      <c r="K9" s="47"/>
      <c r="L9" s="47"/>
      <c r="M9" s="47"/>
      <c r="N9" s="47"/>
      <c r="O9" s="49"/>
      <c r="P9" s="48"/>
      <c r="Q9" s="49"/>
      <c r="R9" s="50"/>
      <c r="S9" s="17"/>
      <c r="T9" s="11"/>
      <c r="U9" s="11"/>
      <c r="V9" s="10"/>
      <c r="W9" s="10"/>
      <c r="X9" s="10"/>
    </row>
    <row r="10" spans="1:24" ht="15.75" customHeight="1">
      <c r="A10" s="315" t="s">
        <v>250</v>
      </c>
      <c r="B10" s="360">
        <f>+IF('Ввод данных'!F8="Please Select","",'Ввод данных'!F8)</f>
        <v>0</v>
      </c>
      <c r="C10" s="203" t="s">
        <v>256</v>
      </c>
      <c r="D10" s="358">
        <f>+IF('Ввод данных'!H8="Please Select","",'Ввод данных'!H8)</f>
        <v>0</v>
      </c>
      <c r="E10" s="889" t="s">
        <v>315</v>
      </c>
      <c r="F10" s="890"/>
      <c r="G10" s="888" t="str">
        <f>+'Ввод данных'!B8</f>
        <v>ПРООН</v>
      </c>
      <c r="H10" s="888"/>
      <c r="I10" s="888"/>
      <c r="J10" s="888"/>
      <c r="K10" s="51"/>
      <c r="L10" s="51"/>
      <c r="M10" s="47"/>
      <c r="N10" s="51"/>
      <c r="O10" s="49"/>
      <c r="P10" s="48"/>
      <c r="Q10" s="11"/>
      <c r="R10" s="50"/>
      <c r="S10" s="17"/>
      <c r="T10" s="11"/>
      <c r="U10" s="11"/>
    </row>
    <row r="11" spans="1:24" ht="31.5" customHeight="1">
      <c r="A11" s="315" t="s">
        <v>336</v>
      </c>
      <c r="B11" s="292" t="str">
        <f>+'Ввод данных'!B16</f>
        <v>P2</v>
      </c>
      <c r="C11" s="284" t="s">
        <v>272</v>
      </c>
      <c r="D11" s="293">
        <f>+IF(ISBLANK('Ввод данных'!D16),"",'Ввод данных'!D16)</f>
        <v>42736</v>
      </c>
      <c r="E11" s="898" t="s">
        <v>273</v>
      </c>
      <c r="F11" s="898"/>
      <c r="G11" s="293">
        <f>+IF(ISBLANK('Ввод данных'!F16),"",'Ввод данных'!F16)</f>
        <v>42916</v>
      </c>
      <c r="H11" s="377" t="s">
        <v>396</v>
      </c>
      <c r="I11" s="891" t="str">
        <f>+IF('Ввод данных'!B12="Пожалуйста Выберите","",'Ввод данных'!B12)</f>
        <v>A1</v>
      </c>
      <c r="J11" s="891"/>
      <c r="K11" s="240"/>
      <c r="L11" s="51"/>
      <c r="M11" s="47"/>
      <c r="N11" s="51"/>
      <c r="O11" s="51"/>
      <c r="P11" s="48"/>
      <c r="Q11" s="11"/>
      <c r="R11" s="50"/>
      <c r="S11" s="17"/>
      <c r="T11" s="12"/>
      <c r="U11" s="11"/>
    </row>
    <row r="12" spans="1:24" ht="31.5" customHeight="1">
      <c r="A12" s="362" t="s">
        <v>318</v>
      </c>
      <c r="B12" s="888" t="str">
        <f>+IF('Ввод данных'!F10="Пожалуйста Выберите","",'Ввод данных'!F10)</f>
        <v>UNOPS</v>
      </c>
      <c r="C12" s="888"/>
      <c r="D12" s="888"/>
      <c r="E12" s="892" t="s">
        <v>395</v>
      </c>
      <c r="F12" s="892"/>
      <c r="G12" s="888" t="str">
        <f>+'Ввод данных'!F12</f>
        <v>Арташес Мирзоян</v>
      </c>
      <c r="H12" s="888"/>
      <c r="I12" s="888"/>
      <c r="J12" s="888"/>
      <c r="K12" s="51"/>
      <c r="L12" s="51"/>
      <c r="M12" s="47"/>
      <c r="N12" s="51"/>
      <c r="O12" s="17"/>
      <c r="P12" s="48"/>
      <c r="Q12" s="11"/>
      <c r="R12" s="50"/>
      <c r="S12" s="17"/>
      <c r="T12" s="11"/>
      <c r="U12" s="52"/>
      <c r="V12" s="11"/>
      <c r="W12" s="12"/>
      <c r="X12" s="11"/>
    </row>
    <row r="13" spans="1:24" ht="27.75" customHeight="1">
      <c r="A13" s="361" t="s">
        <v>394</v>
      </c>
      <c r="B13" s="888" t="str">
        <f>+'Ввод данных'!C18</f>
        <v>ПРООН</v>
      </c>
      <c r="C13" s="888"/>
      <c r="D13" s="888"/>
      <c r="E13" s="892" t="s">
        <v>275</v>
      </c>
      <c r="F13" s="892"/>
      <c r="G13" s="893">
        <f>+IF(ISBLANK('Ввод данных'!I16),"",'Ввод данных'!I16)</f>
        <v>43202</v>
      </c>
      <c r="H13" s="894"/>
      <c r="I13" s="894"/>
      <c r="J13" s="894"/>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12"/>
      <c r="D16" s="16"/>
      <c r="E16" s="316"/>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1" type="noConversion"/>
  <conditionalFormatting sqref="I11:J11">
    <cfRule type="cellIs" dxfId="79" priority="1" stopIfTrue="1" operator="equal">
      <formula>"C"</formula>
    </cfRule>
    <cfRule type="cellIs" dxfId="78" priority="2" stopIfTrue="1" operator="equal">
      <formula>"B2"</formula>
    </cfRule>
    <cfRule type="cellIs" dxfId="77"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13" zoomScale="130" zoomScaleNormal="130" workbookViewId="0">
      <selection activeCell="Q25" sqref="Q25"/>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425781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08" t="str">
        <f>+"Панель показателей:  "&amp;"  "&amp;IF(+'Ввод данных'!B4="Выберите","",'Ввод данных'!B4&amp;" - ")&amp;IF('Ввод данных'!F6="Выберите","",'Ввод данных'!F6)</f>
        <v>Панель показателей:    Кыргызстан - ВИЧ/СПИД/ТБ</v>
      </c>
      <c r="C2" s="908"/>
      <c r="D2" s="908"/>
      <c r="E2" s="908"/>
      <c r="F2" s="908"/>
      <c r="G2" s="908"/>
      <c r="H2" s="908"/>
      <c r="I2" s="908"/>
      <c r="J2" s="908"/>
      <c r="K2" s="908"/>
      <c r="L2" s="908"/>
      <c r="M2" s="908"/>
      <c r="N2" s="1"/>
      <c r="O2" s="1"/>
      <c r="P2" s="1"/>
      <c r="Q2" s="1"/>
    </row>
    <row r="3" spans="2:17">
      <c r="B3" s="363">
        <f>+IF('Ввод данных'!F8="Выберите","",'Ввод данных'!F8)</f>
        <v>0</v>
      </c>
      <c r="C3" s="913"/>
      <c r="D3" s="913"/>
      <c r="E3" s="912"/>
      <c r="F3" s="912"/>
      <c r="G3" s="912"/>
      <c r="H3" s="912"/>
      <c r="I3" s="912"/>
      <c r="J3" s="912"/>
      <c r="K3" s="910" t="str">
        <f>+'Ввод данных'!A16</f>
        <v>Отчетный период</v>
      </c>
      <c r="L3" s="910"/>
      <c r="M3" s="183" t="str">
        <f>+'Ввод данных'!B16</f>
        <v>P2</v>
      </c>
      <c r="N3" s="79"/>
    </row>
    <row r="4" spans="2:17" ht="23.25">
      <c r="B4" s="379" t="str">
        <f>+'Ввод данных'!A12</f>
        <v>Последняя оценка:</v>
      </c>
      <c r="C4" s="914" t="str">
        <f>+IF('Ввод данных'!B12="Выберите","",'Ввод данных'!B12)</f>
        <v>A1</v>
      </c>
      <c r="D4" s="914"/>
      <c r="E4" s="912" t="str">
        <f>+'Ввод данных'!B8</f>
        <v>ПРООН</v>
      </c>
      <c r="F4" s="912"/>
      <c r="G4" s="912"/>
      <c r="H4" s="912"/>
      <c r="I4" s="912"/>
      <c r="J4" s="912"/>
      <c r="K4" s="910" t="str">
        <f>+'Ввод данных'!C16</f>
        <v>с:</v>
      </c>
      <c r="L4" s="911"/>
      <c r="M4" s="185">
        <f>+IF(ISBLANK('Ввод данных'!D16),"",'Ввод данных'!D16)</f>
        <v>42736</v>
      </c>
    </row>
    <row r="5" spans="2:17" ht="18.75" customHeight="1">
      <c r="B5" s="119"/>
      <c r="C5" s="119"/>
      <c r="D5" s="909" t="str">
        <f>+'Ввод данных'!F4</f>
        <v>«Эффективный контроль за туберкулезом и ВИЧ-инфекцией в Кыргызской Республике»</v>
      </c>
      <c r="E5" s="909"/>
      <c r="F5" s="909"/>
      <c r="G5" s="909"/>
      <c r="H5" s="909"/>
      <c r="I5" s="909"/>
      <c r="J5" s="909"/>
      <c r="K5" s="909"/>
      <c r="L5" s="119" t="str">
        <f>+'Ввод данных'!E16</f>
        <v>до:</v>
      </c>
      <c r="M5" s="185">
        <f>+IF(ISBLANK('Ввод данных'!F16),"",'Ввод данных'!F16)</f>
        <v>42916</v>
      </c>
    </row>
    <row r="6" spans="2:17" ht="18.75">
      <c r="B6" s="123"/>
      <c r="C6" s="119"/>
      <c r="D6" s="120"/>
      <c r="E6" s="915" t="s">
        <v>381</v>
      </c>
      <c r="F6" s="915"/>
      <c r="G6" s="915"/>
      <c r="H6" s="915"/>
      <c r="I6" s="915"/>
      <c r="J6" s="915"/>
      <c r="K6" s="3"/>
      <c r="L6" s="3"/>
      <c r="M6" s="3"/>
    </row>
    <row r="7" spans="2:17" ht="10.5" customHeight="1">
      <c r="B7" s="124"/>
      <c r="C7" s="125"/>
      <c r="D7" s="126"/>
      <c r="E7" s="127"/>
      <c r="F7" s="127"/>
      <c r="G7" s="128"/>
      <c r="H7" s="128"/>
      <c r="I7" s="128"/>
      <c r="J7" s="128"/>
      <c r="K7" s="122"/>
      <c r="L7" s="122"/>
      <c r="M7" s="121"/>
    </row>
    <row r="8" spans="2:17">
      <c r="B8" s="188" t="str">
        <f>+'Ввод данных'!A27&amp; " - в ("&amp;'Ввод данных'!C26&amp;")  "&amp;+K3&amp;" "&amp;+M3</f>
        <v>F1: Бюджет и выплаты Глобальным фондом - в ($)  Отчетный период P2</v>
      </c>
      <c r="C8" s="129"/>
      <c r="D8" s="2"/>
      <c r="E8" s="2"/>
      <c r="F8" s="2"/>
      <c r="J8" s="188" t="str">
        <f>+'Ввод данных'!A58&amp; " - в ("&amp;'Ввод данных'!C26&amp;")         "&amp;+K3&amp;" "&amp;+M3</f>
        <v>F3: Выплаты и расходы - в ($)         Отчетный период P2</v>
      </c>
      <c r="K8" s="3"/>
      <c r="L8" s="3"/>
      <c r="M8" s="3"/>
    </row>
    <row r="9" spans="2:17" ht="21.75" customHeight="1">
      <c r="B9" s="295" t="s">
        <v>437</v>
      </c>
      <c r="C9" s="921" t="s">
        <v>504</v>
      </c>
      <c r="D9" s="902"/>
      <c r="E9" s="902"/>
      <c r="F9" s="903"/>
      <c r="J9" s="296" t="s">
        <v>437</v>
      </c>
      <c r="K9" s="901" t="s">
        <v>505</v>
      </c>
      <c r="L9" s="902"/>
      <c r="M9" s="903"/>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89" t="str">
        <f>+'Ввод данных'!A36&amp; " - в ("&amp;'Ввод данных'!C26&amp;")  "&amp;+K3&amp;" "&amp;+M3</f>
        <v>F2: Бюджет и фактические расходы согласно задачам гранта - в ($)  Отчетный период P2</v>
      </c>
      <c r="C22" s="2"/>
      <c r="D22" s="2"/>
      <c r="E22" s="2"/>
      <c r="F22" s="2"/>
      <c r="J22" s="189" t="str">
        <f>+'Ввод данных'!A67&amp;"      "&amp;+K3&amp;" "&amp;+M3</f>
        <v>F4: Последний отчетный и платежный цикл ОР      Отчетный период P2</v>
      </c>
      <c r="L22" s="3"/>
      <c r="M22" s="3"/>
    </row>
    <row r="23" spans="1:13" ht="25.5" customHeight="1">
      <c r="B23" s="295" t="s">
        <v>437</v>
      </c>
      <c r="C23" s="901" t="s">
        <v>506</v>
      </c>
      <c r="D23" s="902"/>
      <c r="E23" s="902"/>
      <c r="F23" s="903"/>
      <c r="G23" s="312"/>
      <c r="H23" s="312"/>
      <c r="I23" s="312"/>
      <c r="J23" s="295" t="s">
        <v>437</v>
      </c>
      <c r="K23" s="901" t="s">
        <v>507</v>
      </c>
      <c r="L23" s="922"/>
      <c r="M23" s="923"/>
    </row>
    <row r="24" spans="1:13" ht="15.75" thickBot="1">
      <c r="B24" s="197"/>
      <c r="C24" s="197"/>
      <c r="D24" s="197"/>
      <c r="E24" s="197"/>
      <c r="F24" s="197"/>
      <c r="G24" s="197"/>
      <c r="H24" s="197"/>
      <c r="I24" s="197"/>
      <c r="J24" s="198"/>
      <c r="K24" s="198"/>
      <c r="L24" s="197"/>
      <c r="M24" s="197"/>
    </row>
    <row r="25" spans="1:13" ht="29.25" customHeight="1" thickBot="1">
      <c r="B25" s="3"/>
      <c r="C25" s="3"/>
      <c r="D25" s="3"/>
      <c r="E25" s="3"/>
      <c r="F25" s="3"/>
      <c r="G25" s="282"/>
      <c r="H25" s="282"/>
      <c r="I25" s="282"/>
      <c r="J25" s="916" t="s">
        <v>364</v>
      </c>
      <c r="K25" s="917"/>
      <c r="L25" s="917"/>
      <c r="M25" s="918"/>
    </row>
    <row r="26" spans="1:13" ht="24.75">
      <c r="B26" s="3"/>
      <c r="C26" s="3"/>
      <c r="D26" s="3"/>
      <c r="E26" s="3"/>
      <c r="F26" s="3"/>
      <c r="G26" s="256"/>
      <c r="H26" s="256"/>
      <c r="I26" s="256"/>
      <c r="J26" s="919"/>
      <c r="K26" s="920"/>
      <c r="L26" s="266" t="s">
        <v>356</v>
      </c>
      <c r="M26" s="267" t="s">
        <v>357</v>
      </c>
    </row>
    <row r="27" spans="1:13" ht="23.25" customHeight="1">
      <c r="B27" s="3"/>
      <c r="C27" s="3"/>
      <c r="D27" s="3"/>
      <c r="E27" s="3"/>
      <c r="F27" s="3"/>
      <c r="G27" s="283"/>
      <c r="H27" s="283"/>
      <c r="I27" s="283"/>
      <c r="J27" s="904" t="str">
        <f>'Ввод данных'!A71</f>
        <v xml:space="preserve">Сколько дней понадобилось для подачи ИОР/ЗПС в офис МАФ </v>
      </c>
      <c r="K27" s="905"/>
      <c r="L27" s="268">
        <f>+'Ввод данных'!C71</f>
        <v>74</v>
      </c>
      <c r="M27" s="265">
        <f>+'Ввод данных'!D71</f>
        <v>77</v>
      </c>
    </row>
    <row r="28" spans="1:13" ht="21" customHeight="1">
      <c r="B28" s="3"/>
      <c r="C28" s="3"/>
      <c r="D28" s="3"/>
      <c r="E28" s="3"/>
      <c r="F28" s="3"/>
      <c r="G28" s="283"/>
      <c r="H28" s="283"/>
      <c r="I28" s="283"/>
      <c r="J28" s="904" t="str">
        <f>'Ввод данных'!A72</f>
        <v xml:space="preserve">Спустя сколько дней ОР получил платеж </v>
      </c>
      <c r="K28" s="905"/>
      <c r="L28" s="268">
        <f>+'Ввод данных'!C72</f>
        <v>60</v>
      </c>
      <c r="M28" s="265">
        <f>+'Ввод данных'!D72</f>
        <v>39</v>
      </c>
    </row>
    <row r="29" spans="1:13" ht="21" customHeight="1" thickBot="1">
      <c r="B29" s="3"/>
      <c r="C29" s="3"/>
      <c r="D29" s="3"/>
      <c r="E29" s="3"/>
      <c r="F29" s="3"/>
      <c r="G29" s="283"/>
      <c r="H29" s="283"/>
      <c r="I29" s="283"/>
      <c r="J29" s="906" t="str">
        <f>'Ввод данных'!A73</f>
        <v>Спустя сколько дней суб-реципиенты получили платежи</v>
      </c>
      <c r="K29" s="907"/>
      <c r="L29" s="269">
        <f>+'Ввод данных'!C73</f>
        <v>10</v>
      </c>
      <c r="M29" s="270">
        <f>+'Ввод данных'!D73</f>
        <v>21</v>
      </c>
    </row>
    <row r="30" spans="1:13">
      <c r="B30" s="3"/>
      <c r="C30" s="3"/>
      <c r="D30" s="3"/>
      <c r="E30" s="3"/>
      <c r="F30" s="3"/>
      <c r="G30" s="3"/>
      <c r="H30" s="3"/>
      <c r="I30" s="3"/>
      <c r="J30" s="3"/>
      <c r="K30" s="3"/>
      <c r="L30" s="3"/>
      <c r="M30" s="3"/>
    </row>
    <row r="31" spans="1:13">
      <c r="B31" s="3"/>
      <c r="C31" s="15"/>
      <c r="D31" s="213"/>
      <c r="E31" s="3"/>
      <c r="F31" s="3"/>
      <c r="G31" s="3"/>
      <c r="H31" s="3"/>
      <c r="I31" s="3"/>
      <c r="J31" s="3"/>
      <c r="K31" s="3"/>
      <c r="L31" s="3"/>
      <c r="M31" s="3"/>
    </row>
    <row r="32" spans="1:13">
      <c r="B32" s="3"/>
      <c r="C32" s="15"/>
      <c r="D32" s="213"/>
      <c r="E32" s="3"/>
      <c r="F32" s="3"/>
      <c r="G32" s="3"/>
      <c r="H32" s="3"/>
      <c r="I32" s="3"/>
      <c r="J32" s="3"/>
      <c r="K32" s="3"/>
      <c r="L32" s="3"/>
      <c r="M32" s="3"/>
    </row>
    <row r="34" spans="2:5">
      <c r="B34" s="400" t="s">
        <v>407</v>
      </c>
      <c r="E34" s="19"/>
    </row>
    <row r="35" spans="2:5">
      <c r="B35" s="399"/>
    </row>
    <row r="36" spans="2:5">
      <c r="B36" s="400" t="s">
        <v>408</v>
      </c>
    </row>
  </sheetData>
  <sheetProtection password="CFC9" sheet="1"/>
  <mergeCells count="18">
    <mergeCell ref="C9:F9"/>
    <mergeCell ref="K23:M23"/>
    <mergeCell ref="C23:F23"/>
    <mergeCell ref="K9:M9"/>
    <mergeCell ref="J28:K28"/>
    <mergeCell ref="J29:K29"/>
    <mergeCell ref="B2:M2"/>
    <mergeCell ref="D5:K5"/>
    <mergeCell ref="K4:L4"/>
    <mergeCell ref="K3:L3"/>
    <mergeCell ref="E3:J3"/>
    <mergeCell ref="C3:D3"/>
    <mergeCell ref="C4:D4"/>
    <mergeCell ref="E4:J4"/>
    <mergeCell ref="E6:J6"/>
    <mergeCell ref="J25:M25"/>
    <mergeCell ref="J26:K26"/>
    <mergeCell ref="J27:K27"/>
  </mergeCells>
  <phoneticPr fontId="31" type="noConversion"/>
  <conditionalFormatting sqref="C4:D4">
    <cfRule type="cellIs" dxfId="76" priority="3" stopIfTrue="1" operator="equal">
      <formula>"C"</formula>
    </cfRule>
    <cfRule type="cellIs" dxfId="75" priority="4" stopIfTrue="1" operator="equal">
      <formula>"B2"</formula>
    </cfRule>
    <cfRule type="cellIs" dxfId="74" priority="5" stopIfTrue="1" operator="equal">
      <formula>"B1"</formula>
    </cfRule>
  </conditionalFormatting>
  <conditionalFormatting sqref="M27:M29">
    <cfRule type="expression" dxfId="73" priority="1" stopIfTrue="1">
      <formula>$M27&gt;$L27</formula>
    </cfRule>
    <cfRule type="expression" dxfId="72"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46"/>
  <sheetViews>
    <sheetView showGridLines="0" topLeftCell="A34" zoomScaleNormal="100" workbookViewId="0">
      <selection activeCell="R30" sqref="R30"/>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18.42578125" customWidth="1"/>
    <col min="11" max="11" width="13.7109375" customWidth="1"/>
    <col min="12" max="12" width="13.5703125" customWidth="1"/>
    <col min="13" max="13" width="14.140625" customWidth="1"/>
  </cols>
  <sheetData>
    <row r="1" spans="1:17" ht="28.5" customHeight="1">
      <c r="C1" s="209"/>
      <c r="E1" s="210"/>
    </row>
    <row r="2" spans="1:17" ht="27.75" customHeight="1">
      <c r="B2" s="908" t="str">
        <f>+"Панель показателей:  "&amp;"  "&amp;IF(+'Ввод данных'!B4="Выберите","",'Ввод данных'!B4&amp;" - ")&amp;IF('Ввод данных'!F6="Выберите","",'Ввод данных'!F6)</f>
        <v>Панель показателей:    Кыргызстан - ВИЧ/СПИД/ТБ</v>
      </c>
      <c r="C2" s="908"/>
      <c r="D2" s="908"/>
      <c r="E2" s="908"/>
      <c r="F2" s="908"/>
      <c r="G2" s="908"/>
      <c r="H2" s="908"/>
      <c r="I2" s="908"/>
      <c r="J2" s="908"/>
      <c r="K2" s="908"/>
      <c r="L2" s="908"/>
      <c r="M2" s="908"/>
      <c r="N2" s="25"/>
      <c r="O2" s="25"/>
      <c r="P2" s="25"/>
      <c r="Q2" s="25"/>
    </row>
    <row r="3" spans="1:17" ht="22.5" customHeight="1">
      <c r="A3" s="368"/>
      <c r="B3" s="369">
        <f>+IF('Ввод данных'!F8="Пожалуйста выберите","",'Ввод данных'!F8)</f>
        <v>0</v>
      </c>
      <c r="C3" s="931">
        <f>+IF('Ввод данных'!H8="Пожалуйста выберите","",'Ввод данных'!H8)</f>
        <v>0</v>
      </c>
      <c r="D3" s="931"/>
      <c r="E3" s="925"/>
      <c r="F3" s="925"/>
      <c r="G3" s="925"/>
      <c r="H3" s="925"/>
      <c r="I3" s="925"/>
      <c r="J3" s="925"/>
      <c r="K3" s="926" t="str">
        <f>+'Ввод данных'!A16</f>
        <v>Отчетный период</v>
      </c>
      <c r="L3" s="926"/>
      <c r="M3" s="183" t="str">
        <f>+'Ввод данных'!B16</f>
        <v>P2</v>
      </c>
    </row>
    <row r="4" spans="1:17" ht="25.5" customHeight="1">
      <c r="A4" s="368"/>
      <c r="B4" s="383" t="str">
        <f>+'Ввод данных'!A12</f>
        <v>Последняя оценка:</v>
      </c>
      <c r="C4" s="924" t="str">
        <f>+IF('Ввод данных'!B12="Выберите","",'Ввод данных'!B12)</f>
        <v>A1</v>
      </c>
      <c r="D4" s="924"/>
      <c r="E4" s="925" t="str">
        <f>+'Ввод данных'!B8</f>
        <v>ПРООН</v>
      </c>
      <c r="F4" s="925"/>
      <c r="G4" s="925"/>
      <c r="H4" s="925"/>
      <c r="I4" s="925"/>
      <c r="J4" s="925"/>
      <c r="K4" s="926" t="str">
        <f>+'Ввод данных'!C16</f>
        <v>с:</v>
      </c>
      <c r="L4" s="926"/>
      <c r="M4" s="185">
        <f>+IF(ISBLANK('Ввод данных'!D16),"",'Ввод данных'!D16)</f>
        <v>42736</v>
      </c>
    </row>
    <row r="5" spans="1:17" ht="18.75" customHeight="1">
      <c r="B5" s="23"/>
      <c r="C5" s="23"/>
      <c r="D5" s="925" t="str">
        <f>+'Ввод данных'!F4</f>
        <v>«Эффективный контроль за туберкулезом и ВИЧ-инфекцией в Кыргызской Республике»</v>
      </c>
      <c r="E5" s="925"/>
      <c r="F5" s="925"/>
      <c r="G5" s="925"/>
      <c r="H5" s="925"/>
      <c r="I5" s="925"/>
      <c r="J5" s="925"/>
      <c r="K5" s="925"/>
      <c r="L5" s="23" t="str">
        <f>+'Ввод данных'!E16</f>
        <v>до:</v>
      </c>
      <c r="M5" s="185">
        <f>+IF(ISBLANK('Ввод данных'!F16),"",'Ввод данных'!F16)</f>
        <v>42916</v>
      </c>
    </row>
    <row r="6" spans="1:17" ht="18.75">
      <c r="B6" s="22"/>
      <c r="C6" s="23"/>
      <c r="D6" s="24"/>
      <c r="E6" s="372" t="s">
        <v>393</v>
      </c>
      <c r="F6" s="372"/>
      <c r="G6" s="372"/>
      <c r="H6" s="372"/>
      <c r="I6" s="372"/>
      <c r="J6" s="372"/>
    </row>
    <row r="7" spans="1:17" ht="22.5" customHeight="1" thickBot="1">
      <c r="B7" s="929" t="str">
        <f>+'Ввод данных'!A78&amp;" "&amp;+K3&amp;"   "&amp;+M3</f>
        <v>M1: Статус Предварительных условий (ПУ) и Действий с установленным сроком исполнения (ДУС) Отчетный период   P2</v>
      </c>
      <c r="C7" s="929"/>
      <c r="D7" s="929"/>
      <c r="E7" s="929"/>
      <c r="F7" s="929"/>
      <c r="G7" s="371"/>
      <c r="I7" s="313" t="str">
        <f>+'Ввод данных'!A87&amp;"                                       "&amp;+K3&amp;"  "&amp;+M3</f>
        <v>M2: Статус ключевых руководящих должностей в структуре ОР                                       Отчетный период  P2</v>
      </c>
    </row>
    <row r="8" spans="1:17" ht="25.5" customHeight="1" thickBot="1">
      <c r="B8" s="567" t="s">
        <v>437</v>
      </c>
      <c r="C8" s="927" t="s">
        <v>626</v>
      </c>
      <c r="D8" s="927"/>
      <c r="E8" s="927"/>
      <c r="F8" s="928"/>
      <c r="G8" s="374"/>
      <c r="H8" s="314"/>
      <c r="I8" s="567" t="s">
        <v>437</v>
      </c>
      <c r="J8" s="927" t="s">
        <v>627</v>
      </c>
      <c r="K8" s="927"/>
      <c r="L8" s="927"/>
      <c r="M8" s="928"/>
    </row>
    <row r="9" spans="1:17">
      <c r="B9" s="19"/>
      <c r="C9" s="19"/>
      <c r="D9" s="19"/>
      <c r="E9" s="19"/>
      <c r="F9" s="19"/>
      <c r="G9" s="19"/>
      <c r="H9" s="19"/>
      <c r="I9" s="19"/>
    </row>
    <row r="10" spans="1:17">
      <c r="A10" s="44"/>
      <c r="B10" s="19"/>
      <c r="C10" s="19"/>
      <c r="D10" s="930"/>
      <c r="E10" s="697"/>
      <c r="F10" s="697"/>
      <c r="G10" s="352"/>
      <c r="H10" s="352"/>
      <c r="I10" s="19"/>
      <c r="O10" s="46"/>
      <c r="P10" s="46"/>
      <c r="Q10" s="45"/>
    </row>
    <row r="11" spans="1:17">
      <c r="B11" s="19"/>
      <c r="C11" s="27"/>
      <c r="D11" s="930"/>
      <c r="E11" s="27"/>
      <c r="F11" s="27"/>
      <c r="G11" s="27"/>
      <c r="H11" s="27"/>
      <c r="I11" s="27"/>
      <c r="O11" s="19"/>
      <c r="P11" s="19"/>
    </row>
    <row r="12" spans="1:17">
      <c r="B12" s="27"/>
      <c r="C12" s="75"/>
      <c r="D12" s="76"/>
      <c r="E12" s="76"/>
      <c r="F12" s="76"/>
      <c r="G12" s="76"/>
      <c r="H12" s="76"/>
      <c r="I12" s="77"/>
    </row>
    <row r="13" spans="1:17">
      <c r="B13" s="27"/>
      <c r="C13" s="75"/>
      <c r="D13" s="76"/>
      <c r="E13" s="76"/>
      <c r="F13" s="76"/>
      <c r="G13" s="76"/>
      <c r="H13" s="76"/>
      <c r="I13" s="77"/>
    </row>
    <row r="19" spans="2:13" ht="27.75" customHeight="1" thickBot="1">
      <c r="B19" s="313" t="str">
        <f>+'Ввод данных'!A93&amp;"                                                                                                  "&amp;+K3&amp;" "&amp;+M3</f>
        <v>M3: Контрактные соглашения (СР)                                                                                                   Отчетный период P2</v>
      </c>
      <c r="I19" s="313" t="str">
        <f>+'Ввод данных'!A99&amp;"                                       "&amp;+K3&amp;" "&amp;+M3</f>
        <v>M4: Количество полных отчетов, полученных к установленному сроку                                       Отчетный период P2</v>
      </c>
    </row>
    <row r="20" spans="2:13" ht="111" customHeight="1" thickBot="1">
      <c r="B20" s="569" t="s">
        <v>437</v>
      </c>
      <c r="C20" s="935" t="s">
        <v>620</v>
      </c>
      <c r="D20" s="935"/>
      <c r="E20" s="935"/>
      <c r="F20" s="936"/>
      <c r="G20" s="570"/>
      <c r="H20" s="570"/>
      <c r="I20" s="568" t="s">
        <v>437</v>
      </c>
      <c r="J20" s="935" t="s">
        <v>625</v>
      </c>
      <c r="K20" s="935"/>
      <c r="L20" s="935"/>
      <c r="M20" s="936"/>
    </row>
    <row r="21" spans="2:13" ht="27.75" customHeight="1">
      <c r="B21" s="313"/>
    </row>
    <row r="22" spans="2:13" ht="73.5" customHeight="1">
      <c r="B22" s="313"/>
    </row>
    <row r="23" spans="2:13" ht="27.75" customHeight="1">
      <c r="B23" s="313"/>
    </row>
    <row r="24" spans="2:13" ht="27.75" customHeight="1">
      <c r="B24" s="313"/>
    </row>
    <row r="25" spans="2:13" ht="27.75" customHeight="1">
      <c r="B25" s="313"/>
      <c r="I25" s="313"/>
    </row>
    <row r="26" spans="2:13">
      <c r="B26" s="313"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I26" s="313" t="str">
        <f>+'Ввод данных'!A120&amp;"                    "&amp;+K3&amp;"  "&amp;+M3</f>
        <v>M6: Разница между текущим и резервным запасами                    Отчетный период  P2</v>
      </c>
    </row>
    <row r="27" spans="2:13" ht="54" customHeight="1">
      <c r="B27" s="613" t="s">
        <v>437</v>
      </c>
      <c r="C27" s="937" t="s">
        <v>648</v>
      </c>
      <c r="D27" s="938"/>
      <c r="E27" s="938"/>
      <c r="F27" s="939"/>
      <c r="G27" s="375"/>
      <c r="H27" s="314"/>
      <c r="I27" s="552" t="s">
        <v>622</v>
      </c>
      <c r="J27" s="940" t="s">
        <v>649</v>
      </c>
      <c r="K27" s="941"/>
      <c r="L27" s="941"/>
      <c r="M27" s="942"/>
    </row>
    <row r="28" spans="2:13" ht="90.75" customHeight="1" thickBot="1">
      <c r="I28" s="551" t="s">
        <v>621</v>
      </c>
      <c r="J28" s="901" t="s">
        <v>650</v>
      </c>
      <c r="K28" s="922"/>
      <c r="L28" s="922"/>
      <c r="M28" s="923"/>
    </row>
    <row r="29" spans="2:13" ht="68.25">
      <c r="F29" s="285"/>
      <c r="G29" s="285"/>
      <c r="H29" s="285"/>
      <c r="I29" s="604" t="s">
        <v>269</v>
      </c>
      <c r="J29" s="605" t="s">
        <v>384</v>
      </c>
      <c r="K29" s="606" t="s">
        <v>382</v>
      </c>
      <c r="L29" s="607" t="s">
        <v>383</v>
      </c>
      <c r="M29" s="608" t="s">
        <v>337</v>
      </c>
    </row>
    <row r="30" spans="2:13" ht="15" customHeight="1">
      <c r="F30" s="285"/>
      <c r="G30" s="285"/>
      <c r="H30" s="285"/>
      <c r="I30" s="943" t="s">
        <v>244</v>
      </c>
      <c r="J30" s="609" t="s">
        <v>44</v>
      </c>
      <c r="K30" s="610">
        <v>5.6833712984054667</v>
      </c>
      <c r="L30" s="610">
        <v>3</v>
      </c>
      <c r="M30" s="610">
        <v>2.6833712984054667</v>
      </c>
    </row>
    <row r="31" spans="2:13">
      <c r="F31" s="285"/>
      <c r="G31" s="285"/>
      <c r="H31" s="285"/>
      <c r="I31" s="933"/>
      <c r="J31" s="609" t="s">
        <v>430</v>
      </c>
      <c r="K31" s="610">
        <v>2.7731031543052005</v>
      </c>
      <c r="L31" s="610">
        <v>3</v>
      </c>
      <c r="M31" s="610">
        <v>-0.22689684569479951</v>
      </c>
    </row>
    <row r="32" spans="2:13">
      <c r="F32" s="285"/>
      <c r="G32" s="285"/>
      <c r="H32" s="285"/>
      <c r="I32" s="933"/>
      <c r="J32" s="609" t="s">
        <v>39</v>
      </c>
      <c r="K32" s="610">
        <v>7.1514550264550261</v>
      </c>
      <c r="L32" s="610">
        <v>3</v>
      </c>
      <c r="M32" s="610">
        <v>4.1514550264550261</v>
      </c>
    </row>
    <row r="33" spans="6:13">
      <c r="F33" s="285"/>
      <c r="G33" s="285"/>
      <c r="H33" s="285"/>
      <c r="I33" s="933"/>
      <c r="J33" s="609" t="s">
        <v>42</v>
      </c>
      <c r="K33" s="610">
        <v>7.8240740740740744</v>
      </c>
      <c r="L33" s="610">
        <v>3</v>
      </c>
      <c r="M33" s="610">
        <v>4.8240740740740744</v>
      </c>
    </row>
    <row r="34" spans="6:13">
      <c r="I34" s="934"/>
      <c r="J34" s="609" t="s">
        <v>645</v>
      </c>
      <c r="K34" s="610">
        <v>10</v>
      </c>
      <c r="L34" s="610">
        <v>3</v>
      </c>
      <c r="M34" s="610">
        <v>7</v>
      </c>
    </row>
    <row r="35" spans="6:13">
      <c r="I35" s="932" t="s">
        <v>246</v>
      </c>
      <c r="J35" s="611" t="s">
        <v>629</v>
      </c>
      <c r="K35" s="612">
        <v>2.9757142857142855</v>
      </c>
      <c r="L35" s="612">
        <v>3</v>
      </c>
      <c r="M35" s="612">
        <f>K35-L35</f>
        <v>-2.4285714285714466E-2</v>
      </c>
    </row>
    <row r="36" spans="6:13">
      <c r="I36" s="933"/>
      <c r="J36" s="611" t="s">
        <v>630</v>
      </c>
      <c r="K36" s="612">
        <v>10.431492842535787</v>
      </c>
      <c r="L36" s="612">
        <v>3</v>
      </c>
      <c r="M36" s="612">
        <f t="shared" ref="M36:M46" si="0">K36-L36</f>
        <v>7.4314928425357873</v>
      </c>
    </row>
    <row r="37" spans="6:13">
      <c r="I37" s="933"/>
      <c r="J37" s="611" t="s">
        <v>631</v>
      </c>
      <c r="K37" s="612">
        <v>8.1276455026455032</v>
      </c>
      <c r="L37" s="612">
        <v>3</v>
      </c>
      <c r="M37" s="612">
        <f t="shared" si="0"/>
        <v>5.1276455026455032</v>
      </c>
    </row>
    <row r="38" spans="6:13">
      <c r="I38" s="933"/>
      <c r="J38" s="611" t="s">
        <v>632</v>
      </c>
      <c r="K38" s="612">
        <v>2.8181257570752121</v>
      </c>
      <c r="L38" s="612">
        <v>3</v>
      </c>
      <c r="M38" s="612">
        <f t="shared" si="0"/>
        <v>-0.18187424292478793</v>
      </c>
    </row>
    <row r="39" spans="6:13">
      <c r="I39" s="933"/>
      <c r="J39" s="611" t="s">
        <v>633</v>
      </c>
      <c r="K39" s="612">
        <v>15</v>
      </c>
      <c r="L39" s="612">
        <v>3</v>
      </c>
      <c r="M39" s="612">
        <f t="shared" si="0"/>
        <v>12</v>
      </c>
    </row>
    <row r="40" spans="6:13">
      <c r="I40" s="933"/>
      <c r="J40" s="611" t="s">
        <v>634</v>
      </c>
      <c r="K40" s="612">
        <v>14.937916666666666</v>
      </c>
      <c r="L40" s="612">
        <v>3</v>
      </c>
      <c r="M40" s="612">
        <f t="shared" si="0"/>
        <v>11.937916666666666</v>
      </c>
    </row>
    <row r="41" spans="6:13">
      <c r="I41" s="933"/>
      <c r="J41" s="611" t="s">
        <v>635</v>
      </c>
      <c r="K41" s="612">
        <v>5.7270050125313281</v>
      </c>
      <c r="L41" s="612">
        <v>3</v>
      </c>
      <c r="M41" s="612">
        <f t="shared" si="0"/>
        <v>2.7270050125313281</v>
      </c>
    </row>
    <row r="42" spans="6:13">
      <c r="I42" s="933"/>
      <c r="J42" s="611" t="s">
        <v>636</v>
      </c>
      <c r="K42" s="612">
        <v>12.143859649122806</v>
      </c>
      <c r="L42" s="612">
        <v>3</v>
      </c>
      <c r="M42" s="612">
        <f t="shared" si="0"/>
        <v>9.1438596491228061</v>
      </c>
    </row>
    <row r="43" spans="6:13">
      <c r="I43" s="933"/>
      <c r="J43" s="611" t="s">
        <v>637</v>
      </c>
      <c r="K43" s="612">
        <v>5.7472527472527473</v>
      </c>
      <c r="L43" s="612">
        <v>3</v>
      </c>
      <c r="M43" s="612">
        <f t="shared" si="0"/>
        <v>2.7472527472527473</v>
      </c>
    </row>
    <row r="44" spans="6:13">
      <c r="I44" s="933"/>
      <c r="J44" s="611" t="s">
        <v>638</v>
      </c>
      <c r="K44" s="612">
        <v>14.61031220435194</v>
      </c>
      <c r="L44" s="612">
        <v>3</v>
      </c>
      <c r="M44" s="612">
        <f t="shared" si="0"/>
        <v>11.61031220435194</v>
      </c>
    </row>
    <row r="45" spans="6:13">
      <c r="I45" s="933"/>
      <c r="J45" s="611" t="s">
        <v>639</v>
      </c>
      <c r="K45" s="612">
        <v>7.4033564814814818</v>
      </c>
      <c r="L45" s="612">
        <v>3</v>
      </c>
      <c r="M45" s="612">
        <f t="shared" si="0"/>
        <v>4.4033564814814818</v>
      </c>
    </row>
    <row r="46" spans="6:13">
      <c r="I46" s="934"/>
      <c r="J46" s="611" t="s">
        <v>640</v>
      </c>
      <c r="K46" s="612">
        <v>14.237118412046543</v>
      </c>
      <c r="L46" s="612">
        <v>3</v>
      </c>
      <c r="M46" s="612">
        <f t="shared" si="0"/>
        <v>11.237118412046543</v>
      </c>
    </row>
  </sheetData>
  <mergeCells count="20">
    <mergeCell ref="I35:I46"/>
    <mergeCell ref="J20:M20"/>
    <mergeCell ref="C27:F27"/>
    <mergeCell ref="J27:M27"/>
    <mergeCell ref="J28:M28"/>
    <mergeCell ref="C20:F20"/>
    <mergeCell ref="I30:I34"/>
    <mergeCell ref="B2:M2"/>
    <mergeCell ref="C4:D4"/>
    <mergeCell ref="E3:J3"/>
    <mergeCell ref="K3:L3"/>
    <mergeCell ref="E10:F10"/>
    <mergeCell ref="C8:F8"/>
    <mergeCell ref="B7:F7"/>
    <mergeCell ref="D10:D11"/>
    <mergeCell ref="C3:D3"/>
    <mergeCell ref="E4:J4"/>
    <mergeCell ref="K4:L4"/>
    <mergeCell ref="J8:M8"/>
    <mergeCell ref="D5:K5"/>
  </mergeCells>
  <phoneticPr fontId="31" type="noConversion"/>
  <conditionalFormatting sqref="D12:D13">
    <cfRule type="cellIs" dxfId="71" priority="1" stopIfTrue="1" operator="greaterThan">
      <formula>0</formula>
    </cfRule>
  </conditionalFormatting>
  <conditionalFormatting sqref="E12:E13">
    <cfRule type="cellIs" dxfId="70" priority="2" stopIfTrue="1" operator="greaterThan">
      <formula>0</formula>
    </cfRule>
  </conditionalFormatting>
  <conditionalFormatting sqref="F12:H13">
    <cfRule type="cellIs" dxfId="69" priority="3" stopIfTrue="1" operator="greaterThan">
      <formula>0</formula>
    </cfRule>
  </conditionalFormatting>
  <conditionalFormatting sqref="C4:D4">
    <cfRule type="cellIs" dxfId="68" priority="4" stopIfTrue="1" operator="equal">
      <formula>"C"</formula>
    </cfRule>
    <cfRule type="cellIs" dxfId="67" priority="5" stopIfTrue="1" operator="equal">
      <formula>"B2"</formula>
    </cfRule>
    <cfRule type="cellIs" dxfId="66" priority="6" stopIfTrue="1" operator="equal">
      <formula>"B1"</formula>
    </cfRule>
  </conditionalFormatting>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2"/>
  <sheetViews>
    <sheetView showGridLines="0" tabSelected="1" topLeftCell="A49" zoomScaleNormal="100" workbookViewId="0">
      <selection activeCell="T12" sqref="T12"/>
    </sheetView>
  </sheetViews>
  <sheetFormatPr defaultColWidth="11" defaultRowHeight="15"/>
  <cols>
    <col min="1" max="1" width="3.42578125" customWidth="1"/>
    <col min="2" max="2" width="11.28515625" customWidth="1"/>
    <col min="3" max="3" width="16.140625" customWidth="1"/>
    <col min="4" max="4" width="26.140625" customWidth="1"/>
    <col min="5" max="5" width="15.28515625" customWidth="1"/>
    <col min="6" max="6" width="14.5703125" customWidth="1"/>
    <col min="7" max="7" width="5.7109375" customWidth="1"/>
    <col min="8" max="8" width="6.28515625" customWidth="1"/>
    <col min="9" max="9" width="6" customWidth="1"/>
    <col min="10" max="10" width="4.140625" customWidth="1"/>
    <col min="11" max="11" width="16.28515625" customWidth="1"/>
    <col min="12" max="12" width="12.7109375" customWidth="1"/>
    <col min="13" max="13" width="5" customWidth="1"/>
    <col min="14" max="14" width="6.5703125" customWidth="1"/>
    <col min="15" max="15" width="4.140625" customWidth="1"/>
    <col min="16" max="16" width="10.7109375" customWidth="1"/>
    <col min="17" max="17" width="23.2851562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962" t="str">
        <f>+"Панель показателей:  "&amp;"  "&amp;IF(+'Ввод данных'!B4="Выберите","",'Ввод данных'!B4&amp;" - ")&amp;IF('Ввод данных'!F6="Выберите","",'Ввод данных'!F6)</f>
        <v>Панель показателей:    Кыргызстан - ВИЧ/СПИД/ТБ</v>
      </c>
      <c r="C2" s="962"/>
      <c r="D2" s="962"/>
      <c r="E2" s="962"/>
      <c r="F2" s="962"/>
      <c r="G2" s="962"/>
      <c r="H2" s="962"/>
      <c r="I2" s="962"/>
      <c r="J2" s="962"/>
      <c r="K2" s="962"/>
      <c r="L2" s="962"/>
      <c r="M2" s="962"/>
      <c r="N2" s="962"/>
      <c r="O2" s="962"/>
      <c r="P2" s="962"/>
      <c r="Q2" s="962"/>
    </row>
    <row r="3" spans="1:35" ht="18.75">
      <c r="A3" s="3"/>
      <c r="B3" s="119">
        <f>+IF('Ввод данных'!F8="Выберите","",'Ввод данных'!F8)</f>
        <v>0</v>
      </c>
      <c r="C3" s="913">
        <f>+IF('Ввод данных'!H8="Выберите","",'Ввод данных'!H8)</f>
        <v>0</v>
      </c>
      <c r="D3" s="913"/>
      <c r="E3" s="912"/>
      <c r="F3" s="912"/>
      <c r="G3" s="912"/>
      <c r="H3" s="912"/>
      <c r="I3" s="964"/>
      <c r="J3" s="964"/>
      <c r="K3" s="964"/>
      <c r="L3" s="3"/>
      <c r="M3" s="3"/>
      <c r="O3" s="910" t="str">
        <f>+'Ввод данных'!A16</f>
        <v>Отчетный период</v>
      </c>
      <c r="P3" s="910"/>
      <c r="Q3" s="184" t="str">
        <f>+'Ввод данных'!B16</f>
        <v>P2</v>
      </c>
    </row>
    <row r="4" spans="1:35" ht="23.25">
      <c r="A4" s="3"/>
      <c r="B4" s="384" t="str">
        <f>+'Ввод данных'!A12</f>
        <v>Последняя оценка:</v>
      </c>
      <c r="C4" s="965" t="str">
        <f>+IF('Ввод данных'!B12="Выберите","",'Ввод данных'!B12)</f>
        <v>A1</v>
      </c>
      <c r="D4" s="965"/>
      <c r="E4" s="912" t="str">
        <f>+'Ввод данных'!B8</f>
        <v>ПРООН</v>
      </c>
      <c r="F4" s="912"/>
      <c r="G4" s="912"/>
      <c r="H4" s="912"/>
      <c r="I4" s="912"/>
      <c r="J4" s="912"/>
      <c r="K4" s="912"/>
      <c r="L4" s="912"/>
      <c r="M4" s="3"/>
      <c r="O4" s="286"/>
      <c r="P4" s="119" t="str">
        <f>+'Ввод данных'!C16</f>
        <v>с:</v>
      </c>
      <c r="Q4" s="287">
        <f>+IF(ISBLANK('Ввод данных'!D16),"",'Ввод данных'!D16)</f>
        <v>42736</v>
      </c>
      <c r="Y4" s="68"/>
      <c r="Z4" s="68"/>
      <c r="AA4" s="68"/>
      <c r="AB4" s="68"/>
      <c r="AC4" s="68"/>
    </row>
    <row r="5" spans="1:35" ht="15.75" customHeight="1">
      <c r="A5" s="3"/>
      <c r="B5" s="119"/>
      <c r="C5" s="119"/>
      <c r="D5" s="912" t="str">
        <f>+'Ввод данных'!F4</f>
        <v>«Эффективный контроль за туберкулезом и ВИЧ-инфекцией в Кыргызской Республике»</v>
      </c>
      <c r="E5" s="912"/>
      <c r="F5" s="912"/>
      <c r="G5" s="912"/>
      <c r="H5" s="912"/>
      <c r="I5" s="912"/>
      <c r="J5" s="912"/>
      <c r="K5" s="912"/>
      <c r="L5" s="912"/>
      <c r="M5" s="912"/>
      <c r="N5" s="912"/>
      <c r="P5" s="119" t="str">
        <f>+'Ввод данных'!E16</f>
        <v>до:</v>
      </c>
      <c r="Q5" s="287">
        <f>+IF(ISBLANK('Ввод данных'!F16),"",'Ввод данных'!F16)</f>
        <v>42916</v>
      </c>
      <c r="S5" s="204"/>
      <c r="T5" s="204"/>
      <c r="U5" s="204"/>
      <c r="V5" s="204"/>
      <c r="W5" s="204"/>
      <c r="X5" s="204"/>
      <c r="Y5" s="68"/>
      <c r="Z5" s="68"/>
      <c r="AA5" s="68" t="s">
        <v>23</v>
      </c>
      <c r="AB5" s="68"/>
      <c r="AC5" s="68" t="s">
        <v>74</v>
      </c>
      <c r="AD5" s="204"/>
      <c r="AE5" s="204"/>
      <c r="AF5" s="204"/>
      <c r="AG5" s="204"/>
      <c r="AH5" s="204"/>
      <c r="AI5" s="204"/>
    </row>
    <row r="6" spans="1:35" ht="15.75" customHeight="1">
      <c r="A6" s="3"/>
      <c r="B6" s="501"/>
      <c r="C6" s="501"/>
      <c r="D6" s="502"/>
      <c r="E6" s="968" t="s">
        <v>392</v>
      </c>
      <c r="F6" s="967"/>
      <c r="G6" s="967"/>
      <c r="H6" s="967"/>
      <c r="I6" s="967"/>
      <c r="J6" s="967"/>
      <c r="K6" s="967"/>
      <c r="L6" s="967"/>
      <c r="M6" s="3"/>
      <c r="N6" s="3"/>
      <c r="O6" s="186"/>
      <c r="P6" s="553"/>
      <c r="S6" s="204"/>
      <c r="T6" s="204"/>
      <c r="U6" s="204"/>
      <c r="V6" s="204"/>
      <c r="W6" s="204"/>
      <c r="X6" s="204"/>
      <c r="Y6" s="68"/>
      <c r="Z6" s="68"/>
      <c r="AA6" s="68"/>
      <c r="AB6" s="68"/>
      <c r="AC6" s="68"/>
      <c r="AD6" s="204"/>
      <c r="AE6" s="204"/>
      <c r="AF6" s="204"/>
      <c r="AG6" s="204"/>
      <c r="AH6" s="204"/>
      <c r="AI6" s="204"/>
    </row>
    <row r="7" spans="1:35" ht="3" customHeight="1">
      <c r="A7" s="3"/>
      <c r="B7" s="501"/>
      <c r="C7" s="501"/>
      <c r="D7" s="502"/>
      <c r="E7" s="502"/>
      <c r="F7" s="502"/>
      <c r="G7" s="502"/>
      <c r="H7" s="502"/>
      <c r="I7" s="502"/>
      <c r="J7" s="502"/>
      <c r="K7" s="502"/>
      <c r="L7" s="502"/>
      <c r="M7" s="3"/>
      <c r="N7" s="3"/>
      <c r="O7" s="186"/>
      <c r="P7" s="185"/>
      <c r="Q7" s="185"/>
      <c r="S7" s="204"/>
      <c r="T7" s="204"/>
      <c r="U7" s="204"/>
      <c r="V7" s="204"/>
      <c r="W7" s="204"/>
      <c r="X7" s="204"/>
      <c r="Y7" s="68"/>
      <c r="Z7" s="68"/>
      <c r="AA7" s="68"/>
      <c r="AB7" s="68"/>
      <c r="AC7" s="68"/>
      <c r="AD7" s="204"/>
      <c r="AE7" s="204"/>
      <c r="AF7" s="204"/>
      <c r="AG7" s="204"/>
      <c r="AH7" s="204"/>
      <c r="AI7" s="204"/>
    </row>
    <row r="8" spans="1:35" ht="18.75" customHeight="1">
      <c r="A8" s="3"/>
      <c r="B8" s="963" t="e">
        <f>+#REF!</f>
        <v>#REF!</v>
      </c>
      <c r="C8" s="963"/>
      <c r="D8" s="963"/>
      <c r="E8" s="963"/>
      <c r="F8" s="963" t="e">
        <f>+#REF!</f>
        <v>#REF!</v>
      </c>
      <c r="G8" s="963"/>
      <c r="H8" s="963"/>
      <c r="I8" s="963"/>
      <c r="J8" s="963"/>
      <c r="K8" s="963"/>
      <c r="L8" s="963" t="e">
        <f>+#REF!</f>
        <v>#REF!</v>
      </c>
      <c r="M8" s="963"/>
      <c r="N8" s="963"/>
      <c r="O8" s="963"/>
      <c r="P8" s="963"/>
      <c r="Q8" s="963"/>
      <c r="S8" s="204"/>
      <c r="T8" s="204"/>
      <c r="U8" s="204"/>
      <c r="V8" s="204"/>
      <c r="W8" s="204"/>
      <c r="X8" s="204"/>
      <c r="Y8" s="68"/>
      <c r="Z8" s="68"/>
      <c r="AA8" s="68"/>
      <c r="AB8" s="68"/>
      <c r="AC8" s="68"/>
      <c r="AD8" s="204"/>
      <c r="AE8" s="204"/>
      <c r="AF8" s="204"/>
      <c r="AG8" s="204"/>
      <c r="AH8" s="204"/>
      <c r="AI8" s="204"/>
    </row>
    <row r="9" spans="1:35" ht="138" customHeight="1">
      <c r="A9" s="3"/>
      <c r="B9" s="561" t="s">
        <v>623</v>
      </c>
      <c r="C9" s="969" t="s">
        <v>676</v>
      </c>
      <c r="D9" s="970"/>
      <c r="E9" s="971"/>
      <c r="F9" s="561" t="s">
        <v>623</v>
      </c>
      <c r="G9" s="969" t="s">
        <v>677</v>
      </c>
      <c r="H9" s="970"/>
      <c r="I9" s="970"/>
      <c r="J9" s="970"/>
      <c r="K9" s="971"/>
      <c r="L9" s="561" t="s">
        <v>623</v>
      </c>
      <c r="M9" s="969" t="s">
        <v>678</v>
      </c>
      <c r="N9" s="970"/>
      <c r="O9" s="970"/>
      <c r="P9" s="970"/>
      <c r="Q9" s="971"/>
      <c r="S9" s="204"/>
      <c r="T9" s="204"/>
      <c r="U9" s="204"/>
      <c r="V9" s="204"/>
      <c r="W9" s="204"/>
      <c r="X9" s="204"/>
      <c r="Y9" s="204"/>
      <c r="Z9" s="204"/>
      <c r="AA9" s="204"/>
      <c r="AB9" s="204"/>
      <c r="AC9" s="204"/>
      <c r="AD9" s="204"/>
      <c r="AE9" s="204"/>
      <c r="AF9" s="204"/>
      <c r="AG9" s="204"/>
      <c r="AH9" s="204"/>
      <c r="AI9" s="204"/>
    </row>
    <row r="10" spans="1:35" ht="18.75" customHeight="1">
      <c r="A10" s="3"/>
      <c r="B10" s="562"/>
      <c r="C10" s="562"/>
      <c r="D10" s="563"/>
      <c r="E10" s="563"/>
      <c r="F10" s="563"/>
      <c r="G10" s="563"/>
      <c r="H10" s="563"/>
      <c r="I10" s="563"/>
      <c r="J10" s="563"/>
      <c r="K10" s="563"/>
      <c r="L10" s="563"/>
      <c r="M10" s="564"/>
      <c r="N10" s="564"/>
      <c r="O10" s="562"/>
      <c r="P10" s="565"/>
      <c r="Q10" s="566"/>
      <c r="S10" s="204"/>
      <c r="T10" s="204"/>
      <c r="U10" s="204"/>
      <c r="V10" s="204"/>
      <c r="W10" s="204"/>
      <c r="X10" s="204"/>
      <c r="Y10" s="204"/>
      <c r="Z10" s="204"/>
      <c r="AA10" s="204"/>
      <c r="AB10" s="204"/>
      <c r="AC10" s="204"/>
      <c r="AD10" s="204"/>
      <c r="AE10" s="204"/>
      <c r="AF10" s="204"/>
      <c r="AG10" s="204"/>
      <c r="AH10" s="204"/>
      <c r="AI10" s="204"/>
    </row>
    <row r="11" spans="1:35" ht="18.75" customHeight="1">
      <c r="A11" s="3"/>
      <c r="B11" s="501"/>
      <c r="C11" s="501"/>
      <c r="D11" s="502"/>
      <c r="E11" s="502"/>
      <c r="F11" s="502"/>
      <c r="G11" s="502"/>
      <c r="H11" s="502"/>
      <c r="I11" s="502"/>
      <c r="J11" s="502"/>
      <c r="K11" s="502"/>
      <c r="L11" s="502"/>
      <c r="M11" s="3"/>
      <c r="N11" s="3"/>
      <c r="O11" s="186"/>
      <c r="P11" s="185"/>
      <c r="S11" s="204"/>
      <c r="T11" s="204"/>
      <c r="U11" s="204"/>
      <c r="V11" s="204"/>
      <c r="W11" s="204"/>
      <c r="X11" s="204"/>
      <c r="Y11" s="204"/>
      <c r="Z11" s="204"/>
      <c r="AA11" s="204"/>
      <c r="AB11" s="204"/>
      <c r="AC11" s="204"/>
      <c r="AD11" s="204"/>
      <c r="AE11" s="204"/>
      <c r="AF11" s="204"/>
      <c r="AG11" s="204"/>
      <c r="AH11" s="204"/>
      <c r="AI11" s="204"/>
    </row>
    <row r="12" spans="1:35" ht="18.75" customHeight="1">
      <c r="A12" s="3"/>
      <c r="B12" s="501"/>
      <c r="C12" s="501"/>
      <c r="D12" s="502"/>
      <c r="E12" s="502"/>
      <c r="F12" s="502"/>
      <c r="G12" s="502"/>
      <c r="H12" s="502"/>
      <c r="I12" s="502"/>
      <c r="J12" s="502"/>
      <c r="K12" s="502"/>
      <c r="L12" s="502"/>
      <c r="M12" s="3"/>
      <c r="N12" s="3"/>
      <c r="O12" s="186"/>
      <c r="P12" s="185"/>
      <c r="S12" s="204"/>
      <c r="T12" s="204"/>
      <c r="U12" s="204"/>
      <c r="V12" s="204"/>
      <c r="W12" s="204"/>
      <c r="X12" s="204"/>
      <c r="Y12" s="204"/>
      <c r="Z12" s="204"/>
      <c r="AA12" s="204"/>
      <c r="AB12" s="204"/>
      <c r="AC12" s="204"/>
      <c r="AD12" s="204"/>
      <c r="AE12" s="204"/>
      <c r="AF12" s="204"/>
      <c r="AG12" s="204"/>
      <c r="AH12" s="204"/>
      <c r="AI12" s="204"/>
    </row>
    <row r="13" spans="1:35" ht="18.75" customHeight="1">
      <c r="A13" s="3"/>
      <c r="B13" s="501"/>
      <c r="C13" s="501"/>
      <c r="D13" s="502"/>
      <c r="E13" s="502"/>
      <c r="F13" s="502"/>
      <c r="G13" s="502"/>
      <c r="H13" s="502"/>
      <c r="I13" s="502"/>
      <c r="J13" s="502"/>
      <c r="K13" s="502"/>
      <c r="L13" s="502"/>
      <c r="M13" s="3"/>
      <c r="N13" s="3"/>
      <c r="O13" s="186"/>
      <c r="P13" s="185"/>
      <c r="S13" s="204"/>
      <c r="T13" s="204"/>
      <c r="U13" s="204"/>
      <c r="V13" s="204"/>
      <c r="W13" s="204"/>
      <c r="X13" s="204"/>
      <c r="Y13" s="204"/>
      <c r="Z13" s="204"/>
      <c r="AA13" s="204"/>
      <c r="AB13" s="204"/>
      <c r="AC13" s="204"/>
      <c r="AD13" s="204"/>
      <c r="AE13" s="204"/>
      <c r="AF13" s="204"/>
      <c r="AG13" s="204"/>
      <c r="AH13" s="204"/>
      <c r="AI13" s="204"/>
    </row>
    <row r="14" spans="1:35" ht="18.75" customHeight="1">
      <c r="A14" s="3"/>
      <c r="B14" s="501"/>
      <c r="C14" s="501"/>
      <c r="D14" s="502"/>
      <c r="E14" s="502"/>
      <c r="F14" s="502"/>
      <c r="G14" s="502"/>
      <c r="H14" s="502"/>
      <c r="I14" s="502"/>
      <c r="J14" s="502"/>
      <c r="K14" s="502"/>
      <c r="L14" s="502"/>
      <c r="M14" s="3"/>
      <c r="N14" s="3"/>
      <c r="O14" s="186"/>
      <c r="P14" s="185"/>
      <c r="S14" s="204"/>
      <c r="T14" s="204"/>
      <c r="U14" s="204"/>
      <c r="V14" s="204"/>
      <c r="W14" s="204"/>
      <c r="X14" s="204"/>
      <c r="Y14" s="204"/>
      <c r="Z14" s="204"/>
      <c r="AA14" s="204"/>
      <c r="AB14" s="204"/>
      <c r="AC14" s="204"/>
      <c r="AD14" s="204"/>
      <c r="AE14" s="204"/>
      <c r="AF14" s="204"/>
      <c r="AG14" s="204"/>
      <c r="AH14" s="204"/>
      <c r="AI14" s="204"/>
    </row>
    <row r="15" spans="1:35" ht="18.75" customHeight="1">
      <c r="A15" s="3"/>
      <c r="B15" s="501"/>
      <c r="C15" s="501"/>
      <c r="D15" s="502"/>
      <c r="E15" s="502"/>
      <c r="F15" s="502"/>
      <c r="G15" s="502"/>
      <c r="H15" s="502"/>
      <c r="I15" s="502"/>
      <c r="J15" s="502"/>
      <c r="K15" s="502"/>
      <c r="L15" s="502"/>
      <c r="M15" s="3"/>
      <c r="N15" s="3"/>
      <c r="O15" s="186"/>
      <c r="P15" s="185"/>
      <c r="S15" s="204"/>
      <c r="T15" s="204"/>
      <c r="U15" s="204"/>
      <c r="V15" s="204"/>
      <c r="W15" s="204"/>
      <c r="X15" s="204"/>
      <c r="Y15" s="204"/>
      <c r="Z15" s="204"/>
      <c r="AA15" s="204"/>
      <c r="AB15" s="204"/>
      <c r="AC15" s="204"/>
      <c r="AD15" s="204"/>
      <c r="AE15" s="204"/>
      <c r="AF15" s="204"/>
      <c r="AG15" s="204"/>
      <c r="AH15" s="204"/>
      <c r="AI15" s="204"/>
    </row>
    <row r="16" spans="1:35" ht="18.75" customHeight="1">
      <c r="A16" s="3"/>
      <c r="B16" s="501"/>
      <c r="C16" s="501"/>
      <c r="D16" s="502"/>
      <c r="E16" s="502"/>
      <c r="F16" s="502"/>
      <c r="G16" s="502"/>
      <c r="H16" s="502"/>
      <c r="I16" s="502"/>
      <c r="J16" s="502"/>
      <c r="K16" s="502"/>
      <c r="L16" s="502"/>
      <c r="M16" s="3"/>
      <c r="N16" s="3"/>
      <c r="O16" s="186"/>
      <c r="P16" s="185"/>
      <c r="S16" s="204"/>
      <c r="T16" s="204"/>
      <c r="U16" s="204"/>
      <c r="V16" s="204"/>
      <c r="W16" s="204"/>
      <c r="X16" s="204"/>
      <c r="Y16" s="204"/>
      <c r="Z16" s="204"/>
      <c r="AA16" s="204"/>
      <c r="AB16" s="204"/>
      <c r="AC16" s="204"/>
      <c r="AD16" s="204"/>
      <c r="AE16" s="204"/>
      <c r="AF16" s="204"/>
      <c r="AG16" s="204"/>
      <c r="AH16" s="204"/>
      <c r="AI16" s="204"/>
    </row>
    <row r="17" spans="1:35" ht="17.25" customHeight="1">
      <c r="A17" s="3"/>
      <c r="B17" s="501"/>
      <c r="C17" s="501"/>
      <c r="D17" s="502"/>
      <c r="E17" s="502"/>
      <c r="F17" s="502"/>
      <c r="G17" s="502"/>
      <c r="H17" s="502"/>
      <c r="I17" s="502"/>
      <c r="J17" s="502"/>
      <c r="K17" s="502"/>
      <c r="L17" s="502"/>
      <c r="M17" s="3"/>
      <c r="N17" s="3"/>
      <c r="O17" s="186"/>
      <c r="P17" s="185"/>
      <c r="S17" s="204"/>
      <c r="T17" s="204"/>
      <c r="U17" s="204"/>
      <c r="V17" s="204"/>
      <c r="W17" s="204"/>
      <c r="X17" s="204"/>
      <c r="Y17" s="204"/>
      <c r="Z17" s="204"/>
      <c r="AA17" s="204"/>
      <c r="AB17" s="204"/>
      <c r="AC17" s="204"/>
      <c r="AD17" s="204"/>
      <c r="AE17" s="204"/>
      <c r="AF17" s="204"/>
      <c r="AG17" s="204"/>
      <c r="AH17" s="204"/>
      <c r="AI17" s="204"/>
    </row>
    <row r="18" spans="1:35" ht="6" customHeight="1">
      <c r="A18" s="3"/>
      <c r="B18" s="123"/>
      <c r="C18" s="501"/>
      <c r="D18" s="120"/>
      <c r="E18" s="972"/>
      <c r="F18" s="972"/>
      <c r="G18" s="972"/>
      <c r="H18" s="972"/>
      <c r="I18" s="972"/>
      <c r="J18" s="972"/>
      <c r="K18" s="972"/>
      <c r="L18" s="3"/>
      <c r="M18" s="3"/>
      <c r="N18" s="3"/>
      <c r="O18" s="3"/>
      <c r="P18" s="3"/>
      <c r="S18" s="204"/>
      <c r="T18" s="204"/>
      <c r="U18" s="204"/>
      <c r="V18" s="204"/>
      <c r="W18" s="204"/>
      <c r="X18" s="204"/>
      <c r="Y18" s="204"/>
      <c r="Z18" s="204"/>
      <c r="AA18" s="204"/>
      <c r="AB18" s="204"/>
      <c r="AC18" s="204"/>
      <c r="AD18" s="204"/>
      <c r="AE18" s="204"/>
      <c r="AF18" s="204"/>
      <c r="AG18" s="204"/>
      <c r="AH18" s="204"/>
      <c r="AI18" s="204"/>
    </row>
    <row r="19" spans="1:35" ht="24" customHeight="1">
      <c r="A19" s="3"/>
      <c r="B19" s="973" t="s">
        <v>391</v>
      </c>
      <c r="C19" s="973"/>
      <c r="D19" s="973"/>
      <c r="E19" s="554" t="s">
        <v>379</v>
      </c>
      <c r="F19" s="554" t="s">
        <v>271</v>
      </c>
      <c r="G19" s="1011" t="s">
        <v>83</v>
      </c>
      <c r="H19" s="1012"/>
      <c r="I19" s="1013" t="s">
        <v>84</v>
      </c>
      <c r="J19" s="1014"/>
      <c r="K19" s="555" t="s">
        <v>85</v>
      </c>
      <c r="L19" s="1005" t="s">
        <v>624</v>
      </c>
      <c r="M19" s="1006"/>
      <c r="N19" s="1006"/>
      <c r="O19" s="1006"/>
      <c r="P19" s="1006"/>
      <c r="Q19" s="1007"/>
      <c r="S19" s="62" t="s">
        <v>49</v>
      </c>
      <c r="T19" s="63">
        <v>0</v>
      </c>
      <c r="U19" s="64">
        <v>0.3</v>
      </c>
      <c r="V19" s="64">
        <v>0.6</v>
      </c>
      <c r="W19" s="64">
        <v>0.9</v>
      </c>
      <c r="X19" s="64">
        <v>1</v>
      </c>
      <c r="Y19" s="68"/>
      <c r="Z19" s="68"/>
      <c r="AA19" s="62" t="s">
        <v>49</v>
      </c>
      <c r="AB19" s="63">
        <v>0</v>
      </c>
      <c r="AC19" s="64">
        <v>0.2</v>
      </c>
      <c r="AD19" s="64">
        <v>0.4</v>
      </c>
      <c r="AE19" s="64">
        <v>0.6</v>
      </c>
      <c r="AF19" s="64">
        <v>0.8</v>
      </c>
      <c r="AG19" s="68"/>
      <c r="AH19" s="68"/>
      <c r="AI19" s="68"/>
    </row>
    <row r="20" spans="1:35" ht="129.75" customHeight="1">
      <c r="A20" s="3"/>
      <c r="B20" s="977" t="s">
        <v>577</v>
      </c>
      <c r="C20" s="978"/>
      <c r="D20" s="979"/>
      <c r="E20" s="556" t="s">
        <v>679</v>
      </c>
      <c r="F20" s="556" t="s">
        <v>680</v>
      </c>
      <c r="G20" s="974">
        <v>1.1000000000000001</v>
      </c>
      <c r="H20" s="975"/>
      <c r="I20" s="975"/>
      <c r="J20" s="975"/>
      <c r="K20" s="976"/>
      <c r="L20" s="950" t="s">
        <v>676</v>
      </c>
      <c r="M20" s="950"/>
      <c r="N20" s="950"/>
      <c r="O20" s="950"/>
      <c r="P20" s="950"/>
      <c r="Q20" s="950"/>
      <c r="S20" s="62" t="s">
        <v>50</v>
      </c>
      <c r="T20" s="65">
        <v>0.3</v>
      </c>
      <c r="U20" s="64">
        <v>0.6</v>
      </c>
      <c r="V20" s="64">
        <v>0.9</v>
      </c>
      <c r="W20" s="64">
        <v>1</v>
      </c>
      <c r="X20" s="64">
        <v>2</v>
      </c>
      <c r="Y20" s="68"/>
      <c r="Z20" s="68"/>
      <c r="AA20" s="62" t="s">
        <v>50</v>
      </c>
      <c r="AB20" s="65">
        <v>0.2</v>
      </c>
      <c r="AC20" s="64">
        <v>0.4</v>
      </c>
      <c r="AD20" s="64">
        <v>0.6</v>
      </c>
      <c r="AE20" s="64">
        <v>0.8</v>
      </c>
      <c r="AF20" s="64">
        <v>1</v>
      </c>
      <c r="AG20" s="68"/>
      <c r="AH20" s="68"/>
      <c r="AI20" s="68"/>
    </row>
    <row r="21" spans="1:35" ht="87" customHeight="1">
      <c r="A21" s="3"/>
      <c r="B21" s="1015" t="s">
        <v>581</v>
      </c>
      <c r="C21" s="1015"/>
      <c r="D21" s="1015"/>
      <c r="E21" s="556" t="s">
        <v>681</v>
      </c>
      <c r="F21" s="556" t="s">
        <v>682</v>
      </c>
      <c r="G21" s="974">
        <v>1.06</v>
      </c>
      <c r="H21" s="975"/>
      <c r="I21" s="975"/>
      <c r="J21" s="975"/>
      <c r="K21" s="976"/>
      <c r="L21" s="950" t="s">
        <v>677</v>
      </c>
      <c r="M21" s="950"/>
      <c r="N21" s="950"/>
      <c r="O21" s="950"/>
      <c r="P21" s="950"/>
      <c r="Q21" s="950"/>
      <c r="S21" s="66"/>
      <c r="T21" s="67" t="str">
        <f>"de "&amp;T19&amp;" a "&amp;T20</f>
        <v>de 0 a 0,3</v>
      </c>
      <c r="U21" s="67" t="str">
        <f>"de "&amp;U19&amp;" a "&amp;U20</f>
        <v>de 0,3 a 0,6</v>
      </c>
      <c r="V21" s="67" t="str">
        <f>"de "&amp;V19&amp;" a "&amp;V20</f>
        <v>de 0,6 a 0,9</v>
      </c>
      <c r="W21" s="67" t="str">
        <f>"de "&amp;W19&amp;" a "&amp;W20</f>
        <v>de 0,9 a 1</v>
      </c>
      <c r="X21" s="67" t="str">
        <f>"de "&amp;X19&amp;" a "&amp;X20</f>
        <v>de 1 a 2</v>
      </c>
      <c r="Y21" s="68"/>
      <c r="Z21" s="68" t="s">
        <v>75</v>
      </c>
      <c r="AA21" s="66" t="s">
        <v>74</v>
      </c>
      <c r="AB21" s="67" t="str">
        <f>"de "&amp;AB19&amp;" a "&amp;AB20</f>
        <v>de 0 a 0,2</v>
      </c>
      <c r="AC21" s="67" t="str">
        <f>"de "&amp;AC19&amp;" a "&amp;AC20</f>
        <v>de 0,2 a 0,4</v>
      </c>
      <c r="AD21" s="67" t="str">
        <f>"de "&amp;AD19&amp;" a "&amp;AD20</f>
        <v>de 0,4 a 0,6</v>
      </c>
      <c r="AE21" s="67" t="str">
        <f>"de "&amp;AE19&amp;" a "&amp;AE20</f>
        <v>de 0,6 a 0,8</v>
      </c>
      <c r="AF21" s="67" t="str">
        <f>"de "&amp;AF19&amp;" a "&amp;AF20</f>
        <v>de 0,8 a 1</v>
      </c>
      <c r="AG21" s="68"/>
      <c r="AH21" s="68"/>
      <c r="AI21" s="68"/>
    </row>
    <row r="22" spans="1:35" ht="92.25" customHeight="1">
      <c r="A22" s="3"/>
      <c r="B22" s="1016" t="s">
        <v>512</v>
      </c>
      <c r="C22" s="1017"/>
      <c r="D22" s="1018"/>
      <c r="E22" s="556" t="s">
        <v>683</v>
      </c>
      <c r="F22" s="556" t="s">
        <v>684</v>
      </c>
      <c r="G22" s="974">
        <v>1.2</v>
      </c>
      <c r="H22" s="975"/>
      <c r="I22" s="975"/>
      <c r="J22" s="975"/>
      <c r="K22" s="976"/>
      <c r="L22" s="980" t="s">
        <v>678</v>
      </c>
      <c r="M22" s="980"/>
      <c r="N22" s="980"/>
      <c r="O22" s="980"/>
      <c r="P22" s="980"/>
      <c r="Q22" s="980"/>
      <c r="S22" s="66"/>
      <c r="T22" s="64" t="e">
        <f t="shared" ref="T22:W24" si="0">IF($K20&gt;T$19,IF($K20&lt;=T$20,$K20,NA()),NA())</f>
        <v>#N/A</v>
      </c>
      <c r="U22" s="64" t="e">
        <f t="shared" si="0"/>
        <v>#N/A</v>
      </c>
      <c r="V22" s="64" t="e">
        <f t="shared" si="0"/>
        <v>#N/A</v>
      </c>
      <c r="W22" s="64" t="e">
        <f t="shared" si="0"/>
        <v>#N/A</v>
      </c>
      <c r="X22" s="64" t="e">
        <f>IF($K20&gt;X$19,IF($K20&lt;=X$20,1,NA()),NA())</f>
        <v>#N/A</v>
      </c>
      <c r="Y22" s="68"/>
      <c r="Z22" s="182" t="e">
        <f>+#REF!</f>
        <v>#REF!</v>
      </c>
      <c r="AA22" s="64" t="e">
        <f>+IF(Z22="A1",1,IF(Z22="A2",0.8,IF(Z22="B1",0.6,IF(Z22="B2",0.4,0.2))))</f>
        <v>#REF!</v>
      </c>
      <c r="AB22" s="64" t="e">
        <f>IF($AA22&gt;AB$19,IF($AA22&lt;=AB$20,$AA22,NA()),NA())</f>
        <v>#REF!</v>
      </c>
      <c r="AC22" s="64" t="e">
        <f t="shared" ref="AC22:AF24" si="1">IF($AA22&gt;AC$19,IF($AA22&lt;=AC$20,$AA22,NA()),NA())</f>
        <v>#REF!</v>
      </c>
      <c r="AD22" s="64" t="e">
        <f t="shared" si="1"/>
        <v>#REF!</v>
      </c>
      <c r="AE22" s="64" t="e">
        <f t="shared" si="1"/>
        <v>#REF!</v>
      </c>
      <c r="AF22" s="64" t="e">
        <f t="shared" si="1"/>
        <v>#REF!</v>
      </c>
      <c r="AG22" s="68"/>
      <c r="AH22" s="68"/>
      <c r="AI22" s="68"/>
    </row>
    <row r="23" spans="1:35" ht="100.5" customHeight="1">
      <c r="A23" s="3"/>
      <c r="B23" s="1021" t="s">
        <v>525</v>
      </c>
      <c r="C23" s="1022"/>
      <c r="D23" s="1023"/>
      <c r="E23" s="557" t="s">
        <v>652</v>
      </c>
      <c r="F23" s="557" t="s">
        <v>653</v>
      </c>
      <c r="G23" s="974">
        <v>0.69</v>
      </c>
      <c r="H23" s="975"/>
      <c r="I23" s="975"/>
      <c r="J23" s="975"/>
      <c r="K23" s="976"/>
      <c r="L23" s="980" t="s">
        <v>685</v>
      </c>
      <c r="M23" s="980"/>
      <c r="N23" s="980"/>
      <c r="O23" s="980"/>
      <c r="P23" s="980"/>
      <c r="Q23" s="980"/>
      <c r="S23" s="66"/>
      <c r="T23" s="64" t="e">
        <f t="shared" si="0"/>
        <v>#N/A</v>
      </c>
      <c r="U23" s="64" t="e">
        <f t="shared" si="0"/>
        <v>#N/A</v>
      </c>
      <c r="V23" s="64" t="e">
        <f t="shared" si="0"/>
        <v>#N/A</v>
      </c>
      <c r="W23" s="64" t="e">
        <f t="shared" si="0"/>
        <v>#N/A</v>
      </c>
      <c r="X23" s="64" t="e">
        <f>IF($K21&gt;X$19,IF($K21&lt;=X$20,1,1),NA())</f>
        <v>#N/A</v>
      </c>
      <c r="Y23" s="68"/>
      <c r="Z23" s="182" t="e">
        <f>+#REF!</f>
        <v>#REF!</v>
      </c>
      <c r="AA23" s="64" t="e">
        <f>+IF(Z23="A1",1,IF(Z23="A2",0.8,IF(Z23="B1",0.6,IF(Z23="B2",0.4,0.2))))</f>
        <v>#REF!</v>
      </c>
      <c r="AB23" s="64" t="e">
        <f>IF($AA23&gt;AB$19,IF($AA23&lt;=AB$20,$AA23,NA()),NA())</f>
        <v>#REF!</v>
      </c>
      <c r="AC23" s="64" t="e">
        <f t="shared" si="1"/>
        <v>#REF!</v>
      </c>
      <c r="AD23" s="64" t="e">
        <f t="shared" si="1"/>
        <v>#REF!</v>
      </c>
      <c r="AE23" s="64" t="e">
        <f t="shared" si="1"/>
        <v>#REF!</v>
      </c>
      <c r="AF23" s="64" t="e">
        <f t="shared" si="1"/>
        <v>#REF!</v>
      </c>
      <c r="AG23" s="68"/>
      <c r="AH23" s="68"/>
      <c r="AI23" s="68"/>
    </row>
    <row r="24" spans="1:35" ht="86.25" customHeight="1">
      <c r="A24" s="3"/>
      <c r="B24" s="977" t="s">
        <v>531</v>
      </c>
      <c r="C24" s="978"/>
      <c r="D24" s="979"/>
      <c r="E24" s="558" t="s">
        <v>654</v>
      </c>
      <c r="F24" s="558" t="s">
        <v>655</v>
      </c>
      <c r="G24" s="974">
        <v>1.2</v>
      </c>
      <c r="H24" s="975"/>
      <c r="I24" s="975"/>
      <c r="J24" s="975"/>
      <c r="K24" s="976"/>
      <c r="L24" s="980" t="s">
        <v>686</v>
      </c>
      <c r="M24" s="980"/>
      <c r="N24" s="980"/>
      <c r="O24" s="980"/>
      <c r="P24" s="980"/>
      <c r="Q24" s="980"/>
      <c r="S24" s="66"/>
      <c r="T24" s="64" t="e">
        <f t="shared" si="0"/>
        <v>#N/A</v>
      </c>
      <c r="U24" s="64" t="e">
        <f t="shared" si="0"/>
        <v>#N/A</v>
      </c>
      <c r="V24" s="64" t="e">
        <f t="shared" si="0"/>
        <v>#N/A</v>
      </c>
      <c r="W24" s="64" t="e">
        <f t="shared" si="0"/>
        <v>#N/A</v>
      </c>
      <c r="X24" s="64" t="e">
        <f>IF($K22&gt;X$19,IF($K22&lt;=X$20,1,NA()),NA())</f>
        <v>#N/A</v>
      </c>
      <c r="Y24" s="68"/>
      <c r="Z24" s="182" t="e">
        <f>+#REF!</f>
        <v>#REF!</v>
      </c>
      <c r="AA24" s="64" t="e">
        <f>+IF(Z24="A1",1,IF(Z24="A2",0.8,IF(Z24="B1",0.6,IF(Z24="B2",0.4,0.2))))</f>
        <v>#REF!</v>
      </c>
      <c r="AB24" s="64" t="e">
        <f>IF($AA24&gt;AB$19,IF($AA24&lt;=AB$20,$AA24,NA()),NA())</f>
        <v>#REF!</v>
      </c>
      <c r="AC24" s="64" t="e">
        <f t="shared" si="1"/>
        <v>#REF!</v>
      </c>
      <c r="AD24" s="64" t="e">
        <f t="shared" si="1"/>
        <v>#REF!</v>
      </c>
      <c r="AE24" s="64" t="e">
        <f t="shared" si="1"/>
        <v>#REF!</v>
      </c>
      <c r="AF24" s="64" t="e">
        <f t="shared" si="1"/>
        <v>#REF!</v>
      </c>
      <c r="AG24" s="68"/>
      <c r="AH24" s="68"/>
      <c r="AI24" s="68"/>
    </row>
    <row r="25" spans="1:35" ht="144" customHeight="1">
      <c r="A25" s="3"/>
      <c r="B25" s="977" t="s">
        <v>535</v>
      </c>
      <c r="C25" s="978"/>
      <c r="D25" s="979"/>
      <c r="E25" s="558" t="s">
        <v>657</v>
      </c>
      <c r="F25" s="558" t="s">
        <v>658</v>
      </c>
      <c r="G25" s="974">
        <v>0.86</v>
      </c>
      <c r="H25" s="975"/>
      <c r="I25" s="975"/>
      <c r="J25" s="975"/>
      <c r="K25" s="976"/>
      <c r="L25" s="980" t="s">
        <v>687</v>
      </c>
      <c r="M25" s="980"/>
      <c r="N25" s="980"/>
      <c r="O25" s="980"/>
      <c r="P25" s="980"/>
      <c r="Q25" s="980"/>
      <c r="S25" s="66"/>
      <c r="T25" s="64"/>
      <c r="U25" s="64"/>
      <c r="V25" s="64"/>
      <c r="W25" s="64"/>
      <c r="X25" s="64"/>
      <c r="Y25" s="68"/>
      <c r="Z25" s="182"/>
      <c r="AA25" s="559"/>
      <c r="AB25" s="559"/>
      <c r="AC25" s="559"/>
      <c r="AD25" s="559"/>
      <c r="AE25" s="559"/>
      <c r="AF25" s="559"/>
      <c r="AG25" s="68"/>
      <c r="AH25" s="68"/>
      <c r="AI25" s="68"/>
    </row>
    <row r="26" spans="1:35" ht="75" customHeight="1">
      <c r="A26" s="3"/>
      <c r="B26" s="977" t="s">
        <v>542</v>
      </c>
      <c r="C26" s="978"/>
      <c r="D26" s="979"/>
      <c r="E26" s="558" t="s">
        <v>659</v>
      </c>
      <c r="F26" s="558" t="s">
        <v>688</v>
      </c>
      <c r="G26" s="974">
        <v>1.2</v>
      </c>
      <c r="H26" s="975"/>
      <c r="I26" s="975"/>
      <c r="J26" s="975"/>
      <c r="K26" s="976"/>
      <c r="L26" s="951" t="s">
        <v>689</v>
      </c>
      <c r="M26" s="1019"/>
      <c r="N26" s="1019"/>
      <c r="O26" s="1019"/>
      <c r="P26" s="1019"/>
      <c r="Q26" s="1020"/>
      <c r="S26" s="66"/>
      <c r="T26" s="64" t="e">
        <f t="shared" ref="T26:W27" si="2">IF($K23&gt;T$19,IF($K23&lt;=T$20,$K23,NA()),NA())</f>
        <v>#N/A</v>
      </c>
      <c r="U26" s="64" t="e">
        <f t="shared" si="2"/>
        <v>#N/A</v>
      </c>
      <c r="V26" s="64" t="e">
        <f t="shared" si="2"/>
        <v>#N/A</v>
      </c>
      <c r="W26" s="64" t="e">
        <f t="shared" si="2"/>
        <v>#N/A</v>
      </c>
      <c r="X26" s="64" t="e">
        <f>IF($K23&gt;X$19,IF($K23&lt;=X$20,1,NA()),NA())</f>
        <v>#N/A</v>
      </c>
      <c r="Y26" s="68"/>
      <c r="Z26" s="68"/>
      <c r="AA26" s="68"/>
      <c r="AB26" s="68"/>
      <c r="AC26" s="68"/>
      <c r="AD26" s="68"/>
      <c r="AE26" s="68"/>
      <c r="AF26" s="68"/>
      <c r="AG26" s="68"/>
      <c r="AH26" s="68"/>
      <c r="AI26" s="68"/>
    </row>
    <row r="27" spans="1:35" ht="136.5" customHeight="1">
      <c r="A27" s="3"/>
      <c r="B27" s="944" t="s">
        <v>528</v>
      </c>
      <c r="C27" s="993"/>
      <c r="D27" s="994"/>
      <c r="E27" s="560" t="s">
        <v>662</v>
      </c>
      <c r="F27" s="560" t="s">
        <v>663</v>
      </c>
      <c r="G27" s="952">
        <v>1.1399999999999999</v>
      </c>
      <c r="H27" s="953"/>
      <c r="I27" s="953"/>
      <c r="J27" s="953"/>
      <c r="K27" s="954"/>
      <c r="L27" s="951" t="s">
        <v>690</v>
      </c>
      <c r="M27" s="725"/>
      <c r="N27" s="725"/>
      <c r="O27" s="725"/>
      <c r="P27" s="725"/>
      <c r="Q27" s="726"/>
      <c r="S27" s="66"/>
      <c r="T27" s="64" t="e">
        <f t="shared" si="2"/>
        <v>#N/A</v>
      </c>
      <c r="U27" s="64" t="e">
        <f t="shared" si="2"/>
        <v>#N/A</v>
      </c>
      <c r="V27" s="64" t="e">
        <f t="shared" si="2"/>
        <v>#N/A</v>
      </c>
      <c r="W27" s="64" t="e">
        <f t="shared" si="2"/>
        <v>#N/A</v>
      </c>
      <c r="X27" s="64" t="e">
        <f>IF($K24&gt;X$19,IF($K24&lt;=X$20,1,NA()),NA())</f>
        <v>#N/A</v>
      </c>
      <c r="Y27" s="68"/>
      <c r="Z27" s="68"/>
      <c r="AA27" s="68"/>
      <c r="AB27" s="68"/>
      <c r="AC27" s="68"/>
      <c r="AD27" s="68"/>
      <c r="AE27" s="68"/>
      <c r="AF27" s="68"/>
      <c r="AG27" s="68"/>
      <c r="AH27" s="68"/>
      <c r="AI27" s="68"/>
    </row>
    <row r="28" spans="1:35" ht="169.5" customHeight="1">
      <c r="A28" s="3"/>
      <c r="B28" s="944" t="s">
        <v>539</v>
      </c>
      <c r="C28" s="993"/>
      <c r="D28" s="994"/>
      <c r="E28" s="560" t="s">
        <v>665</v>
      </c>
      <c r="F28" s="560" t="s">
        <v>666</v>
      </c>
      <c r="G28" s="952">
        <v>0.66</v>
      </c>
      <c r="H28" s="953"/>
      <c r="I28" s="953"/>
      <c r="J28" s="953"/>
      <c r="K28" s="954"/>
      <c r="L28" s="951" t="s">
        <v>691</v>
      </c>
      <c r="M28" s="725"/>
      <c r="N28" s="725"/>
      <c r="O28" s="725"/>
      <c r="P28" s="725"/>
      <c r="Q28" s="726"/>
      <c r="S28" s="66"/>
      <c r="T28" s="64"/>
      <c r="U28" s="64"/>
      <c r="V28" s="64"/>
      <c r="W28" s="64"/>
      <c r="X28" s="64"/>
      <c r="Y28" s="68"/>
      <c r="Z28" s="68"/>
      <c r="AA28" s="68"/>
      <c r="AB28" s="68"/>
      <c r="AC28" s="68"/>
      <c r="AD28" s="68"/>
      <c r="AE28" s="68"/>
      <c r="AF28" s="68"/>
      <c r="AG28" s="68"/>
      <c r="AH28" s="68"/>
      <c r="AI28" s="68"/>
    </row>
    <row r="29" spans="1:35" ht="119.25" customHeight="1">
      <c r="A29" s="3"/>
      <c r="B29" s="944" t="s">
        <v>545</v>
      </c>
      <c r="C29" s="945"/>
      <c r="D29" s="946"/>
      <c r="E29" s="560" t="s">
        <v>668</v>
      </c>
      <c r="F29" s="560" t="s">
        <v>692</v>
      </c>
      <c r="G29" s="955">
        <v>1.03</v>
      </c>
      <c r="H29" s="956"/>
      <c r="I29" s="956"/>
      <c r="J29" s="956"/>
      <c r="K29" s="957"/>
      <c r="L29" s="951" t="s">
        <v>693</v>
      </c>
      <c r="M29" s="725"/>
      <c r="N29" s="725"/>
      <c r="O29" s="725"/>
      <c r="P29" s="725"/>
      <c r="Q29" s="726"/>
      <c r="S29" s="66"/>
      <c r="T29" s="64"/>
      <c r="U29" s="64"/>
      <c r="V29" s="64"/>
      <c r="W29" s="64"/>
      <c r="X29" s="64"/>
      <c r="Y29" s="68"/>
      <c r="Z29" s="68"/>
      <c r="AA29" s="68"/>
      <c r="AB29" s="68"/>
      <c r="AC29" s="68"/>
      <c r="AD29" s="68"/>
      <c r="AE29" s="68"/>
      <c r="AF29" s="68"/>
      <c r="AG29" s="68"/>
      <c r="AH29" s="68"/>
      <c r="AI29" s="68"/>
    </row>
    <row r="30" spans="1:35" ht="63" customHeight="1">
      <c r="A30" s="3"/>
      <c r="B30" s="944" t="s">
        <v>548</v>
      </c>
      <c r="C30" s="945"/>
      <c r="D30" s="946"/>
      <c r="E30" s="557">
        <v>0.93</v>
      </c>
      <c r="F30" s="557">
        <v>0.98</v>
      </c>
      <c r="G30" s="947">
        <v>1.05</v>
      </c>
      <c r="H30" s="948"/>
      <c r="I30" s="948"/>
      <c r="J30" s="948"/>
      <c r="K30" s="949"/>
      <c r="L30" s="950" t="s">
        <v>694</v>
      </c>
      <c r="M30" s="950"/>
      <c r="N30" s="950"/>
      <c r="O30" s="950"/>
      <c r="P30" s="950"/>
      <c r="Q30" s="950"/>
      <c r="S30" s="66"/>
      <c r="T30" s="64" t="e">
        <f t="shared" ref="T30:W31" si="3">IF($K26&gt;T$19,IF($K26&lt;=T$20,$K26,NA()),NA())</f>
        <v>#N/A</v>
      </c>
      <c r="U30" s="64" t="e">
        <f t="shared" si="3"/>
        <v>#N/A</v>
      </c>
      <c r="V30" s="64" t="e">
        <f t="shared" si="3"/>
        <v>#N/A</v>
      </c>
      <c r="W30" s="64" t="e">
        <f t="shared" si="3"/>
        <v>#N/A</v>
      </c>
      <c r="X30" s="64" t="e">
        <f>IF($K26&gt;X$19,IF($K26&lt;=X$20,1,NA()),NA())</f>
        <v>#N/A</v>
      </c>
      <c r="Y30" s="68"/>
      <c r="Z30" s="68"/>
      <c r="AA30" s="68"/>
      <c r="AB30" s="68"/>
      <c r="AC30" s="68"/>
      <c r="AD30" s="68"/>
      <c r="AE30" s="68"/>
      <c r="AF30" s="68"/>
      <c r="AG30" s="68"/>
      <c r="AH30" s="68"/>
      <c r="AI30" s="68"/>
    </row>
    <row r="31" spans="1:35" ht="81" customHeight="1">
      <c r="A31" s="3"/>
      <c r="B31" s="944" t="s">
        <v>552</v>
      </c>
      <c r="C31" s="945"/>
      <c r="D31" s="946"/>
      <c r="E31" s="557">
        <v>0.88</v>
      </c>
      <c r="F31" s="557">
        <v>0.95</v>
      </c>
      <c r="G31" s="947">
        <v>1.08</v>
      </c>
      <c r="H31" s="948"/>
      <c r="I31" s="948"/>
      <c r="J31" s="948"/>
      <c r="K31" s="949"/>
      <c r="L31" s="950" t="s">
        <v>695</v>
      </c>
      <c r="M31" s="950"/>
      <c r="N31" s="950"/>
      <c r="O31" s="950"/>
      <c r="P31" s="950"/>
      <c r="Q31" s="950"/>
      <c r="S31" s="66"/>
      <c r="T31" s="64" t="e">
        <f t="shared" si="3"/>
        <v>#N/A</v>
      </c>
      <c r="U31" s="64" t="e">
        <f t="shared" si="3"/>
        <v>#N/A</v>
      </c>
      <c r="V31" s="64" t="e">
        <f t="shared" si="3"/>
        <v>#N/A</v>
      </c>
      <c r="W31" s="64" t="e">
        <f t="shared" si="3"/>
        <v>#N/A</v>
      </c>
      <c r="X31" s="64" t="e">
        <f>IF($K27&gt;X$19,IF($K27&lt;=X$20,1,NA()),NA())</f>
        <v>#N/A</v>
      </c>
      <c r="Y31" s="68"/>
      <c r="Z31" s="68"/>
      <c r="AA31" s="68"/>
      <c r="AB31" s="68"/>
      <c r="AC31" s="68"/>
      <c r="AD31" s="68"/>
      <c r="AE31" s="68"/>
      <c r="AF31" s="68"/>
      <c r="AG31" s="68"/>
      <c r="AH31" s="68"/>
      <c r="AI31" s="68"/>
    </row>
    <row r="32" spans="1:35" ht="70.5" customHeight="1">
      <c r="A32" s="3"/>
      <c r="B32" s="944" t="s">
        <v>556</v>
      </c>
      <c r="C32" s="945"/>
      <c r="D32" s="946"/>
      <c r="E32" s="557">
        <v>0.8</v>
      </c>
      <c r="F32" s="557">
        <v>0.69</v>
      </c>
      <c r="G32" s="947">
        <v>0.86</v>
      </c>
      <c r="H32" s="948"/>
      <c r="I32" s="948"/>
      <c r="J32" s="948"/>
      <c r="K32" s="949"/>
      <c r="L32" s="950" t="s">
        <v>696</v>
      </c>
      <c r="M32" s="950"/>
      <c r="N32" s="950"/>
      <c r="O32" s="950"/>
      <c r="P32" s="950"/>
      <c r="Q32" s="950"/>
      <c r="S32" s="66"/>
      <c r="T32" s="64" t="e">
        <f>IF($K31&gt;T$19,IF($K31&lt;=T$20,$K31,NA()),NA())</f>
        <v>#N/A</v>
      </c>
      <c r="U32" s="64" t="e">
        <f>IF($K31&gt;U$19,IF($K31&lt;=U$20,$K31,NA()),NA())</f>
        <v>#N/A</v>
      </c>
      <c r="V32" s="64" t="e">
        <f>IF($K31&gt;V$19,IF($K31&lt;=V$20,$K31,NA()),NA())</f>
        <v>#N/A</v>
      </c>
      <c r="W32" s="64" t="e">
        <f>IF($K31&gt;W$19,IF($K31&lt;=W$20,$K31,NA()),NA())</f>
        <v>#N/A</v>
      </c>
      <c r="X32" s="64" t="e">
        <f>IF($K31&gt;X$19,IF($K31&lt;=X$20,1,NA()),NA())</f>
        <v>#N/A</v>
      </c>
      <c r="Y32" s="68"/>
      <c r="Z32" s="68"/>
      <c r="AA32" s="68"/>
      <c r="AB32" s="68"/>
      <c r="AC32" s="68"/>
      <c r="AD32" s="68"/>
      <c r="AE32" s="68"/>
      <c r="AF32" s="68"/>
      <c r="AG32" s="68"/>
      <c r="AH32" s="68"/>
      <c r="AI32" s="68"/>
    </row>
    <row r="33" spans="1:35" ht="76.5" customHeight="1">
      <c r="A33" s="3"/>
      <c r="B33" s="944" t="s">
        <v>604</v>
      </c>
      <c r="C33" s="945"/>
      <c r="D33" s="946"/>
      <c r="E33" s="560">
        <v>350</v>
      </c>
      <c r="F33" s="560">
        <v>509</v>
      </c>
      <c r="G33" s="947">
        <v>1.2</v>
      </c>
      <c r="H33" s="948"/>
      <c r="I33" s="948"/>
      <c r="J33" s="948"/>
      <c r="K33" s="949"/>
      <c r="L33" s="950" t="s">
        <v>697</v>
      </c>
      <c r="M33" s="950"/>
      <c r="N33" s="950"/>
      <c r="O33" s="950"/>
      <c r="P33" s="950"/>
      <c r="Q33" s="950"/>
      <c r="S33" s="66"/>
      <c r="T33" s="64" t="e">
        <f>IF(#REF!&gt;T$19,IF(#REF!&lt;=T$20,#REF!,NA()),NA())</f>
        <v>#REF!</v>
      </c>
      <c r="U33" s="64" t="e">
        <f>IF(#REF!&gt;U$19,IF(#REF!&lt;=U$20,#REF!,NA()),NA())</f>
        <v>#REF!</v>
      </c>
      <c r="V33" s="64" t="e">
        <f>IF(#REF!&gt;V$19,IF(#REF!&lt;=V$20,#REF!,NA()),NA())</f>
        <v>#REF!</v>
      </c>
      <c r="W33" s="64" t="e">
        <f>IF(#REF!&gt;W$19,IF(#REF!&lt;=W$20,#REF!,NA()),NA())</f>
        <v>#REF!</v>
      </c>
      <c r="X33" s="64" t="e">
        <f>IF(#REF!&gt;X$19,IF(#REF!&lt;=X$20,1,NA()),NA())</f>
        <v>#REF!</v>
      </c>
      <c r="Y33" s="68"/>
      <c r="Z33" s="68"/>
      <c r="AA33" s="68"/>
      <c r="AB33" s="68"/>
      <c r="AC33" s="68"/>
      <c r="AD33" s="68"/>
      <c r="AE33" s="68"/>
      <c r="AF33" s="68"/>
      <c r="AG33" s="68"/>
      <c r="AH33" s="68"/>
      <c r="AI33" s="68"/>
    </row>
    <row r="34" spans="1:35" ht="79.5" customHeight="1">
      <c r="A34" s="3"/>
      <c r="B34" s="944" t="s">
        <v>570</v>
      </c>
      <c r="C34" s="945"/>
      <c r="D34" s="946"/>
      <c r="E34" s="560">
        <v>22</v>
      </c>
      <c r="F34" s="560">
        <v>26</v>
      </c>
      <c r="G34" s="947">
        <v>1.18</v>
      </c>
      <c r="H34" s="948"/>
      <c r="I34" s="948"/>
      <c r="J34" s="948"/>
      <c r="K34" s="949"/>
      <c r="L34" s="950" t="s">
        <v>698</v>
      </c>
      <c r="M34" s="950"/>
      <c r="N34" s="950"/>
      <c r="O34" s="950"/>
      <c r="P34" s="950"/>
      <c r="Q34" s="950"/>
      <c r="S34" s="66"/>
      <c r="T34" s="64" t="e">
        <f>IF($K31&gt;T$19,IF($K31&lt;=T$20,$K31,NA()),NA())</f>
        <v>#N/A</v>
      </c>
      <c r="U34" s="64" t="e">
        <f>IF($K31&gt;U$19,IF($K31&lt;=U$20,$K31,NA()),NA())</f>
        <v>#N/A</v>
      </c>
      <c r="V34" s="64" t="e">
        <f>IF($K31&gt;V$19,IF($K31&lt;=V$20,$K31,NA()),NA())</f>
        <v>#N/A</v>
      </c>
      <c r="W34" s="64" t="e">
        <f>IF($K31&gt;W$19,IF($K31&lt;=W$20,$K31,NA()),NA())</f>
        <v>#N/A</v>
      </c>
      <c r="X34" s="64" t="e">
        <f>IF($K31&gt;X$19,IF($K31&lt;=X$20,1,NA()),NA())</f>
        <v>#N/A</v>
      </c>
      <c r="Y34" s="68"/>
      <c r="Z34" s="68"/>
      <c r="AA34" s="68"/>
      <c r="AB34" s="68"/>
      <c r="AC34" s="68"/>
      <c r="AD34" s="68"/>
      <c r="AE34" s="68"/>
      <c r="AF34" s="68"/>
      <c r="AG34" s="68"/>
      <c r="AH34" s="68"/>
      <c r="AI34" s="68"/>
    </row>
    <row r="35" spans="1:35" ht="79.5" customHeight="1">
      <c r="A35" s="3"/>
      <c r="B35" s="944" t="s">
        <v>699</v>
      </c>
      <c r="C35" s="945"/>
      <c r="D35" s="946"/>
      <c r="E35" s="560" t="s">
        <v>674</v>
      </c>
      <c r="F35" s="560" t="s">
        <v>700</v>
      </c>
      <c r="G35" s="947">
        <v>0.95</v>
      </c>
      <c r="H35" s="948"/>
      <c r="I35" s="948"/>
      <c r="J35" s="948"/>
      <c r="K35" s="949"/>
      <c r="L35" s="950" t="s">
        <v>701</v>
      </c>
      <c r="M35" s="950"/>
      <c r="N35" s="950"/>
      <c r="O35" s="950"/>
      <c r="P35" s="950"/>
      <c r="Q35" s="950"/>
      <c r="S35" s="66"/>
      <c r="T35" s="64" t="e">
        <f>IF($K33&gt;T$19,IF($K33&lt;=T$20,$K33,NA()),NA())</f>
        <v>#N/A</v>
      </c>
      <c r="U35" s="64" t="e">
        <f>IF($K33&gt;U$19,IF($K33&lt;=U$20,$K33,NA()),NA())</f>
        <v>#N/A</v>
      </c>
      <c r="V35" s="64" t="e">
        <f>IF($K33&gt;V$19,IF($K33&lt;=V$20,$K33,NA()),NA())</f>
        <v>#N/A</v>
      </c>
      <c r="W35" s="64" t="e">
        <f>IF($K33&gt;W$19,IF($K33&lt;=W$20,$K33,NA()),NA())</f>
        <v>#N/A</v>
      </c>
      <c r="X35" s="64" t="e">
        <f>IF($K33&gt;X$19,IF($K33&lt;=X$20,1,NA()),NA())</f>
        <v>#N/A</v>
      </c>
      <c r="Y35" s="68"/>
      <c r="Z35" s="68"/>
      <c r="AA35" s="68"/>
      <c r="AB35" s="68"/>
      <c r="AC35" s="68"/>
      <c r="AD35" s="68"/>
      <c r="AE35" s="68"/>
      <c r="AF35" s="68"/>
      <c r="AG35" s="68"/>
      <c r="AH35" s="68"/>
      <c r="AI35" s="68"/>
    </row>
    <row r="36" spans="1:35" ht="15.75" customHeight="1">
      <c r="A36" s="3"/>
      <c r="B36" s="119"/>
      <c r="C36" s="119"/>
      <c r="D36" s="202"/>
      <c r="E36" s="966" t="s">
        <v>392</v>
      </c>
      <c r="F36" s="967"/>
      <c r="G36" s="967"/>
      <c r="H36" s="967"/>
      <c r="I36" s="967"/>
      <c r="J36" s="967"/>
      <c r="K36" s="967"/>
      <c r="L36" s="967"/>
      <c r="M36" s="3"/>
      <c r="N36" s="3"/>
      <c r="O36" s="186"/>
      <c r="P36" s="232"/>
      <c r="S36" s="204"/>
      <c r="T36" s="204"/>
      <c r="U36" s="204"/>
      <c r="V36" s="204"/>
      <c r="W36" s="204"/>
      <c r="X36" s="204"/>
      <c r="Y36" s="68"/>
      <c r="Z36" s="68"/>
      <c r="AA36" s="68"/>
      <c r="AB36" s="68"/>
      <c r="AC36" s="68"/>
      <c r="AD36" s="204"/>
      <c r="AE36" s="204"/>
      <c r="AF36" s="204"/>
      <c r="AG36" s="204"/>
      <c r="AH36" s="204"/>
      <c r="AI36" s="204"/>
    </row>
    <row r="37" spans="1:35" ht="3" customHeight="1">
      <c r="A37" s="3"/>
      <c r="B37" s="119"/>
      <c r="C37" s="119"/>
      <c r="D37" s="202"/>
      <c r="E37" s="202"/>
      <c r="F37" s="202"/>
      <c r="G37" s="202"/>
      <c r="H37" s="202"/>
      <c r="I37" s="202"/>
      <c r="J37" s="202"/>
      <c r="K37" s="202"/>
      <c r="L37" s="202"/>
      <c r="M37" s="3"/>
      <c r="N37" s="3"/>
      <c r="O37" s="186"/>
      <c r="P37" s="185"/>
      <c r="Q37" s="185"/>
      <c r="S37" s="204"/>
      <c r="T37" s="204"/>
      <c r="U37" s="204"/>
      <c r="V37" s="204"/>
      <c r="W37" s="204"/>
      <c r="X37" s="204"/>
      <c r="Y37" s="68"/>
      <c r="Z37" s="68"/>
      <c r="AA37" s="68"/>
      <c r="AB37" s="68"/>
      <c r="AC37" s="68"/>
      <c r="AD37" s="204"/>
      <c r="AE37" s="204"/>
      <c r="AF37" s="204"/>
      <c r="AG37" s="204"/>
      <c r="AH37" s="204"/>
      <c r="AI37" s="204"/>
    </row>
    <row r="38" spans="1:35" ht="18.75" customHeight="1">
      <c r="A38" s="3"/>
      <c r="B38" s="963" t="str">
        <f>+'Ввод данных'!A205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38" s="963"/>
      <c r="D38" s="963"/>
      <c r="E38" s="963"/>
      <c r="F38" s="963" t="str">
        <f>+'Ввод данных'!A207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G38" s="963"/>
      <c r="H38" s="963"/>
      <c r="I38" s="963"/>
      <c r="J38" s="963"/>
      <c r="K38" s="963"/>
      <c r="L38" s="963" t="str">
        <f>+'Ввод данных'!A209</f>
        <v xml:space="preserve">MDR TB-1: Процент ранее излеченных ТБ пациентов, прошедших ТЛЧ (только бактериологически положительные случаи) </v>
      </c>
      <c r="M38" s="963"/>
      <c r="N38" s="963"/>
      <c r="O38" s="963"/>
      <c r="P38" s="963"/>
      <c r="Q38" s="963"/>
      <c r="S38" s="204"/>
      <c r="T38" s="204"/>
      <c r="U38" s="204"/>
      <c r="V38" s="204"/>
      <c r="W38" s="204"/>
      <c r="X38" s="204"/>
      <c r="Y38" s="68"/>
      <c r="Z38" s="68"/>
      <c r="AA38" s="68"/>
      <c r="AB38" s="68"/>
      <c r="AC38" s="68"/>
      <c r="AD38" s="204"/>
      <c r="AE38" s="204"/>
      <c r="AF38" s="204"/>
      <c r="AG38" s="204"/>
      <c r="AH38" s="204"/>
      <c r="AI38" s="204"/>
    </row>
    <row r="39" spans="1:35" ht="43.5" customHeight="1">
      <c r="A39" s="3"/>
      <c r="B39" s="382" t="s">
        <v>437</v>
      </c>
      <c r="C39" s="995" t="s">
        <v>472</v>
      </c>
      <c r="D39" s="996"/>
      <c r="E39" s="997"/>
      <c r="F39" s="382" t="s">
        <v>437</v>
      </c>
      <c r="G39" s="995" t="s">
        <v>473</v>
      </c>
      <c r="H39" s="996"/>
      <c r="I39" s="996"/>
      <c r="J39" s="996"/>
      <c r="K39" s="997"/>
      <c r="L39" s="382" t="s">
        <v>437</v>
      </c>
      <c r="M39" s="995" t="s">
        <v>474</v>
      </c>
      <c r="N39" s="996"/>
      <c r="O39" s="996"/>
      <c r="P39" s="996"/>
      <c r="Q39" s="997"/>
      <c r="S39" s="204"/>
      <c r="T39" s="204"/>
      <c r="U39" s="204"/>
      <c r="V39" s="204"/>
      <c r="W39" s="204"/>
      <c r="X39" s="204"/>
      <c r="Y39" s="204"/>
      <c r="Z39" s="204"/>
      <c r="AA39" s="204"/>
      <c r="AB39" s="204"/>
      <c r="AC39" s="204"/>
      <c r="AD39" s="204"/>
      <c r="AE39" s="204"/>
      <c r="AF39" s="204"/>
      <c r="AG39" s="204"/>
      <c r="AH39" s="204"/>
      <c r="AI39" s="204"/>
    </row>
    <row r="40" spans="1:35" ht="18.75" customHeight="1">
      <c r="A40" s="3"/>
      <c r="B40" s="119"/>
      <c r="C40" s="119"/>
      <c r="D40" s="202"/>
      <c r="E40" s="202"/>
      <c r="F40" s="202"/>
      <c r="G40" s="202"/>
      <c r="H40" s="202"/>
      <c r="I40" s="202"/>
      <c r="J40" s="202"/>
      <c r="K40" s="202"/>
      <c r="L40" s="202"/>
      <c r="M40" s="3"/>
      <c r="N40" s="3"/>
      <c r="O40" s="186"/>
      <c r="P40" s="185"/>
      <c r="S40" s="204"/>
      <c r="T40" s="204"/>
      <c r="U40" s="204"/>
      <c r="V40" s="204"/>
      <c r="W40" s="204"/>
      <c r="X40" s="204"/>
      <c r="Y40" s="204"/>
      <c r="Z40" s="204"/>
      <c r="AA40" s="204"/>
      <c r="AB40" s="204"/>
      <c r="AC40" s="204"/>
      <c r="AD40" s="204"/>
      <c r="AE40" s="204"/>
      <c r="AF40" s="204"/>
      <c r="AG40" s="204"/>
      <c r="AH40" s="204"/>
      <c r="AI40" s="204"/>
    </row>
    <row r="41" spans="1:35" ht="18.75" customHeight="1">
      <c r="A41" s="3"/>
      <c r="B41" s="119"/>
      <c r="C41" s="119"/>
      <c r="D41" s="202"/>
      <c r="E41" s="202"/>
      <c r="F41" s="202"/>
      <c r="G41" s="202"/>
      <c r="H41" s="202"/>
      <c r="I41" s="202"/>
      <c r="J41" s="202"/>
      <c r="K41" s="202"/>
      <c r="L41" s="202"/>
      <c r="M41" s="3"/>
      <c r="N41" s="3"/>
      <c r="O41" s="186"/>
      <c r="P41" s="185"/>
      <c r="S41" s="204"/>
      <c r="T41" s="204"/>
      <c r="U41" s="204"/>
      <c r="V41" s="204"/>
      <c r="W41" s="204"/>
      <c r="X41" s="204"/>
      <c r="Y41" s="204"/>
      <c r="Z41" s="204"/>
      <c r="AA41" s="204"/>
      <c r="AB41" s="204"/>
      <c r="AC41" s="204"/>
      <c r="AD41" s="204"/>
      <c r="AE41" s="204"/>
      <c r="AF41" s="204"/>
      <c r="AG41" s="204"/>
      <c r="AH41" s="204"/>
      <c r="AI41" s="204"/>
    </row>
    <row r="42" spans="1:35" ht="18.75" customHeight="1">
      <c r="A42" s="3"/>
      <c r="B42" s="119"/>
      <c r="C42" s="119"/>
      <c r="D42" s="202"/>
      <c r="E42" s="202"/>
      <c r="F42" s="202"/>
      <c r="G42" s="202"/>
      <c r="H42" s="202"/>
      <c r="I42" s="202"/>
      <c r="J42" s="202"/>
      <c r="K42" s="202"/>
      <c r="L42" s="202"/>
      <c r="M42" s="3"/>
      <c r="N42" s="3"/>
      <c r="O42" s="186"/>
      <c r="P42" s="185"/>
      <c r="S42" s="204"/>
      <c r="T42" s="204"/>
      <c r="U42" s="204"/>
      <c r="V42" s="204"/>
      <c r="W42" s="204"/>
      <c r="X42" s="204"/>
      <c r="Y42" s="204"/>
      <c r="Z42" s="204"/>
      <c r="AA42" s="204"/>
      <c r="AB42" s="204"/>
      <c r="AC42" s="204"/>
      <c r="AD42" s="204"/>
      <c r="AE42" s="204"/>
      <c r="AF42" s="204"/>
      <c r="AG42" s="204"/>
      <c r="AH42" s="204"/>
      <c r="AI42" s="204"/>
    </row>
    <row r="43" spans="1:35" ht="18.75" customHeight="1">
      <c r="A43" s="3"/>
      <c r="B43" s="119"/>
      <c r="C43" s="119"/>
      <c r="D43" s="202"/>
      <c r="E43" s="202"/>
      <c r="F43" s="202"/>
      <c r="G43" s="202"/>
      <c r="H43" s="202"/>
      <c r="I43" s="202"/>
      <c r="J43" s="202"/>
      <c r="K43" s="202"/>
      <c r="L43" s="202"/>
      <c r="M43" s="3"/>
      <c r="N43" s="3"/>
      <c r="O43" s="186"/>
      <c r="P43" s="185"/>
      <c r="S43" s="204"/>
      <c r="T43" s="204"/>
      <c r="U43" s="204"/>
      <c r="V43" s="204"/>
      <c r="W43" s="204"/>
      <c r="X43" s="204"/>
      <c r="Y43" s="204"/>
      <c r="Z43" s="204"/>
      <c r="AA43" s="204"/>
      <c r="AB43" s="204"/>
      <c r="AC43" s="204"/>
      <c r="AD43" s="204"/>
      <c r="AE43" s="204"/>
      <c r="AF43" s="204"/>
      <c r="AG43" s="204"/>
      <c r="AH43" s="204"/>
      <c r="AI43" s="204"/>
    </row>
    <row r="44" spans="1:35" ht="18.75" customHeight="1">
      <c r="A44" s="3"/>
      <c r="B44" s="119"/>
      <c r="C44" s="119"/>
      <c r="D44" s="202"/>
      <c r="E44" s="202"/>
      <c r="F44" s="202"/>
      <c r="G44" s="202"/>
      <c r="H44" s="202"/>
      <c r="I44" s="202"/>
      <c r="J44" s="202"/>
      <c r="K44" s="202"/>
      <c r="L44" s="202"/>
      <c r="M44" s="3"/>
      <c r="N44" s="3"/>
      <c r="O44" s="186"/>
      <c r="P44" s="185"/>
      <c r="S44" s="204"/>
      <c r="T44" s="204"/>
      <c r="U44" s="204"/>
      <c r="V44" s="204"/>
      <c r="W44" s="204"/>
      <c r="X44" s="204"/>
      <c r="Y44" s="204"/>
      <c r="Z44" s="204"/>
      <c r="AA44" s="204"/>
      <c r="AB44" s="204"/>
      <c r="AC44" s="204"/>
      <c r="AD44" s="204"/>
      <c r="AE44" s="204"/>
      <c r="AF44" s="204"/>
      <c r="AG44" s="204"/>
      <c r="AH44" s="204"/>
      <c r="AI44" s="204"/>
    </row>
    <row r="45" spans="1:35" ht="18.75" customHeight="1">
      <c r="A45" s="3"/>
      <c r="B45" s="119"/>
      <c r="C45" s="119"/>
      <c r="D45" s="202"/>
      <c r="E45" s="202"/>
      <c r="F45" s="202"/>
      <c r="G45" s="202"/>
      <c r="H45" s="202"/>
      <c r="I45" s="202"/>
      <c r="J45" s="202"/>
      <c r="K45" s="202"/>
      <c r="L45" s="202"/>
      <c r="M45" s="3"/>
      <c r="N45" s="3"/>
      <c r="O45" s="186"/>
      <c r="P45" s="185"/>
      <c r="S45" s="204"/>
      <c r="T45" s="204"/>
      <c r="U45" s="204"/>
      <c r="V45" s="204"/>
      <c r="W45" s="204"/>
      <c r="X45" s="204"/>
      <c r="Y45" s="204"/>
      <c r="Z45" s="204"/>
      <c r="AA45" s="204"/>
      <c r="AB45" s="204"/>
      <c r="AC45" s="204"/>
      <c r="AD45" s="204"/>
      <c r="AE45" s="204"/>
      <c r="AF45" s="204"/>
      <c r="AG45" s="204"/>
      <c r="AH45" s="204"/>
      <c r="AI45" s="204"/>
    </row>
    <row r="46" spans="1:35" ht="18.75" customHeight="1">
      <c r="A46" s="3"/>
      <c r="B46" s="119"/>
      <c r="C46" s="119"/>
      <c r="D46" s="202"/>
      <c r="E46" s="202"/>
      <c r="F46" s="202"/>
      <c r="G46" s="202"/>
      <c r="H46" s="202"/>
      <c r="I46" s="202"/>
      <c r="J46" s="202"/>
      <c r="K46" s="202"/>
      <c r="L46" s="202"/>
      <c r="M46" s="3"/>
      <c r="N46" s="3"/>
      <c r="O46" s="186"/>
      <c r="P46" s="185"/>
      <c r="S46" s="204"/>
      <c r="T46" s="204"/>
      <c r="U46" s="204"/>
      <c r="V46" s="204"/>
      <c r="W46" s="204"/>
      <c r="X46" s="204"/>
      <c r="Y46" s="204"/>
      <c r="Z46" s="204"/>
      <c r="AA46" s="204"/>
      <c r="AB46" s="204"/>
      <c r="AC46" s="204"/>
      <c r="AD46" s="204"/>
      <c r="AE46" s="204"/>
      <c r="AF46" s="204"/>
      <c r="AG46" s="204"/>
      <c r="AH46" s="204"/>
      <c r="AI46" s="204"/>
    </row>
    <row r="47" spans="1:35" ht="17.25" customHeight="1">
      <c r="A47" s="3"/>
      <c r="B47" s="119"/>
      <c r="C47" s="119"/>
      <c r="D47" s="202"/>
      <c r="E47" s="202"/>
      <c r="F47" s="202"/>
      <c r="G47" s="202"/>
      <c r="H47" s="202"/>
      <c r="I47" s="202"/>
      <c r="J47" s="202"/>
      <c r="K47" s="202"/>
      <c r="L47" s="202"/>
      <c r="M47" s="3"/>
      <c r="N47" s="3"/>
      <c r="O47" s="186"/>
      <c r="P47" s="185"/>
      <c r="S47" s="204"/>
      <c r="T47" s="204"/>
      <c r="U47" s="204"/>
      <c r="V47" s="204"/>
      <c r="W47" s="204"/>
      <c r="X47" s="204"/>
      <c r="Y47" s="204"/>
      <c r="Z47" s="204"/>
      <c r="AA47" s="204"/>
      <c r="AB47" s="204"/>
      <c r="AC47" s="204"/>
      <c r="AD47" s="204"/>
      <c r="AE47" s="204"/>
      <c r="AF47" s="204"/>
      <c r="AG47" s="204"/>
      <c r="AH47" s="204"/>
      <c r="AI47" s="204"/>
    </row>
    <row r="48" spans="1:35" ht="6" customHeight="1">
      <c r="A48" s="3"/>
      <c r="B48" s="123"/>
      <c r="C48" s="119"/>
      <c r="D48" s="120"/>
      <c r="E48" s="972"/>
      <c r="F48" s="972"/>
      <c r="G48" s="972"/>
      <c r="H48" s="972"/>
      <c r="I48" s="972"/>
      <c r="J48" s="972"/>
      <c r="K48" s="972"/>
      <c r="L48" s="3"/>
      <c r="M48" s="3"/>
      <c r="N48" s="3"/>
      <c r="O48" s="3"/>
      <c r="P48" s="3"/>
      <c r="S48" s="204"/>
      <c r="T48" s="204"/>
      <c r="U48" s="204"/>
      <c r="V48" s="204"/>
      <c r="W48" s="204"/>
      <c r="X48" s="204"/>
      <c r="Y48" s="204"/>
      <c r="Z48" s="204"/>
      <c r="AA48" s="204"/>
      <c r="AB48" s="204"/>
      <c r="AC48" s="204"/>
      <c r="AD48" s="204"/>
      <c r="AE48" s="204"/>
      <c r="AF48" s="204"/>
      <c r="AG48" s="204"/>
      <c r="AH48" s="204"/>
      <c r="AI48" s="204"/>
    </row>
    <row r="49" spans="1:35" ht="24" customHeight="1">
      <c r="A49" s="3"/>
      <c r="B49" s="1003" t="s">
        <v>391</v>
      </c>
      <c r="C49" s="1003"/>
      <c r="D49" s="1003"/>
      <c r="E49" s="414" t="s">
        <v>379</v>
      </c>
      <c r="F49" s="414" t="s">
        <v>271</v>
      </c>
      <c r="G49" s="999" t="s">
        <v>83</v>
      </c>
      <c r="H49" s="1000"/>
      <c r="I49" s="1001" t="s">
        <v>84</v>
      </c>
      <c r="J49" s="1002"/>
      <c r="K49" s="421" t="s">
        <v>85</v>
      </c>
      <c r="L49" s="1005" t="s">
        <v>456</v>
      </c>
      <c r="M49" s="1006"/>
      <c r="N49" s="1006"/>
      <c r="O49" s="1006"/>
      <c r="P49" s="1006"/>
      <c r="Q49" s="1007"/>
      <c r="S49" s="62" t="s">
        <v>49</v>
      </c>
      <c r="T49" s="63">
        <v>0</v>
      </c>
      <c r="U49" s="64">
        <v>0.3</v>
      </c>
      <c r="V49" s="64">
        <v>0.6</v>
      </c>
      <c r="W49" s="64">
        <v>0.9</v>
      </c>
      <c r="X49" s="64">
        <v>1</v>
      </c>
      <c r="Y49" s="68"/>
      <c r="Z49" s="68"/>
      <c r="AA49" s="62" t="s">
        <v>49</v>
      </c>
      <c r="AB49" s="63">
        <v>0</v>
      </c>
      <c r="AC49" s="64">
        <v>0.2</v>
      </c>
      <c r="AD49" s="64">
        <v>0.4</v>
      </c>
      <c r="AE49" s="64">
        <v>0.6</v>
      </c>
      <c r="AF49" s="64">
        <v>0.8</v>
      </c>
      <c r="AG49" s="68"/>
      <c r="AH49" s="68"/>
      <c r="AI49" s="68"/>
    </row>
    <row r="50" spans="1:35" ht="75.75" customHeight="1">
      <c r="A50" s="3"/>
      <c r="B50" s="998" t="str">
        <f>+'Ввод данных'!A205</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50" s="998"/>
      <c r="D50" s="998"/>
      <c r="E50" s="415">
        <v>2254</v>
      </c>
      <c r="F50" s="416" t="s">
        <v>475</v>
      </c>
      <c r="G50" s="958">
        <v>0.75</v>
      </c>
      <c r="H50" s="959"/>
      <c r="I50" s="959"/>
      <c r="J50" s="959"/>
      <c r="K50" s="960"/>
      <c r="L50" s="961" t="s">
        <v>476</v>
      </c>
      <c r="M50" s="961"/>
      <c r="N50" s="961"/>
      <c r="O50" s="961"/>
      <c r="P50" s="961"/>
      <c r="Q50" s="961"/>
      <c r="S50" s="62" t="s">
        <v>50</v>
      </c>
      <c r="T50" s="65">
        <v>0.3</v>
      </c>
      <c r="U50" s="64">
        <v>0.6</v>
      </c>
      <c r="V50" s="64">
        <v>0.9</v>
      </c>
      <c r="W50" s="64">
        <v>1</v>
      </c>
      <c r="X50" s="64">
        <v>2</v>
      </c>
      <c r="Y50" s="68"/>
      <c r="Z50" s="68"/>
      <c r="AA50" s="62" t="s">
        <v>50</v>
      </c>
      <c r="AB50" s="65">
        <v>0.2</v>
      </c>
      <c r="AC50" s="64">
        <v>0.4</v>
      </c>
      <c r="AD50" s="64">
        <v>0.6</v>
      </c>
      <c r="AE50" s="64">
        <v>0.8</v>
      </c>
      <c r="AF50" s="64">
        <v>1</v>
      </c>
      <c r="AG50" s="68"/>
      <c r="AH50" s="68"/>
      <c r="AI50" s="68"/>
    </row>
    <row r="51" spans="1:35" ht="54.75" customHeight="1">
      <c r="A51" s="3"/>
      <c r="B51" s="998" t="str">
        <f>+'Ввод данных'!A207</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C51" s="998"/>
      <c r="D51" s="998"/>
      <c r="E51" s="415">
        <v>1677</v>
      </c>
      <c r="F51" s="416" t="s">
        <v>477</v>
      </c>
      <c r="G51" s="1008">
        <v>1.24</v>
      </c>
      <c r="H51" s="1009"/>
      <c r="I51" s="1009"/>
      <c r="J51" s="1009"/>
      <c r="K51" s="1010"/>
      <c r="L51" s="961" t="s">
        <v>478</v>
      </c>
      <c r="M51" s="961"/>
      <c r="N51" s="961"/>
      <c r="O51" s="961"/>
      <c r="P51" s="961"/>
      <c r="Q51" s="961"/>
      <c r="S51" s="66"/>
      <c r="T51" s="67" t="str">
        <f>"de "&amp;T49&amp;" a "&amp;T50</f>
        <v>de 0 a 0,3</v>
      </c>
      <c r="U51" s="67" t="str">
        <f>"de "&amp;U49&amp;" a "&amp;U50</f>
        <v>de 0,3 a 0,6</v>
      </c>
      <c r="V51" s="67" t="str">
        <f>"de "&amp;V49&amp;" a "&amp;V50</f>
        <v>de 0,6 a 0,9</v>
      </c>
      <c r="W51" s="67" t="str">
        <f>"de "&amp;W49&amp;" a "&amp;W50</f>
        <v>de 0,9 a 1</v>
      </c>
      <c r="X51" s="67" t="str">
        <f>"de "&amp;X49&amp;" a "&amp;X50</f>
        <v>de 1 a 2</v>
      </c>
      <c r="Y51" s="68"/>
      <c r="Z51" s="68" t="s">
        <v>75</v>
      </c>
      <c r="AA51" s="66" t="s">
        <v>74</v>
      </c>
      <c r="AB51" s="67" t="str">
        <f>"de "&amp;AB49&amp;" a "&amp;AB50</f>
        <v>de 0 a 0,2</v>
      </c>
      <c r="AC51" s="67" t="str">
        <f>"de "&amp;AC49&amp;" a "&amp;AC50</f>
        <v>de 0,2 a 0,4</v>
      </c>
      <c r="AD51" s="67" t="str">
        <f>"de "&amp;AD49&amp;" a "&amp;AD50</f>
        <v>de 0,4 a 0,6</v>
      </c>
      <c r="AE51" s="67" t="str">
        <f>"de "&amp;AE49&amp;" a "&amp;AE50</f>
        <v>de 0,6 a 0,8</v>
      </c>
      <c r="AF51" s="67" t="str">
        <f>"de "&amp;AF49&amp;" a "&amp;AF50</f>
        <v>de 0,8 a 1</v>
      </c>
      <c r="AG51" s="68"/>
      <c r="AH51" s="68"/>
      <c r="AI51" s="68"/>
    </row>
    <row r="52" spans="1:35" ht="49.5" customHeight="1">
      <c r="A52" s="3"/>
      <c r="B52" s="998" t="str">
        <f>+'Ввод данных'!A209</f>
        <v xml:space="preserve">MDR TB-1: Процент ранее излеченных ТБ пациентов, прошедших ТЛЧ (только бактериологически положительные случаи) </v>
      </c>
      <c r="C52" s="998"/>
      <c r="D52" s="998"/>
      <c r="E52" s="495">
        <v>0.9</v>
      </c>
      <c r="F52" s="416" t="s">
        <v>479</v>
      </c>
      <c r="G52" s="958">
        <v>1.05</v>
      </c>
      <c r="H52" s="959"/>
      <c r="I52" s="959"/>
      <c r="J52" s="959"/>
      <c r="K52" s="960"/>
      <c r="L52" s="961" t="s">
        <v>480</v>
      </c>
      <c r="M52" s="961"/>
      <c r="N52" s="961"/>
      <c r="O52" s="961"/>
      <c r="P52" s="961"/>
      <c r="Q52" s="961"/>
      <c r="S52" s="66"/>
      <c r="T52" s="64" t="e">
        <f>IF($K50&gt;T$49,IF($K50&lt;=T$50,$K50,NA()),NA())</f>
        <v>#N/A</v>
      </c>
      <c r="U52" s="64" t="e">
        <f>IF($K50&gt;U$49,IF($K50&lt;=U$50,$K50,NA()),NA())</f>
        <v>#N/A</v>
      </c>
      <c r="V52" s="64" t="e">
        <f>IF($K50&gt;V$49,IF($K50&lt;=V$50,$K50,NA()),NA())</f>
        <v>#N/A</v>
      </c>
      <c r="W52" s="64" t="e">
        <f>IF($K50&gt;W$49,IF($K50&lt;=W$50,$K50,NA()),NA())</f>
        <v>#N/A</v>
      </c>
      <c r="X52" s="64" t="e">
        <f>IF($K50&gt;X$49,IF($K50&lt;=X$50,1,NA()),NA())</f>
        <v>#N/A</v>
      </c>
      <c r="Y52" s="68"/>
      <c r="Z52" s="182" t="e">
        <f>+'Сведения о гранте'!#REF!</f>
        <v>#REF!</v>
      </c>
      <c r="AA52" s="64" t="e">
        <f>+IF(Z52="A1",1,IF(Z52="A2",0.8,IF(Z52="B1",0.6,IF(Z52="B2",0.4,0.2))))</f>
        <v>#REF!</v>
      </c>
      <c r="AB52" s="64" t="e">
        <f>IF($AA52&gt;AB$49,IF($AA52&lt;=AB$50,$AA52,NA()),NA())</f>
        <v>#REF!</v>
      </c>
      <c r="AC52" s="64" t="e">
        <f t="shared" ref="AC52:AF54" si="4">IF($AA52&gt;AC$49,IF($AA52&lt;=AC$50,$AA52,NA()),NA())</f>
        <v>#REF!</v>
      </c>
      <c r="AD52" s="64" t="e">
        <f t="shared" si="4"/>
        <v>#REF!</v>
      </c>
      <c r="AE52" s="64" t="e">
        <f t="shared" si="4"/>
        <v>#REF!</v>
      </c>
      <c r="AF52" s="64" t="e">
        <f t="shared" si="4"/>
        <v>#REF!</v>
      </c>
      <c r="AG52" s="68"/>
      <c r="AH52" s="68"/>
      <c r="AI52" s="68"/>
    </row>
    <row r="53" spans="1:35" ht="66.75" customHeight="1">
      <c r="A53" s="3"/>
      <c r="B53" s="1004" t="str">
        <f>+'Ввод данных'!A211</f>
        <v>MDR TB-2: Количество бактериологически подтвержденных зарегистрированных ЛУ-ТБ случаев (РУ-ТБ и/или МЛУ-ТБ)</v>
      </c>
      <c r="C53" s="998"/>
      <c r="D53" s="998"/>
      <c r="E53" s="497">
        <v>712</v>
      </c>
      <c r="F53" s="416" t="s">
        <v>481</v>
      </c>
      <c r="G53" s="958">
        <v>0.98</v>
      </c>
      <c r="H53" s="959"/>
      <c r="I53" s="959"/>
      <c r="J53" s="959"/>
      <c r="K53" s="960"/>
      <c r="L53" s="961" t="s">
        <v>482</v>
      </c>
      <c r="M53" s="961"/>
      <c r="N53" s="961"/>
      <c r="O53" s="961"/>
      <c r="P53" s="961"/>
      <c r="Q53" s="961"/>
      <c r="S53" s="66"/>
      <c r="T53" s="64"/>
      <c r="U53" s="64"/>
      <c r="V53" s="64"/>
      <c r="W53" s="64"/>
      <c r="X53" s="64"/>
      <c r="Y53" s="68"/>
      <c r="Z53" s="182"/>
      <c r="AA53" s="64"/>
      <c r="AB53" s="64"/>
      <c r="AC53" s="64"/>
      <c r="AD53" s="64"/>
      <c r="AE53" s="64"/>
      <c r="AF53" s="64"/>
      <c r="AG53" s="68"/>
      <c r="AH53" s="68"/>
      <c r="AI53" s="68"/>
    </row>
    <row r="54" spans="1:35" ht="119.25" customHeight="1">
      <c r="A54" s="3"/>
      <c r="B54" s="982" t="str">
        <f>+'Ввод данных'!A213</f>
        <v>MDR TB-3: Число больных  с устойчивыми формами туберкулеза, включенных на лечение препаратами второго ряда ( вместе с пенитенциарной системой)</v>
      </c>
      <c r="C54" s="982"/>
      <c r="D54" s="982"/>
      <c r="E54" s="417">
        <v>663</v>
      </c>
      <c r="F54" s="420" t="s">
        <v>483</v>
      </c>
      <c r="G54" s="958">
        <v>1.06</v>
      </c>
      <c r="H54" s="959"/>
      <c r="I54" s="959"/>
      <c r="J54" s="959"/>
      <c r="K54" s="960"/>
      <c r="L54" s="961" t="s">
        <v>484</v>
      </c>
      <c r="M54" s="961"/>
      <c r="N54" s="961"/>
      <c r="O54" s="961"/>
      <c r="P54" s="961"/>
      <c r="Q54" s="961"/>
      <c r="S54" s="66"/>
      <c r="Z54" s="182" t="e">
        <f>+'Сведения о гранте'!#REF!</f>
        <v>#REF!</v>
      </c>
      <c r="AA54" s="64" t="e">
        <f>+IF(Z54="A1",1,IF(Z54="A2",0.8,IF(Z54="B1",0.6,IF(Z54="B2",0.4,0.2))))</f>
        <v>#REF!</v>
      </c>
      <c r="AB54" s="64" t="e">
        <f>IF($AA54&gt;AB$49,IF($AA54&lt;=AB$50,$AA54,NA()),NA())</f>
        <v>#REF!</v>
      </c>
      <c r="AC54" s="64" t="e">
        <f t="shared" si="4"/>
        <v>#REF!</v>
      </c>
      <c r="AD54" s="64" t="e">
        <f t="shared" si="4"/>
        <v>#REF!</v>
      </c>
      <c r="AE54" s="64" t="e">
        <f t="shared" si="4"/>
        <v>#REF!</v>
      </c>
      <c r="AF54" s="64" t="e">
        <f t="shared" si="4"/>
        <v>#REF!</v>
      </c>
      <c r="AG54" s="68"/>
      <c r="AH54" s="68"/>
      <c r="AI54" s="68"/>
    </row>
    <row r="55" spans="1:35" ht="78.75" customHeight="1">
      <c r="A55" s="3"/>
      <c r="B55" s="982" t="str">
        <f>+'Ввод данных'!A215</f>
        <v xml:space="preserve">Процент и количество пациентов с симптомами или подозрениями на ТБ, обследованных методом Xpert MTB/RIF и подтвержденным активным ТБ  </v>
      </c>
      <c r="C55" s="982"/>
      <c r="D55" s="982"/>
      <c r="E55" s="418" t="s">
        <v>485</v>
      </c>
      <c r="F55" s="419" t="s">
        <v>486</v>
      </c>
      <c r="G55" s="983" t="s">
        <v>487</v>
      </c>
      <c r="H55" s="984"/>
      <c r="I55" s="984"/>
      <c r="J55" s="984"/>
      <c r="K55" s="985"/>
      <c r="L55" s="961" t="s">
        <v>488</v>
      </c>
      <c r="M55" s="961"/>
      <c r="N55" s="961"/>
      <c r="O55" s="961"/>
      <c r="P55" s="961"/>
      <c r="Q55" s="961"/>
      <c r="S55" s="66"/>
      <c r="Z55" s="68"/>
      <c r="AA55" s="68"/>
      <c r="AB55" s="68"/>
      <c r="AC55" s="68"/>
      <c r="AD55" s="68"/>
      <c r="AE55" s="68"/>
      <c r="AF55" s="68"/>
      <c r="AG55" s="68"/>
      <c r="AH55" s="68"/>
      <c r="AI55" s="68"/>
    </row>
    <row r="56" spans="1:35" ht="22.5" customHeight="1">
      <c r="A56" s="3"/>
      <c r="B56" s="991"/>
      <c r="C56" s="991"/>
      <c r="D56" s="991"/>
      <c r="E56" s="991"/>
      <c r="F56" s="990"/>
      <c r="G56" s="990"/>
      <c r="H56" s="990"/>
      <c r="I56" s="990"/>
      <c r="J56" s="990"/>
      <c r="K56" s="990"/>
      <c r="L56" s="992"/>
      <c r="M56" s="992"/>
      <c r="N56" s="992"/>
      <c r="O56" s="992"/>
      <c r="P56" s="992"/>
      <c r="S56" s="66"/>
      <c r="Z56" s="68"/>
      <c r="AA56" s="68"/>
      <c r="AB56" s="68"/>
      <c r="AC56" s="68"/>
      <c r="AD56" s="68"/>
      <c r="AE56" s="68"/>
      <c r="AF56" s="68"/>
      <c r="AG56" s="68"/>
      <c r="AH56" s="68"/>
      <c r="AI56" s="68"/>
    </row>
    <row r="57" spans="1:35" ht="22.5" customHeight="1">
      <c r="A57" s="3"/>
      <c r="B57" s="986"/>
      <c r="C57" s="986"/>
      <c r="D57" s="986"/>
      <c r="E57" s="987"/>
      <c r="F57" s="988"/>
      <c r="G57" s="989"/>
      <c r="H57" s="989"/>
      <c r="I57" s="989"/>
      <c r="J57" s="989"/>
      <c r="K57" s="987"/>
      <c r="L57" s="988"/>
      <c r="M57" s="989"/>
      <c r="N57" s="989"/>
      <c r="O57" s="989"/>
      <c r="P57" s="989"/>
      <c r="S57" s="66"/>
      <c r="Z57" s="68"/>
      <c r="AA57" s="68"/>
      <c r="AB57" s="68"/>
      <c r="AC57" s="68"/>
      <c r="AD57" s="68"/>
      <c r="AE57" s="68"/>
      <c r="AF57" s="68"/>
      <c r="AG57" s="68"/>
      <c r="AH57" s="68"/>
      <c r="AI57" s="68"/>
    </row>
    <row r="58" spans="1:35">
      <c r="A58" s="3"/>
      <c r="B58" s="205"/>
      <c r="C58" s="205"/>
      <c r="D58" s="205"/>
      <c r="E58" s="205"/>
      <c r="F58" s="205"/>
      <c r="G58" s="205"/>
      <c r="H58" s="206"/>
      <c r="I58" s="205"/>
      <c r="J58" s="205"/>
      <c r="K58" s="205"/>
      <c r="L58" s="205"/>
      <c r="M58" s="205"/>
      <c r="N58" s="205"/>
      <c r="O58" s="205"/>
      <c r="P58" s="205"/>
      <c r="S58" s="66"/>
      <c r="Z58" s="68"/>
      <c r="AA58" s="68"/>
      <c r="AB58" s="68"/>
      <c r="AC58" s="68"/>
      <c r="AD58" s="68"/>
      <c r="AE58" s="68"/>
      <c r="AF58" s="68"/>
      <c r="AG58" s="68"/>
      <c r="AH58" s="68"/>
      <c r="AI58" s="68"/>
    </row>
    <row r="59" spans="1:35">
      <c r="A59" s="3"/>
      <c r="B59" s="981"/>
      <c r="C59" s="981"/>
      <c r="D59" s="981"/>
      <c r="E59" s="981"/>
      <c r="F59" s="981"/>
      <c r="G59" s="981"/>
      <c r="H59" s="981"/>
      <c r="I59" s="981"/>
      <c r="J59" s="981"/>
      <c r="K59" s="981"/>
      <c r="L59" s="205"/>
      <c r="M59" s="205"/>
      <c r="N59" s="205"/>
      <c r="O59" s="205"/>
      <c r="P59" s="205"/>
      <c r="S59" s="66"/>
      <c r="Z59" s="68"/>
      <c r="AA59" s="68"/>
      <c r="AB59" s="68"/>
      <c r="AC59" s="68"/>
      <c r="AD59" s="68"/>
      <c r="AE59" s="68"/>
      <c r="AF59" s="68"/>
      <c r="AG59" s="68"/>
      <c r="AH59" s="68"/>
      <c r="AI59" s="68"/>
    </row>
    <row r="60" spans="1:35">
      <c r="A60" s="3"/>
      <c r="B60" s="981"/>
      <c r="C60" s="981"/>
      <c r="D60" s="981"/>
      <c r="E60" s="981"/>
      <c r="F60" s="981"/>
      <c r="G60" s="981"/>
      <c r="H60" s="981"/>
      <c r="I60" s="981"/>
      <c r="J60" s="981"/>
      <c r="K60" s="981"/>
      <c r="L60" s="205"/>
      <c r="M60" s="205"/>
      <c r="N60" s="205"/>
      <c r="O60" s="205"/>
      <c r="P60" s="205"/>
      <c r="S60" s="68"/>
      <c r="Z60" s="68"/>
      <c r="AA60" s="68"/>
      <c r="AB60" s="68"/>
      <c r="AC60" s="68"/>
      <c r="AD60" s="68"/>
      <c r="AE60" s="68"/>
      <c r="AF60" s="68"/>
      <c r="AG60" s="68"/>
      <c r="AH60" s="68"/>
      <c r="AI60" s="68"/>
    </row>
    <row r="61" spans="1:35">
      <c r="A61" s="3"/>
      <c r="B61" s="3"/>
      <c r="C61" s="3"/>
      <c r="D61" s="3"/>
      <c r="E61" s="3"/>
      <c r="F61" s="3"/>
      <c r="G61" s="3"/>
      <c r="H61" s="3"/>
      <c r="I61" s="95"/>
      <c r="J61" s="95"/>
      <c r="K61" s="95"/>
      <c r="L61" s="3"/>
      <c r="M61" s="3"/>
      <c r="N61" s="3"/>
      <c r="O61" s="3"/>
      <c r="P61" s="3"/>
      <c r="S61" s="68"/>
      <c r="T61" s="68"/>
      <c r="U61" s="68"/>
      <c r="V61" s="68"/>
      <c r="W61" s="68"/>
      <c r="X61" s="68"/>
      <c r="Y61" s="68"/>
      <c r="Z61" s="68"/>
      <c r="AA61" s="68"/>
      <c r="AB61" s="68"/>
      <c r="AC61" s="68"/>
      <c r="AD61" s="68"/>
      <c r="AE61" s="68"/>
      <c r="AF61" s="68"/>
      <c r="AG61" s="68"/>
      <c r="AH61" s="68"/>
      <c r="AI61" s="68"/>
    </row>
    <row r="62" spans="1:35">
      <c r="A62" s="3"/>
      <c r="B62" s="3"/>
      <c r="C62" s="3"/>
      <c r="D62" s="3"/>
      <c r="E62" s="3"/>
      <c r="F62" s="3"/>
      <c r="G62" s="3"/>
      <c r="H62" s="3"/>
      <c r="I62" s="130"/>
      <c r="J62" s="131"/>
      <c r="K62" s="131"/>
      <c r="L62" s="3"/>
      <c r="M62" s="3"/>
      <c r="N62" s="3"/>
      <c r="O62" s="3"/>
      <c r="P62" s="3"/>
      <c r="S62" s="68"/>
      <c r="T62" s="68"/>
      <c r="U62" s="68"/>
      <c r="V62" s="68"/>
      <c r="W62" s="68"/>
      <c r="X62" s="68"/>
      <c r="Y62" s="68"/>
      <c r="Z62" s="68"/>
      <c r="AA62" s="68"/>
      <c r="AB62" s="68"/>
      <c r="AC62" s="68"/>
      <c r="AD62" s="68"/>
      <c r="AE62" s="68"/>
      <c r="AF62" s="68"/>
      <c r="AG62" s="68"/>
      <c r="AH62" s="68"/>
      <c r="AI62" s="68"/>
    </row>
    <row r="63" spans="1:35">
      <c r="A63" s="3"/>
      <c r="B63" s="3"/>
      <c r="C63" s="3"/>
      <c r="D63" s="3"/>
      <c r="E63" s="3"/>
      <c r="F63" s="3"/>
      <c r="G63" s="3"/>
      <c r="H63" s="3"/>
      <c r="I63" s="132"/>
      <c r="J63" s="133"/>
      <c r="K63" s="97"/>
      <c r="L63" s="3"/>
      <c r="M63" s="3"/>
      <c r="N63" s="3"/>
      <c r="O63" s="3"/>
      <c r="P63" s="3"/>
      <c r="S63" s="68"/>
      <c r="T63" s="68"/>
      <c r="U63" s="68"/>
      <c r="V63" s="68"/>
      <c r="W63" s="68"/>
      <c r="X63" s="68"/>
      <c r="Y63" s="68"/>
      <c r="Z63" s="68"/>
      <c r="AA63" s="68"/>
      <c r="AB63" s="68"/>
      <c r="AC63" s="68"/>
      <c r="AD63" s="68"/>
      <c r="AE63" s="68"/>
      <c r="AF63" s="68"/>
      <c r="AG63" s="68"/>
      <c r="AH63" s="68"/>
      <c r="AI63" s="68"/>
    </row>
    <row r="64" spans="1:35">
      <c r="A64" s="3"/>
      <c r="B64" s="3"/>
      <c r="C64" s="3"/>
      <c r="D64" s="3"/>
      <c r="E64" s="3"/>
      <c r="F64" s="3"/>
      <c r="G64" s="3"/>
      <c r="H64" s="3"/>
      <c r="I64" s="134"/>
      <c r="J64" s="133"/>
      <c r="K64" s="97"/>
      <c r="L64" s="3"/>
      <c r="M64" s="3"/>
      <c r="N64" s="3"/>
      <c r="O64" s="3"/>
      <c r="P64" s="3"/>
      <c r="S64" s="68"/>
      <c r="T64" s="68"/>
      <c r="U64" s="68"/>
      <c r="V64" s="68"/>
      <c r="W64" s="68"/>
      <c r="X64" s="68"/>
      <c r="Y64" s="68"/>
      <c r="Z64" s="68"/>
      <c r="AA64" s="68"/>
      <c r="AB64" s="68"/>
      <c r="AC64" s="68"/>
      <c r="AD64" s="68"/>
      <c r="AE64" s="68"/>
      <c r="AF64" s="68"/>
      <c r="AG64" s="68"/>
      <c r="AH64" s="68"/>
      <c r="AI64" s="68"/>
    </row>
    <row r="65" spans="1:35">
      <c r="A65" s="3"/>
      <c r="B65" s="3"/>
      <c r="C65" s="3"/>
      <c r="D65" s="3"/>
      <c r="E65" s="3"/>
      <c r="F65" s="3"/>
      <c r="G65" s="3"/>
      <c r="H65" s="3"/>
      <c r="I65" s="132"/>
      <c r="J65" s="133"/>
      <c r="K65" s="97"/>
      <c r="L65" s="3"/>
      <c r="M65" s="3"/>
      <c r="N65" s="3"/>
      <c r="O65" s="3"/>
      <c r="P65" s="3"/>
      <c r="S65" s="68"/>
      <c r="T65" s="68"/>
      <c r="U65" s="68"/>
      <c r="V65" s="68"/>
      <c r="W65" s="68"/>
      <c r="X65" s="68"/>
      <c r="Y65" s="68"/>
      <c r="Z65" s="68"/>
      <c r="AA65" s="68"/>
      <c r="AB65" s="68"/>
      <c r="AC65" s="68"/>
      <c r="AD65" s="68"/>
      <c r="AE65" s="68"/>
      <c r="AF65" s="68"/>
      <c r="AG65" s="68"/>
      <c r="AH65" s="68"/>
      <c r="AI65" s="68"/>
    </row>
    <row r="66" spans="1:35">
      <c r="A66" s="3"/>
      <c r="B66" s="3"/>
      <c r="C66" s="3"/>
      <c r="D66" s="3"/>
      <c r="E66" s="3"/>
      <c r="F66" s="3"/>
      <c r="G66" s="3"/>
      <c r="H66" s="3"/>
      <c r="I66" s="3"/>
      <c r="J66" s="3"/>
      <c r="K66" s="3"/>
      <c r="L66" s="3"/>
      <c r="M66" s="3"/>
      <c r="N66" s="3"/>
      <c r="O66" s="3"/>
      <c r="P66" s="3"/>
      <c r="S66" s="68"/>
      <c r="T66" s="68"/>
      <c r="U66" s="68"/>
      <c r="V66" s="68"/>
      <c r="W66" s="68"/>
      <c r="X66" s="68"/>
      <c r="Y66" s="68"/>
      <c r="Z66" s="68"/>
      <c r="AA66" s="68"/>
      <c r="AB66" s="68"/>
      <c r="AC66" s="68"/>
      <c r="AD66" s="68"/>
      <c r="AE66" s="68"/>
      <c r="AF66" s="68"/>
      <c r="AG66" s="68"/>
      <c r="AH66" s="68"/>
      <c r="AI66" s="68"/>
    </row>
    <row r="67" spans="1:35">
      <c r="A67" s="3"/>
      <c r="B67" s="3"/>
      <c r="C67" s="3"/>
      <c r="D67" s="3"/>
      <c r="E67" s="3"/>
      <c r="F67" s="3"/>
      <c r="G67" s="3"/>
      <c r="H67" s="3"/>
      <c r="I67" s="3"/>
      <c r="J67" s="3"/>
      <c r="K67" s="3"/>
      <c r="L67" s="3"/>
      <c r="M67" s="3"/>
      <c r="N67" s="3"/>
      <c r="O67" s="3"/>
      <c r="P67" s="3"/>
      <c r="S67" s="68"/>
      <c r="T67" s="68"/>
      <c r="U67" s="68"/>
      <c r="V67" s="68"/>
      <c r="W67" s="68"/>
      <c r="X67" s="68"/>
      <c r="Y67" s="68"/>
      <c r="Z67" s="68"/>
      <c r="AA67" s="68"/>
      <c r="AB67" s="68"/>
      <c r="AC67" s="68"/>
      <c r="AD67" s="68"/>
      <c r="AE67" s="68"/>
      <c r="AF67" s="68"/>
      <c r="AG67" s="68"/>
      <c r="AH67" s="68"/>
      <c r="AI67" s="68"/>
    </row>
    <row r="68" spans="1:35">
      <c r="A68" s="3"/>
      <c r="B68" s="3"/>
      <c r="C68" s="3"/>
      <c r="D68" s="3"/>
      <c r="E68" s="3"/>
      <c r="F68" s="3"/>
      <c r="G68" s="3"/>
      <c r="H68" s="3"/>
      <c r="I68" s="3"/>
      <c r="J68" s="3"/>
      <c r="K68" s="3"/>
      <c r="L68" s="3"/>
      <c r="M68" s="3"/>
      <c r="N68" s="3"/>
      <c r="O68" s="3"/>
      <c r="P68" s="3"/>
      <c r="S68" s="61"/>
      <c r="T68" s="61"/>
      <c r="U68" s="61"/>
      <c r="V68" s="61"/>
      <c r="W68" s="61"/>
      <c r="X68" s="61"/>
      <c r="Y68" s="61"/>
      <c r="Z68" s="61"/>
      <c r="AA68" s="61"/>
      <c r="AB68" s="61"/>
    </row>
    <row r="69" spans="1:35">
      <c r="S69" s="61"/>
      <c r="T69" s="61"/>
      <c r="U69" s="61"/>
      <c r="V69" s="61"/>
      <c r="W69" s="61"/>
      <c r="X69" s="61"/>
      <c r="Y69" s="61"/>
      <c r="Z69" s="61"/>
      <c r="AA69" s="61"/>
      <c r="AB69" s="61"/>
    </row>
    <row r="70" spans="1:35">
      <c r="S70" s="61"/>
      <c r="T70" s="61"/>
      <c r="U70" s="61"/>
      <c r="V70" s="61"/>
      <c r="W70" s="61"/>
      <c r="X70" s="61"/>
      <c r="Y70" s="61"/>
      <c r="Z70" s="61"/>
      <c r="AA70" s="61"/>
      <c r="AB70" s="61"/>
    </row>
    <row r="71" spans="1:35">
      <c r="S71" s="61"/>
      <c r="T71" s="61"/>
      <c r="U71" s="61"/>
      <c r="V71" s="61"/>
      <c r="W71" s="61"/>
      <c r="X71" s="61"/>
      <c r="Y71" s="61"/>
      <c r="Z71" s="61"/>
      <c r="AA71" s="61"/>
      <c r="AB71" s="61"/>
    </row>
    <row r="72" spans="1:35">
      <c r="S72" s="61"/>
      <c r="T72" s="61"/>
      <c r="U72" s="61"/>
      <c r="V72" s="61"/>
      <c r="W72" s="61"/>
      <c r="X72" s="61"/>
      <c r="Y72" s="61"/>
      <c r="Z72" s="61"/>
      <c r="AA72" s="61"/>
      <c r="AB72" s="61"/>
    </row>
  </sheetData>
  <mergeCells count="106">
    <mergeCell ref="G19:H19"/>
    <mergeCell ref="M39:Q39"/>
    <mergeCell ref="C3:D3"/>
    <mergeCell ref="E4:L4"/>
    <mergeCell ref="B38:E38"/>
    <mergeCell ref="F38:K38"/>
    <mergeCell ref="I19:J19"/>
    <mergeCell ref="L19:Q19"/>
    <mergeCell ref="B20:D20"/>
    <mergeCell ref="G20:K20"/>
    <mergeCell ref="L20:Q20"/>
    <mergeCell ref="B21:D21"/>
    <mergeCell ref="G21:K21"/>
    <mergeCell ref="L21:Q21"/>
    <mergeCell ref="B22:D22"/>
    <mergeCell ref="G22:K22"/>
    <mergeCell ref="L22:Q22"/>
    <mergeCell ref="L26:Q26"/>
    <mergeCell ref="B23:D23"/>
    <mergeCell ref="G23:K23"/>
    <mergeCell ref="L23:Q23"/>
    <mergeCell ref="B24:D24"/>
    <mergeCell ref="G24:K24"/>
    <mergeCell ref="L24:Q24"/>
    <mergeCell ref="L57:P57"/>
    <mergeCell ref="L50:Q50"/>
    <mergeCell ref="L51:Q51"/>
    <mergeCell ref="L52:Q52"/>
    <mergeCell ref="L56:P56"/>
    <mergeCell ref="L54:Q54"/>
    <mergeCell ref="B27:D27"/>
    <mergeCell ref="B29:D29"/>
    <mergeCell ref="C39:E39"/>
    <mergeCell ref="G39:K39"/>
    <mergeCell ref="B52:D52"/>
    <mergeCell ref="G49:H49"/>
    <mergeCell ref="I49:J49"/>
    <mergeCell ref="E48:K48"/>
    <mergeCell ref="B49:D49"/>
    <mergeCell ref="B50:D50"/>
    <mergeCell ref="B51:D51"/>
    <mergeCell ref="G27:K27"/>
    <mergeCell ref="B28:D28"/>
    <mergeCell ref="B53:D53"/>
    <mergeCell ref="L49:Q49"/>
    <mergeCell ref="L55:Q55"/>
    <mergeCell ref="G50:K50"/>
    <mergeCell ref="G51:K51"/>
    <mergeCell ref="B59:D60"/>
    <mergeCell ref="E59:G60"/>
    <mergeCell ref="H59:K60"/>
    <mergeCell ref="B54:D54"/>
    <mergeCell ref="B55:D55"/>
    <mergeCell ref="G54:K54"/>
    <mergeCell ref="G55:K55"/>
    <mergeCell ref="B57:E57"/>
    <mergeCell ref="F57:K57"/>
    <mergeCell ref="F56:K56"/>
    <mergeCell ref="B56:E56"/>
    <mergeCell ref="G52:K52"/>
    <mergeCell ref="L53:Q53"/>
    <mergeCell ref="G53:K53"/>
    <mergeCell ref="B2:Q2"/>
    <mergeCell ref="O3:P3"/>
    <mergeCell ref="D5:N5"/>
    <mergeCell ref="L38:Q38"/>
    <mergeCell ref="E3:K3"/>
    <mergeCell ref="C4:D4"/>
    <mergeCell ref="E36:L36"/>
    <mergeCell ref="E6:L6"/>
    <mergeCell ref="B8:E8"/>
    <mergeCell ref="F8:K8"/>
    <mergeCell ref="L8:Q8"/>
    <mergeCell ref="C9:E9"/>
    <mergeCell ref="G9:K9"/>
    <mergeCell ref="M9:Q9"/>
    <mergeCell ref="E18:K18"/>
    <mergeCell ref="B19:D19"/>
    <mergeCell ref="G26:K26"/>
    <mergeCell ref="B25:D25"/>
    <mergeCell ref="G25:K25"/>
    <mergeCell ref="L25:Q25"/>
    <mergeCell ref="B26:D26"/>
    <mergeCell ref="B30:D30"/>
    <mergeCell ref="G30:K30"/>
    <mergeCell ref="L30:Q30"/>
    <mergeCell ref="B31:D31"/>
    <mergeCell ref="G31:K31"/>
    <mergeCell ref="L31:Q31"/>
    <mergeCell ref="L27:Q27"/>
    <mergeCell ref="G28:K28"/>
    <mergeCell ref="L28:Q28"/>
    <mergeCell ref="G29:K29"/>
    <mergeCell ref="L29:Q29"/>
    <mergeCell ref="B34:D34"/>
    <mergeCell ref="G34:K34"/>
    <mergeCell ref="L34:Q34"/>
    <mergeCell ref="B35:D35"/>
    <mergeCell ref="G35:K35"/>
    <mergeCell ref="L35:Q35"/>
    <mergeCell ref="B32:D32"/>
    <mergeCell ref="G32:K32"/>
    <mergeCell ref="L32:Q32"/>
    <mergeCell ref="B33:D33"/>
    <mergeCell ref="G33:K33"/>
    <mergeCell ref="L33:Q33"/>
  </mergeCells>
  <phoneticPr fontId="31" type="noConversion"/>
  <conditionalFormatting sqref="C4:D4">
    <cfRule type="cellIs" dxfId="65" priority="161" stopIfTrue="1" operator="equal">
      <formula>"C"</formula>
    </cfRule>
    <cfRule type="cellIs" dxfId="64" priority="162" stopIfTrue="1" operator="equal">
      <formula>"B2"</formula>
    </cfRule>
    <cfRule type="cellIs" dxfId="63" priority="163" stopIfTrue="1" operator="equal">
      <formula>"B1"</formula>
    </cfRule>
  </conditionalFormatting>
  <conditionalFormatting sqref="G51:G55">
    <cfRule type="cellIs" dxfId="62" priority="167" stopIfTrue="1" operator="between">
      <formula>0</formula>
      <formula>0.599</formula>
    </cfRule>
    <cfRule type="cellIs" dxfId="61" priority="168" stopIfTrue="1" operator="between">
      <formula>0.6</formula>
      <formula>0.899</formula>
    </cfRule>
    <cfRule type="cellIs" dxfId="60" priority="169" stopIfTrue="1" operator="greaterThanOrEqual">
      <formula>0.9</formula>
    </cfRule>
  </conditionalFormatting>
  <conditionalFormatting sqref="G51:K55">
    <cfRule type="cellIs" dxfId="59" priority="109" stopIfTrue="1" operator="greaterThan">
      <formula>0.9</formula>
    </cfRule>
    <cfRule type="cellIs" dxfId="58" priority="110" stopIfTrue="1" operator="between">
      <formula>0.6</formula>
      <formula>0.89</formula>
    </cfRule>
    <cfRule type="cellIs" dxfId="57" priority="111" stopIfTrue="1" operator="lessThan">
      <formula>0.59</formula>
    </cfRule>
  </conditionalFormatting>
  <conditionalFormatting sqref="G50">
    <cfRule type="cellIs" dxfId="56" priority="106" stopIfTrue="1" operator="between">
      <formula>0</formula>
      <formula>0.599</formula>
    </cfRule>
    <cfRule type="cellIs" dxfId="55" priority="107" stopIfTrue="1" operator="between">
      <formula>0.6</formula>
      <formula>0.899</formula>
    </cfRule>
    <cfRule type="cellIs" dxfId="54" priority="108" stopIfTrue="1" operator="greaterThanOrEqual">
      <formula>0.9</formula>
    </cfRule>
  </conditionalFormatting>
  <conditionalFormatting sqref="G50:K50">
    <cfRule type="cellIs" dxfId="53" priority="103" stopIfTrue="1" operator="greaterThan">
      <formula>0.9</formula>
    </cfRule>
    <cfRule type="cellIs" dxfId="52" priority="104" stopIfTrue="1" operator="between">
      <formula>0.6</formula>
      <formula>0.89</formula>
    </cfRule>
    <cfRule type="cellIs" dxfId="51" priority="105" stopIfTrue="1" operator="lessThan">
      <formula>0.59</formula>
    </cfRule>
  </conditionalFormatting>
  <conditionalFormatting sqref="G20 G23">
    <cfRule type="cellIs" dxfId="50" priority="43" stopIfTrue="1" operator="between">
      <formula>0</formula>
      <formula>0.599</formula>
    </cfRule>
    <cfRule type="cellIs" dxfId="49" priority="44" stopIfTrue="1" operator="between">
      <formula>0.6</formula>
      <formula>0.899</formula>
    </cfRule>
    <cfRule type="cellIs" dxfId="48" priority="45" stopIfTrue="1" operator="greaterThanOrEqual">
      <formula>0.9</formula>
    </cfRule>
  </conditionalFormatting>
  <conditionalFormatting sqref="G31">
    <cfRule type="cellIs" dxfId="47" priority="40" stopIfTrue="1" operator="between">
      <formula>0</formula>
      <formula>0.599</formula>
    </cfRule>
    <cfRule type="cellIs" dxfId="46" priority="41" stopIfTrue="1" operator="between">
      <formula>0.6</formula>
      <formula>0.899</formula>
    </cfRule>
    <cfRule type="cellIs" dxfId="45" priority="42" stopIfTrue="1" operator="greaterThanOrEqual">
      <formula>0.9</formula>
    </cfRule>
  </conditionalFormatting>
  <conditionalFormatting sqref="G32">
    <cfRule type="cellIs" dxfId="44" priority="37" stopIfTrue="1" operator="between">
      <formula>0</formula>
      <formula>0.599</formula>
    </cfRule>
    <cfRule type="cellIs" dxfId="43" priority="38" stopIfTrue="1" operator="between">
      <formula>0.6</formula>
      <formula>0.899</formula>
    </cfRule>
    <cfRule type="cellIs" dxfId="42" priority="39" stopIfTrue="1" operator="greaterThanOrEqual">
      <formula>0.9</formula>
    </cfRule>
  </conditionalFormatting>
  <conditionalFormatting sqref="G21">
    <cfRule type="cellIs" dxfId="41" priority="34" stopIfTrue="1" operator="between">
      <formula>0</formula>
      <formula>0.599</formula>
    </cfRule>
    <cfRule type="cellIs" dxfId="40" priority="35" stopIfTrue="1" operator="between">
      <formula>0.6</formula>
      <formula>0.899</formula>
    </cfRule>
    <cfRule type="cellIs" dxfId="39" priority="36" stopIfTrue="1" operator="greaterThanOrEqual">
      <formula>0.9</formula>
    </cfRule>
  </conditionalFormatting>
  <conditionalFormatting sqref="G22">
    <cfRule type="cellIs" dxfId="38" priority="31" stopIfTrue="1" operator="between">
      <formula>0</formula>
      <formula>0.599</formula>
    </cfRule>
    <cfRule type="cellIs" dxfId="37" priority="32" stopIfTrue="1" operator="between">
      <formula>0.6</formula>
      <formula>0.899</formula>
    </cfRule>
    <cfRule type="cellIs" dxfId="36" priority="33" stopIfTrue="1" operator="greaterThanOrEqual">
      <formula>0.9</formula>
    </cfRule>
  </conditionalFormatting>
  <conditionalFormatting sqref="G24">
    <cfRule type="cellIs" dxfId="35" priority="28" stopIfTrue="1" operator="between">
      <formula>0</formula>
      <formula>0.599</formula>
    </cfRule>
    <cfRule type="cellIs" dxfId="34" priority="29" stopIfTrue="1" operator="between">
      <formula>0.6</formula>
      <formula>0.899</formula>
    </cfRule>
    <cfRule type="cellIs" dxfId="33" priority="30" stopIfTrue="1" operator="greaterThanOrEqual">
      <formula>0.9</formula>
    </cfRule>
  </conditionalFormatting>
  <conditionalFormatting sqref="G25">
    <cfRule type="cellIs" dxfId="32" priority="25" stopIfTrue="1" operator="between">
      <formula>0</formula>
      <formula>0.599</formula>
    </cfRule>
    <cfRule type="cellIs" dxfId="31" priority="26" stopIfTrue="1" operator="between">
      <formula>0.6</formula>
      <formula>0.899</formula>
    </cfRule>
    <cfRule type="cellIs" dxfId="30" priority="27" stopIfTrue="1" operator="greaterThanOrEqual">
      <formula>0.9</formula>
    </cfRule>
  </conditionalFormatting>
  <conditionalFormatting sqref="G26">
    <cfRule type="cellIs" dxfId="29" priority="22" stopIfTrue="1" operator="between">
      <formula>0</formula>
      <formula>0.599</formula>
    </cfRule>
    <cfRule type="cellIs" dxfId="28" priority="23" stopIfTrue="1" operator="between">
      <formula>0.6</formula>
      <formula>0.899</formula>
    </cfRule>
    <cfRule type="cellIs" dxfId="27" priority="24" stopIfTrue="1" operator="greaterThanOrEqual">
      <formula>0.9</formula>
    </cfRule>
  </conditionalFormatting>
  <conditionalFormatting sqref="G27">
    <cfRule type="cellIs" dxfId="26" priority="19" stopIfTrue="1" operator="between">
      <formula>0</formula>
      <formula>0.599</formula>
    </cfRule>
    <cfRule type="cellIs" dxfId="25" priority="20" stopIfTrue="1" operator="between">
      <formula>0.6</formula>
      <formula>0.899</formula>
    </cfRule>
    <cfRule type="cellIs" dxfId="24" priority="21" stopIfTrue="1" operator="greaterThanOrEqual">
      <formula>0.9</formula>
    </cfRule>
  </conditionalFormatting>
  <conditionalFormatting sqref="G29">
    <cfRule type="cellIs" dxfId="23" priority="16" stopIfTrue="1" operator="between">
      <formula>0</formula>
      <formula>0.599</formula>
    </cfRule>
    <cfRule type="cellIs" dxfId="22" priority="17" stopIfTrue="1" operator="between">
      <formula>0.6</formula>
      <formula>0.899</formula>
    </cfRule>
    <cfRule type="cellIs" dxfId="21" priority="18" stopIfTrue="1" operator="greaterThanOrEqual">
      <formula>0.9</formula>
    </cfRule>
  </conditionalFormatting>
  <conditionalFormatting sqref="G30">
    <cfRule type="cellIs" dxfId="20" priority="13" stopIfTrue="1" operator="between">
      <formula>0</formula>
      <formula>0.599</formula>
    </cfRule>
    <cfRule type="cellIs" dxfId="19" priority="14" stopIfTrue="1" operator="between">
      <formula>0.6</formula>
      <formula>0.899</formula>
    </cfRule>
    <cfRule type="cellIs" dxfId="18" priority="15" stopIfTrue="1" operator="greaterThanOrEqual">
      <formula>0.9</formula>
    </cfRule>
  </conditionalFormatting>
  <conditionalFormatting sqref="G33">
    <cfRule type="cellIs" dxfId="17" priority="10" stopIfTrue="1" operator="between">
      <formula>0</formula>
      <formula>0.599</formula>
    </cfRule>
    <cfRule type="cellIs" dxfId="16" priority="11" stopIfTrue="1" operator="between">
      <formula>0.6</formula>
      <formula>0.899</formula>
    </cfRule>
    <cfRule type="cellIs" dxfId="15" priority="12" stopIfTrue="1" operator="greaterThanOrEqual">
      <formula>0.9</formula>
    </cfRule>
  </conditionalFormatting>
  <conditionalFormatting sqref="G28">
    <cfRule type="cellIs" dxfId="14" priority="7" stopIfTrue="1" operator="between">
      <formula>0</formula>
      <formula>0.599</formula>
    </cfRule>
    <cfRule type="cellIs" dxfId="13" priority="8" stopIfTrue="1" operator="between">
      <formula>0.6</formula>
      <formula>0.899</formula>
    </cfRule>
    <cfRule type="cellIs" dxfId="12" priority="9" stopIfTrue="1" operator="greaterThanOrEqual">
      <formula>0.9</formula>
    </cfRule>
  </conditionalFormatting>
  <conditionalFormatting sqref="G34">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35">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topLeftCell="A19" zoomScale="90" zoomScaleNormal="90" workbookViewId="0">
      <selection activeCell="D29" sqref="D29:G29"/>
    </sheetView>
  </sheetViews>
  <sheetFormatPr defaultColWidth="9.140625" defaultRowHeight="11.25"/>
  <cols>
    <col min="1" max="1" width="1.140625" style="28" customWidth="1"/>
    <col min="2" max="2" width="19.28515625" style="28" customWidth="1"/>
    <col min="3" max="3" width="1.140625" style="28" customWidth="1"/>
    <col min="4" max="4" width="17.140625" style="28" customWidth="1"/>
    <col min="5" max="5" width="17.5703125" style="28" customWidth="1"/>
    <col min="6" max="6" width="9.7109375" style="28" customWidth="1"/>
    <col min="7" max="7" width="13" style="28" customWidth="1"/>
    <col min="8" max="8" width="4.28515625" style="28" customWidth="1"/>
    <col min="9" max="9" width="15.85546875" style="28" customWidth="1"/>
    <col min="10" max="10" width="3.5703125" style="28" customWidth="1"/>
    <col min="11" max="11" width="7.5703125" style="29" customWidth="1"/>
    <col min="12" max="12" width="16.7109375" style="28" customWidth="1"/>
    <col min="13" max="13" width="12" style="28" customWidth="1"/>
    <col min="14" max="14" width="5.42578125" style="28" customWidth="1"/>
    <col min="15" max="15" width="2.5703125" style="28" customWidth="1"/>
    <col min="16" max="16384" width="9.140625" style="28"/>
  </cols>
  <sheetData>
    <row r="1" spans="1:17" ht="38.25" customHeight="1">
      <c r="A1" s="136"/>
      <c r="B1" s="136"/>
      <c r="C1" s="136"/>
      <c r="D1" s="136"/>
      <c r="E1" s="136"/>
      <c r="F1" s="136"/>
      <c r="G1" s="136"/>
      <c r="H1" s="136"/>
      <c r="I1" s="136"/>
      <c r="J1" s="136"/>
      <c r="K1" s="137"/>
      <c r="L1" s="136"/>
      <c r="M1" s="136"/>
      <c r="N1" s="136"/>
    </row>
    <row r="2" spans="1:17" customFormat="1" ht="27.75" customHeight="1">
      <c r="A2" s="3"/>
      <c r="B2" s="962" t="str">
        <f>+"Панель показателей:  "&amp;"  "&amp;IF(+'Ввод данных'!B4="Выберите","",'Ввод данных'!B4&amp;" - ")&amp;IF('Ввод данных'!F6="Выберите","",'Ввод данных'!F6)</f>
        <v>Панель показателей:    Кыргызстан - ВИЧ/СПИД/ТБ</v>
      </c>
      <c r="C2" s="962"/>
      <c r="D2" s="962"/>
      <c r="E2" s="962"/>
      <c r="F2" s="962"/>
      <c r="G2" s="962"/>
      <c r="H2" s="962"/>
      <c r="I2" s="962"/>
      <c r="J2" s="962"/>
      <c r="K2" s="962"/>
      <c r="L2" s="962"/>
      <c r="M2" s="962"/>
      <c r="N2" s="962"/>
      <c r="O2" s="962"/>
      <c r="P2" s="962"/>
      <c r="Q2" s="962"/>
    </row>
    <row r="3" spans="1:17" customFormat="1" ht="18.75">
      <c r="A3" s="3"/>
      <c r="B3" s="119">
        <f>+IF('Ввод данных'!F8="Выберите","",'Ввод данных'!F8)</f>
        <v>0</v>
      </c>
      <c r="C3" s="913"/>
      <c r="D3" s="913"/>
      <c r="E3" s="964"/>
      <c r="F3" s="964"/>
      <c r="G3" s="964"/>
      <c r="H3" s="964"/>
      <c r="I3" s="964"/>
      <c r="J3" s="964"/>
      <c r="K3" s="964"/>
      <c r="L3" s="119" t="str">
        <f>+'Ввод данных'!A16</f>
        <v>Отчетный период</v>
      </c>
      <c r="M3" s="184" t="str">
        <f>+'Ввод данных'!B16</f>
        <v>P2</v>
      </c>
      <c r="N3" s="184"/>
      <c r="O3" s="28"/>
    </row>
    <row r="4" spans="1:17" customFormat="1" ht="15">
      <c r="A4" s="3"/>
      <c r="B4" s="380" t="str">
        <f>+'Ввод данных'!A12</f>
        <v>Последняя оценка:</v>
      </c>
      <c r="C4" s="965" t="str">
        <f>+IF('Ввод данных'!B12="Выберите","",'Ввод данных'!B12)</f>
        <v>A1</v>
      </c>
      <c r="D4" s="965"/>
      <c r="E4" s="912" t="str">
        <f>+'Ввод данных'!B8</f>
        <v>ПРООН</v>
      </c>
      <c r="F4" s="912"/>
      <c r="G4" s="912"/>
      <c r="H4" s="912"/>
      <c r="I4" s="912"/>
      <c r="J4" s="912"/>
      <c r="K4" s="912"/>
      <c r="L4" s="119" t="str">
        <f>+'Ввод данных'!C16</f>
        <v>с:</v>
      </c>
      <c r="M4" s="185">
        <f>+IF(ISBLANK('Ввод данных'!D16),"",'Ввод данных'!D16)</f>
        <v>42736</v>
      </c>
      <c r="N4" s="185"/>
      <c r="O4" s="28"/>
    </row>
    <row r="5" spans="1:17" customFormat="1" ht="18.75" customHeight="1">
      <c r="A5" s="3"/>
      <c r="B5" s="119"/>
      <c r="C5" s="119"/>
      <c r="D5" s="120"/>
      <c r="E5" s="925"/>
      <c r="F5" s="925"/>
      <c r="G5" s="925"/>
      <c r="H5" s="925"/>
      <c r="I5" s="925"/>
      <c r="J5" s="925"/>
      <c r="K5" s="925"/>
      <c r="L5" s="119" t="str">
        <f>+'Ввод данных'!E16</f>
        <v>до:</v>
      </c>
      <c r="M5" s="185">
        <f>+IF(ISBLANK('Ввод данных'!F16),"",'Ввод данных'!F16)</f>
        <v>42916</v>
      </c>
      <c r="N5" s="185"/>
    </row>
    <row r="6" spans="1:17" customFormat="1" ht="22.5" customHeight="1">
      <c r="A6" s="3"/>
      <c r="B6" s="124"/>
      <c r="C6" s="125"/>
      <c r="D6" s="126"/>
      <c r="E6" s="1055" t="s">
        <v>276</v>
      </c>
      <c r="F6" s="1056"/>
      <c r="G6" s="1056"/>
      <c r="H6" s="1056"/>
      <c r="I6" s="1056"/>
      <c r="J6" s="1056"/>
      <c r="K6" s="1056"/>
      <c r="L6" s="2"/>
      <c r="M6" s="2"/>
      <c r="N6" s="2"/>
    </row>
    <row r="7" spans="1:17" s="30" customFormat="1" ht="4.5" customHeight="1">
      <c r="A7" s="138"/>
      <c r="B7" s="139"/>
      <c r="C7" s="139"/>
      <c r="D7" s="139"/>
      <c r="E7" s="139"/>
      <c r="F7" s="139"/>
      <c r="G7" s="139"/>
      <c r="H7" s="139"/>
      <c r="I7" s="139"/>
      <c r="J7" s="139"/>
      <c r="K7" s="139"/>
      <c r="L7" s="140"/>
      <c r="M7" s="140"/>
      <c r="N7" s="141"/>
    </row>
    <row r="8" spans="1:17" s="30" customFormat="1" ht="21" customHeight="1" thickBot="1">
      <c r="A8" s="138"/>
      <c r="B8" s="1057" t="s">
        <v>362</v>
      </c>
      <c r="C8" s="1057"/>
      <c r="D8" s="1057"/>
      <c r="E8" s="1057"/>
      <c r="F8" s="1057"/>
      <c r="G8" s="1057"/>
      <c r="H8" s="1057"/>
      <c r="I8" s="1057"/>
      <c r="J8" s="1057"/>
      <c r="K8" s="1057"/>
      <c r="L8" s="1057"/>
      <c r="M8" s="1057"/>
      <c r="N8" s="1057"/>
    </row>
    <row r="9" spans="1:17" s="30" customFormat="1" ht="3.75" customHeight="1" thickBot="1">
      <c r="A9" s="138"/>
      <c r="B9" s="139"/>
      <c r="C9" s="139"/>
      <c r="D9" s="139"/>
      <c r="E9" s="139"/>
      <c r="F9" s="139"/>
      <c r="G9" s="139"/>
      <c r="H9" s="139"/>
      <c r="I9" s="139"/>
      <c r="J9" s="139"/>
      <c r="K9" s="139"/>
      <c r="L9" s="140"/>
      <c r="M9" s="140"/>
      <c r="N9" s="141"/>
    </row>
    <row r="10" spans="1:17" s="31" customFormat="1" ht="25.5" customHeight="1" thickBot="1">
      <c r="A10" s="142"/>
      <c r="B10" s="1069" t="s">
        <v>313</v>
      </c>
      <c r="C10" s="1070"/>
      <c r="D10" s="1058" t="s">
        <v>354</v>
      </c>
      <c r="E10" s="1059"/>
      <c r="F10" s="1059"/>
      <c r="G10" s="1060"/>
      <c r="H10" s="145"/>
      <c r="I10" s="1058" t="s">
        <v>276</v>
      </c>
      <c r="J10" s="1059"/>
      <c r="K10" s="1059"/>
      <c r="L10" s="1059"/>
      <c r="M10" s="1059"/>
      <c r="N10" s="1060"/>
    </row>
    <row r="11" spans="1:17" s="31" customFormat="1" ht="28.5" customHeight="1">
      <c r="A11" s="142"/>
      <c r="B11" s="339" t="s">
        <v>51</v>
      </c>
      <c r="C11" s="162"/>
      <c r="D11" s="1063" t="str">
        <f>IF(ISBLANK(Финансирование!C9),"",(Финансирование!C9))</f>
        <v>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v>
      </c>
      <c r="E11" s="1064"/>
      <c r="F11" s="1064"/>
      <c r="G11" s="1065"/>
      <c r="H11" s="168"/>
      <c r="I11" s="1071"/>
      <c r="J11" s="1072"/>
      <c r="K11" s="1072"/>
      <c r="L11" s="1072"/>
      <c r="M11" s="1072"/>
      <c r="N11" s="1073"/>
    </row>
    <row r="12" spans="1:17" s="31" customFormat="1" ht="27.75" customHeight="1">
      <c r="A12" s="142"/>
      <c r="B12" s="340" t="s">
        <v>52</v>
      </c>
      <c r="C12" s="163"/>
      <c r="D12" s="1033"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033"/>
      <c r="F12" s="1033"/>
      <c r="G12" s="1034"/>
      <c r="H12" s="168"/>
      <c r="I12" s="1030"/>
      <c r="J12" s="1031"/>
      <c r="K12" s="1031"/>
      <c r="L12" s="1031"/>
      <c r="M12" s="1031"/>
      <c r="N12" s="1032"/>
    </row>
    <row r="13" spans="1:17" s="31" customFormat="1" ht="26.25" customHeight="1">
      <c r="A13" s="142"/>
      <c r="B13" s="340" t="s">
        <v>53</v>
      </c>
      <c r="C13" s="163"/>
      <c r="D13" s="1027" t="str">
        <f>IF(ISBLANK(Финансирование!K9),"",(Финансирование!K9))</f>
        <v xml:space="preserve">В отчетном период ПРООН произвел выплаты 44 СП  в срок в полном объеме по запросу от СП. </v>
      </c>
      <c r="E13" s="1028"/>
      <c r="F13" s="1028"/>
      <c r="G13" s="1029"/>
      <c r="H13" s="168"/>
      <c r="I13" s="1030"/>
      <c r="J13" s="1031"/>
      <c r="K13" s="1031"/>
      <c r="L13" s="1031"/>
      <c r="M13" s="1031"/>
      <c r="N13" s="1032"/>
    </row>
    <row r="14" spans="1:17" s="31" customFormat="1" ht="28.5" customHeight="1" thickBot="1">
      <c r="A14" s="142"/>
      <c r="B14" s="341" t="s">
        <v>54</v>
      </c>
      <c r="C14" s="164"/>
      <c r="D14" s="1061" t="str">
        <f>IF(ISBLANK(Финансирование!K23),"",(Финансирование!K23))</f>
        <v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v>
      </c>
      <c r="E14" s="1061"/>
      <c r="F14" s="1061"/>
      <c r="G14" s="1062"/>
      <c r="H14" s="168"/>
      <c r="I14" s="1066"/>
      <c r="J14" s="1067"/>
      <c r="K14" s="1067"/>
      <c r="L14" s="1067"/>
      <c r="M14" s="1067"/>
      <c r="N14" s="1068"/>
    </row>
    <row r="15" spans="1:17" s="31" customFormat="1" ht="4.5" customHeight="1">
      <c r="A15" s="142"/>
      <c r="B15" s="165"/>
      <c r="C15" s="166"/>
      <c r="D15" s="167"/>
      <c r="E15" s="167"/>
      <c r="F15" s="167"/>
      <c r="G15" s="167"/>
      <c r="H15" s="168"/>
      <c r="I15" s="169"/>
      <c r="J15" s="169"/>
      <c r="K15" s="169"/>
      <c r="L15" s="169"/>
      <c r="M15" s="169"/>
      <c r="N15" s="169"/>
      <c r="O15" s="71"/>
    </row>
    <row r="16" spans="1:17" s="30" customFormat="1" ht="21" customHeight="1" thickBot="1">
      <c r="A16" s="138"/>
      <c r="B16" s="1057" t="s">
        <v>350</v>
      </c>
      <c r="C16" s="1057"/>
      <c r="D16" s="1057"/>
      <c r="E16" s="1057"/>
      <c r="F16" s="1057"/>
      <c r="G16" s="1057"/>
      <c r="H16" s="1057"/>
      <c r="I16" s="1057"/>
      <c r="J16" s="1057"/>
      <c r="K16" s="1057"/>
      <c r="L16" s="1057"/>
      <c r="M16" s="1057"/>
      <c r="N16" s="1057"/>
    </row>
    <row r="17" spans="1:15" s="31" customFormat="1" ht="3.75" customHeight="1" thickBot="1">
      <c r="A17" s="142"/>
      <c r="B17" s="151"/>
      <c r="C17" s="152"/>
      <c r="D17" s="153"/>
      <c r="E17" s="154"/>
      <c r="F17" s="155"/>
      <c r="G17" s="155"/>
      <c r="H17" s="156"/>
      <c r="I17" s="157"/>
      <c r="J17" s="158"/>
      <c r="K17" s="147"/>
      <c r="L17" s="148"/>
      <c r="M17" s="149"/>
      <c r="N17" s="150"/>
    </row>
    <row r="18" spans="1:15" s="31" customFormat="1" ht="22.5" customHeight="1" thickBot="1">
      <c r="A18" s="142"/>
      <c r="B18" s="1070" t="s">
        <v>277</v>
      </c>
      <c r="C18" s="1074"/>
      <c r="D18" s="1039" t="s">
        <v>354</v>
      </c>
      <c r="E18" s="1040"/>
      <c r="F18" s="1040"/>
      <c r="G18" s="1041"/>
      <c r="H18" s="145"/>
      <c r="I18" s="1035" t="s">
        <v>276</v>
      </c>
      <c r="J18" s="1036"/>
      <c r="K18" s="1036"/>
      <c r="L18" s="1036"/>
      <c r="M18" s="1037"/>
      <c r="N18" s="1038"/>
    </row>
    <row r="19" spans="1:15" s="31" customFormat="1" ht="48.75" customHeight="1">
      <c r="A19" s="142"/>
      <c r="B19" s="342" t="s">
        <v>59</v>
      </c>
      <c r="C19" s="170"/>
      <c r="D19" s="1045" t="str">
        <f>IF(ISBLANK(Управление!C8),"",(Управление!C8))</f>
        <v>По компоненту ВИЧ - Предварительных условий (ПУ) и/или Действий с установленным сроком исполнения (ДУС) не было. 
Все предваритиельные условия выполнены</v>
      </c>
      <c r="E19" s="1046"/>
      <c r="F19" s="1046"/>
      <c r="G19" s="1047"/>
      <c r="H19" s="171"/>
      <c r="I19" s="1049"/>
      <c r="J19" s="1050"/>
      <c r="K19" s="1050"/>
      <c r="L19" s="1050"/>
      <c r="M19" s="1050"/>
      <c r="N19" s="1051"/>
    </row>
    <row r="20" spans="1:15" ht="30.75" customHeight="1">
      <c r="A20" s="136"/>
      <c r="B20" s="343" t="s">
        <v>60</v>
      </c>
      <c r="C20" s="172"/>
      <c r="D20" s="1027" t="str">
        <f>IF(ISBLANK(Управление!J8),"",(Управление!J8))</f>
        <v>По компоненту ВИЧ - Все штатные позиции в программном отделе (7 человек) были заняты, дополнительно в отчетном периоде  были наняты 1 Эксперт по ВИЧ и 1 Фармацевт по индивидуальным контрактам.
По компоненту ТБ - Координатор гранта ТБ, Финансовый специалист, специалист по амбулаторному лечению и специалист МиО гранта ТБ</v>
      </c>
      <c r="E20" s="1028"/>
      <c r="F20" s="1028"/>
      <c r="G20" s="1048"/>
      <c r="H20" s="171"/>
      <c r="I20" s="1042"/>
      <c r="J20" s="1043"/>
      <c r="K20" s="1043"/>
      <c r="L20" s="1043"/>
      <c r="M20" s="1043"/>
      <c r="N20" s="1044"/>
      <c r="O20" s="32"/>
    </row>
    <row r="21" spans="1:15" ht="31.5" customHeight="1">
      <c r="A21" s="136"/>
      <c r="B21" s="344" t="s">
        <v>61</v>
      </c>
      <c r="C21" s="172"/>
      <c r="D21" s="1027" t="e">
        <f>IF(ISBLANK(Управление!#REF!),"",(Управление!#REF!))</f>
        <v>#REF!</v>
      </c>
      <c r="E21" s="1028"/>
      <c r="F21" s="1028"/>
      <c r="G21" s="1048"/>
      <c r="H21" s="171"/>
      <c r="I21" s="1042"/>
      <c r="J21" s="1043"/>
      <c r="K21" s="1043"/>
      <c r="L21" s="1043"/>
      <c r="M21" s="1043"/>
      <c r="N21" s="1044"/>
      <c r="O21" s="32"/>
    </row>
    <row r="22" spans="1:15" ht="34.5" customHeight="1">
      <c r="A22" s="136"/>
      <c r="B22" s="344" t="s">
        <v>62</v>
      </c>
      <c r="C22" s="172"/>
      <c r="D22" s="1027" t="str">
        <f>IF(ISBLANK(Управление!J23),"",(Управление!J23))</f>
        <v/>
      </c>
      <c r="E22" s="1028"/>
      <c r="F22" s="1028"/>
      <c r="G22" s="1048"/>
      <c r="H22" s="171"/>
      <c r="I22" s="1042"/>
      <c r="J22" s="1043"/>
      <c r="K22" s="1043"/>
      <c r="L22" s="1043"/>
      <c r="M22" s="1043"/>
      <c r="N22" s="1044"/>
      <c r="O22" s="32"/>
    </row>
    <row r="23" spans="1:15" ht="33.75" customHeight="1">
      <c r="A23" s="136"/>
      <c r="B23" s="344" t="s">
        <v>63</v>
      </c>
      <c r="C23" s="172"/>
      <c r="D23" s="1027" t="str">
        <f>IF(ISBLANK(Управление!C27),"",(Управление!C27))</f>
        <v xml:space="preserve">Все закупки были осуществлены в рамках бюджета, одобренного на период июль 2016-декабрь 2017 гг. </v>
      </c>
      <c r="E23" s="1028"/>
      <c r="F23" s="1028"/>
      <c r="G23" s="1048"/>
      <c r="H23" s="171"/>
      <c r="I23" s="1042"/>
      <c r="J23" s="1043"/>
      <c r="K23" s="1043"/>
      <c r="L23" s="1043"/>
      <c r="M23" s="1043"/>
      <c r="N23" s="1044"/>
      <c r="O23" s="32"/>
    </row>
    <row r="24" spans="1:15" ht="39.75" customHeight="1" thickBot="1">
      <c r="A24" s="136"/>
      <c r="B24" s="345" t="s">
        <v>64</v>
      </c>
      <c r="C24" s="173"/>
      <c r="D24" s="1082" t="str">
        <f>IF(ISBLANK(Управление!J27),"",(Управление!J27))</f>
        <v>Представленная информация отражает ситуацию на 30/06/17 (данные ежемесячного отчета по использованию ПТП). Остатки не включают ожидаемые поставки, которые были получены в период июль-декабрь 2017г. С учетом данных поставок в начале 2017 г. запасы были восполнены.</v>
      </c>
      <c r="E24" s="1083"/>
      <c r="F24" s="1083"/>
      <c r="G24" s="1084"/>
      <c r="H24" s="171"/>
      <c r="I24" s="1075"/>
      <c r="J24" s="1076"/>
      <c r="K24" s="1076"/>
      <c r="L24" s="1076"/>
      <c r="M24" s="1076"/>
      <c r="N24" s="1077"/>
      <c r="O24" s="32"/>
    </row>
    <row r="25" spans="1:15" ht="4.5" customHeight="1">
      <c r="A25" s="138"/>
      <c r="B25" s="143"/>
      <c r="C25" s="144"/>
      <c r="D25" s="159"/>
      <c r="E25" s="160"/>
      <c r="F25" s="161"/>
      <c r="G25" s="161"/>
      <c r="H25" s="145"/>
      <c r="I25" s="160"/>
      <c r="J25" s="146"/>
      <c r="K25" s="147"/>
      <c r="L25" s="148"/>
      <c r="M25" s="149"/>
      <c r="N25" s="150"/>
      <c r="O25" s="32"/>
    </row>
    <row r="26" spans="1:15" s="30" customFormat="1" ht="21" customHeight="1" thickBot="1">
      <c r="A26" s="138"/>
      <c r="B26" s="1057" t="s">
        <v>390</v>
      </c>
      <c r="C26" s="1057"/>
      <c r="D26" s="1057"/>
      <c r="E26" s="1057"/>
      <c r="F26" s="1057"/>
      <c r="G26" s="1057"/>
      <c r="H26" s="1057"/>
      <c r="I26" s="1057"/>
      <c r="J26" s="1057"/>
      <c r="K26" s="1057"/>
      <c r="L26" s="1057"/>
      <c r="M26" s="1057"/>
      <c r="N26" s="1057"/>
    </row>
    <row r="27" spans="1:15" ht="3.75" customHeight="1" thickBot="1">
      <c r="A27" s="138"/>
      <c r="B27" s="143"/>
      <c r="C27" s="144"/>
      <c r="D27" s="159"/>
      <c r="E27" s="160"/>
      <c r="F27" s="161"/>
      <c r="G27" s="161"/>
      <c r="H27" s="145"/>
      <c r="I27" s="160"/>
      <c r="J27" s="146"/>
      <c r="K27" s="147"/>
      <c r="L27" s="148"/>
      <c r="M27" s="149"/>
      <c r="N27" s="150"/>
      <c r="O27" s="32"/>
    </row>
    <row r="28" spans="1:15" ht="21.75" customHeight="1" thickBot="1">
      <c r="A28" s="136"/>
      <c r="B28" s="1069" t="s">
        <v>361</v>
      </c>
      <c r="C28" s="1074"/>
      <c r="D28" s="1088" t="s">
        <v>354</v>
      </c>
      <c r="E28" s="1089"/>
      <c r="F28" s="1089"/>
      <c r="G28" s="1090"/>
      <c r="H28" s="145"/>
      <c r="I28" s="1088" t="s">
        <v>276</v>
      </c>
      <c r="J28" s="1089"/>
      <c r="K28" s="1089"/>
      <c r="L28" s="1089"/>
      <c r="M28" s="1089"/>
      <c r="N28" s="1090"/>
      <c r="O28" s="32"/>
    </row>
    <row r="29" spans="1:15" ht="29.25" customHeight="1">
      <c r="A29" s="136"/>
      <c r="B29" s="346" t="s">
        <v>278</v>
      </c>
      <c r="C29" s="174"/>
      <c r="D29" s="1091" t="str">
        <f>IF(ISBLANK(Программа!C39),"",(Программа!C39))</f>
        <v>Мотивационной поддержкой были охвачены все больные ЛУ-ТБ, которые не прерывали лечение более  5 дней.</v>
      </c>
      <c r="E29" s="1092"/>
      <c r="F29" s="1092"/>
      <c r="G29" s="1093"/>
      <c r="H29" s="171"/>
      <c r="I29" s="1078"/>
      <c r="J29" s="1079"/>
      <c r="K29" s="1079"/>
      <c r="L29" s="1079"/>
      <c r="M29" s="1079"/>
      <c r="N29" s="1080"/>
      <c r="O29" s="32"/>
    </row>
    <row r="30" spans="1:15" ht="21.95" customHeight="1">
      <c r="A30" s="136"/>
      <c r="B30" s="347" t="s">
        <v>279</v>
      </c>
      <c r="C30" s="175"/>
      <c r="D30" s="1081" t="str">
        <f>IF(ISBLANK(Программа!G39),"",(Программа!G39))</f>
        <v>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v>
      </c>
      <c r="E30" s="1053"/>
      <c r="F30" s="1053"/>
      <c r="G30" s="1054"/>
      <c r="H30" s="171"/>
      <c r="I30" s="1024"/>
      <c r="J30" s="1025"/>
      <c r="K30" s="1025"/>
      <c r="L30" s="1025"/>
      <c r="M30" s="1025"/>
      <c r="N30" s="1026"/>
      <c r="O30" s="32"/>
    </row>
    <row r="31" spans="1:15" ht="21.95" customHeight="1">
      <c r="A31" s="136"/>
      <c r="B31" s="347" t="s">
        <v>280</v>
      </c>
      <c r="C31" s="175"/>
      <c r="D31" s="1081" t="str">
        <f>IF(ISBLANK(Программа!M39),"",(Программа!M39))</f>
        <v>Данный индикатор показывает охват ранее леченных тестом на лекарственную чувствительность.</v>
      </c>
      <c r="E31" s="1053"/>
      <c r="F31" s="1053"/>
      <c r="G31" s="1054"/>
      <c r="H31" s="171"/>
      <c r="I31" s="1024"/>
      <c r="J31" s="1025"/>
      <c r="K31" s="1025"/>
      <c r="L31" s="1025"/>
      <c r="M31" s="1025"/>
      <c r="N31" s="1026"/>
      <c r="O31" s="32"/>
    </row>
    <row r="32" spans="1:15" ht="21.95" customHeight="1">
      <c r="A32" s="136"/>
      <c r="B32" s="348" t="s">
        <v>55</v>
      </c>
      <c r="C32" s="175"/>
      <c r="D32" s="1052" t="str">
        <f>IF(ISBLANK(Программа!L50),"",(Программа!L50))</f>
        <v>Данный индикатор достиг  75% выполнения, мотивационную поддержку в виде денежных выплат получают только приверженные пациенты не прерывающие лечение более 5 дней.</v>
      </c>
      <c r="E32" s="1053"/>
      <c r="F32" s="1053"/>
      <c r="G32" s="1054"/>
      <c r="H32" s="171"/>
      <c r="I32" s="1024"/>
      <c r="J32" s="1025"/>
      <c r="K32" s="1025"/>
      <c r="L32" s="1025"/>
      <c r="M32" s="1025"/>
      <c r="N32" s="1026"/>
      <c r="O32" s="32"/>
    </row>
    <row r="33" spans="1:15" ht="42.75" customHeight="1">
      <c r="A33" s="136"/>
      <c r="B33" s="348" t="s">
        <v>56</v>
      </c>
      <c r="C33" s="175"/>
      <c r="D33" s="1052" t="str">
        <f>IF(ISBLANK(Программа!L51),"",(Программа!L51))</f>
        <v>Данный индикатор достиг выполнение 124%,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v>
      </c>
      <c r="E33" s="1053"/>
      <c r="F33" s="1053"/>
      <c r="G33" s="1054"/>
      <c r="H33" s="171"/>
      <c r="I33" s="1097"/>
      <c r="J33" s="1098"/>
      <c r="K33" s="1098"/>
      <c r="L33" s="1098"/>
      <c r="M33" s="1098"/>
      <c r="N33" s="1099"/>
      <c r="O33" s="32"/>
    </row>
    <row r="34" spans="1:15" ht="21.95" customHeight="1">
      <c r="A34" s="136"/>
      <c r="B34" s="348" t="s">
        <v>57</v>
      </c>
      <c r="C34" s="175"/>
      <c r="D34" s="1052" t="str">
        <f>IF(ISBLANK(Программа!L52),"",(Программа!L52))</f>
        <v>Данный индикатор показывает охват ранее леченных тестом на лекарственную чувствительность и был выполнен на 105%</v>
      </c>
      <c r="E34" s="1053"/>
      <c r="F34" s="1053"/>
      <c r="G34" s="1054"/>
      <c r="H34" s="171"/>
      <c r="I34" s="1024"/>
      <c r="J34" s="1025"/>
      <c r="K34" s="1025"/>
      <c r="L34" s="1025"/>
      <c r="M34" s="1025"/>
      <c r="N34" s="1026"/>
      <c r="O34" s="32"/>
    </row>
    <row r="35" spans="1:15" ht="27.75" customHeight="1">
      <c r="A35" s="136"/>
      <c r="B35" s="348" t="s">
        <v>58</v>
      </c>
      <c r="C35" s="211"/>
      <c r="D35" s="1052" t="e">
        <f>IF(ISBLANK(Программа!#REF!),"",(Программа!#REF!))</f>
        <v>#REF!</v>
      </c>
      <c r="E35" s="1053"/>
      <c r="F35" s="1053"/>
      <c r="G35" s="1054"/>
      <c r="H35" s="171"/>
      <c r="I35" s="1024"/>
      <c r="J35" s="1025"/>
      <c r="K35" s="1025"/>
      <c r="L35" s="1025"/>
      <c r="M35" s="1025"/>
      <c r="N35" s="1026"/>
      <c r="O35" s="32"/>
    </row>
    <row r="36" spans="1:15" ht="21.95" customHeight="1">
      <c r="A36" s="136"/>
      <c r="B36" s="348" t="s">
        <v>65</v>
      </c>
      <c r="C36" s="211"/>
      <c r="D36" s="1052" t="str">
        <f>IF(ISBLANK(Программа!L54),"",(Программа!L54))</f>
        <v>За период 4-го кв. 2016 года - 1 кв. 2017 года в республике 702 пациента с устойчивыми формами туберкулеза были взяты на лечение против  целеввого количества - 663 пациентов. В гражданском секторе - 672 и в пенитенциарном секторе - 30 пациентов. Цель была достигнута на уровне 106%.</v>
      </c>
      <c r="E36" s="1053"/>
      <c r="F36" s="1053"/>
      <c r="G36" s="1054"/>
      <c r="H36" s="171"/>
      <c r="I36" s="1024"/>
      <c r="J36" s="1025"/>
      <c r="K36" s="1025"/>
      <c r="L36" s="1025"/>
      <c r="M36" s="1025"/>
      <c r="N36" s="1026"/>
      <c r="O36" s="32"/>
    </row>
    <row r="37" spans="1:15" ht="21.95" customHeight="1">
      <c r="A37" s="136"/>
      <c r="B37" s="348" t="s">
        <v>66</v>
      </c>
      <c r="C37" s="211"/>
      <c r="D37" s="1052" t="str">
        <f>IF(ISBLANK(Программа!L55),"",(Программа!L55))</f>
        <v xml:space="preserve">Этот индикатор не контролировался в течение предыдущего периода гранта.
Базовые данные были собраны вручную из лабораторных регистров по всей стране и прикрепленные к существующим машинам genXpert. За период Q1-2 2017 было 1325 положительных результатов теста Xpert MTB / RIF от 6854 человек с симптомами туберкулеза, что составило 19%.  Цель была достигнута на уровне 120%.
</v>
      </c>
      <c r="E37" s="1053"/>
      <c r="F37" s="1053"/>
      <c r="G37" s="1054"/>
      <c r="H37" s="171"/>
      <c r="I37" s="1024"/>
      <c r="J37" s="1025"/>
      <c r="K37" s="1025"/>
      <c r="L37" s="1025"/>
      <c r="M37" s="1025"/>
      <c r="N37" s="1026"/>
      <c r="O37" s="32"/>
    </row>
    <row r="38" spans="1:15" ht="21.95" customHeight="1">
      <c r="A38" s="136"/>
      <c r="B38" s="348" t="s">
        <v>67</v>
      </c>
      <c r="C38" s="211"/>
      <c r="D38" s="1052" t="e">
        <f>IF(ISBLANK(Программа!#REF!),"",(Программа!#REF!))</f>
        <v>#REF!</v>
      </c>
      <c r="E38" s="1053"/>
      <c r="F38" s="1053"/>
      <c r="G38" s="1054"/>
      <c r="H38" s="171"/>
      <c r="I38" s="1024"/>
      <c r="J38" s="1025"/>
      <c r="K38" s="1025"/>
      <c r="L38" s="1025"/>
      <c r="M38" s="1025"/>
      <c r="N38" s="1026"/>
      <c r="O38" s="32"/>
    </row>
    <row r="39" spans="1:15" ht="21.95" customHeight="1">
      <c r="A39" s="136"/>
      <c r="B39" s="348" t="s">
        <v>68</v>
      </c>
      <c r="C39" s="211"/>
      <c r="D39" s="1052" t="e">
        <f>IF(ISBLANK(Программа!#REF!),"",(Программа!#REF!))</f>
        <v>#REF!</v>
      </c>
      <c r="E39" s="1053"/>
      <c r="F39" s="1053"/>
      <c r="G39" s="1054"/>
      <c r="H39" s="171"/>
      <c r="I39" s="1024"/>
      <c r="J39" s="1025"/>
      <c r="K39" s="1025"/>
      <c r="L39" s="1025"/>
      <c r="M39" s="1025"/>
      <c r="N39" s="1026"/>
      <c r="O39" s="32"/>
    </row>
    <row r="40" spans="1:15" ht="21.95" customHeight="1">
      <c r="A40" s="136"/>
      <c r="B40" s="348" t="s">
        <v>69</v>
      </c>
      <c r="C40" s="211"/>
      <c r="D40" s="1052" t="e">
        <f>IF(ISBLANK(Программа!#REF!),"",(Программа!#REF!))</f>
        <v>#REF!</v>
      </c>
      <c r="E40" s="1053"/>
      <c r="F40" s="1053"/>
      <c r="G40" s="1054"/>
      <c r="H40" s="171"/>
      <c r="I40" s="1024"/>
      <c r="J40" s="1025"/>
      <c r="K40" s="1025"/>
      <c r="L40" s="1025"/>
      <c r="M40" s="1025"/>
      <c r="N40" s="1026"/>
      <c r="O40" s="32"/>
    </row>
    <row r="41" spans="1:15" ht="21.95" customHeight="1" thickBot="1">
      <c r="A41" s="136"/>
      <c r="B41" s="412" t="s">
        <v>70</v>
      </c>
      <c r="C41" s="176"/>
      <c r="D41" s="1085" t="e">
        <f>IF(ISBLANK(Программа!#REF!),"",(Программа!#REF!))</f>
        <v>#REF!</v>
      </c>
      <c r="E41" s="1086"/>
      <c r="F41" s="1086"/>
      <c r="G41" s="1087"/>
      <c r="H41" s="171"/>
      <c r="I41" s="1094"/>
      <c r="J41" s="1095"/>
      <c r="K41" s="1095"/>
      <c r="L41" s="1095"/>
      <c r="M41" s="1095"/>
      <c r="N41" s="1096"/>
      <c r="O41" s="32"/>
    </row>
    <row r="42" spans="1:15" ht="14.25">
      <c r="A42" s="136"/>
      <c r="B42" s="177"/>
      <c r="C42" s="177"/>
      <c r="D42" s="178"/>
      <c r="E42" s="136"/>
      <c r="F42" s="177"/>
      <c r="G42" s="177"/>
      <c r="H42" s="136"/>
      <c r="I42" s="179"/>
      <c r="J42" s="136"/>
      <c r="K42" s="180"/>
      <c r="L42" s="180"/>
      <c r="M42" s="180"/>
      <c r="N42" s="180"/>
      <c r="O42" s="32"/>
    </row>
  </sheetData>
  <sheetProtection password="CFC9" sheet="1"/>
  <mergeCells count="65">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 ref="D30:G30"/>
    <mergeCell ref="D32:G32"/>
    <mergeCell ref="D24:G24"/>
    <mergeCell ref="I30:N30"/>
    <mergeCell ref="I31:N31"/>
    <mergeCell ref="B26:N26"/>
    <mergeCell ref="D23:G23"/>
    <mergeCell ref="I21:N21"/>
    <mergeCell ref="I22:N22"/>
    <mergeCell ref="I23:N23"/>
    <mergeCell ref="I29:N29"/>
    <mergeCell ref="B2:Q2"/>
    <mergeCell ref="E5:K5"/>
    <mergeCell ref="E3:K3"/>
    <mergeCell ref="C4:D4"/>
    <mergeCell ref="E4:K4"/>
    <mergeCell ref="C3:D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s>
  <phoneticPr fontId="31"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Normal="110" zoomScaleSheetLayoutView="100" workbookViewId="0">
      <selection activeCell="G14" sqref="G14:I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08" t="str">
        <f>+"Панель показателей:  "&amp;"  "&amp;IF(+'Ввод данных'!B4="Выберите","",'Ввод данных'!B4&amp;" - ")&amp;IF('Ввод данных'!F6="Выберите","",'Ввод данных'!F6)</f>
        <v>Панель показателей:    Кыргызстан - ВИЧ/СПИД/ТБ</v>
      </c>
      <c r="C2" s="908"/>
      <c r="D2" s="908"/>
      <c r="E2" s="908"/>
      <c r="F2" s="908"/>
      <c r="G2" s="908"/>
      <c r="H2" s="908"/>
      <c r="I2" s="908"/>
      <c r="J2" s="908"/>
      <c r="K2" s="908"/>
      <c r="L2" s="908"/>
    </row>
    <row r="3" spans="1:13">
      <c r="B3" s="23">
        <f>+IF('Ввод данных'!F8="Выберите","",'Ввод данных'!F8)</f>
        <v>0</v>
      </c>
      <c r="C3" s="1182"/>
      <c r="D3" s="1182"/>
      <c r="E3" s="925"/>
      <c r="F3" s="925"/>
      <c r="G3" s="925"/>
      <c r="H3" s="925"/>
      <c r="I3" s="925"/>
      <c r="J3" s="926" t="str">
        <f>+'Ввод данных'!A16</f>
        <v>Отчетный период</v>
      </c>
      <c r="K3" s="926"/>
      <c r="L3" s="184" t="str">
        <f>+'Ввод данных'!B16</f>
        <v>P2</v>
      </c>
      <c r="M3" s="81"/>
    </row>
    <row r="4" spans="1:13">
      <c r="B4" s="381" t="str">
        <f>+'Ввод данных'!A12</f>
        <v>Последняя оценка:</v>
      </c>
      <c r="C4" s="1176" t="str">
        <f>+IF('Ввод данных'!B12="Выберите","",'Ввод данных'!B12)</f>
        <v>A1</v>
      </c>
      <c r="D4" s="1176"/>
      <c r="E4" s="925" t="str">
        <f>+'Ввод данных'!B8</f>
        <v>ПРООН</v>
      </c>
      <c r="F4" s="925"/>
      <c r="G4" s="925"/>
      <c r="H4" s="925"/>
      <c r="I4" s="925"/>
      <c r="J4" s="926" t="str">
        <f>+'Ввод данных'!C16</f>
        <v>с:</v>
      </c>
      <c r="K4" s="1179"/>
      <c r="L4" s="185">
        <f>+IF(ISBLANK('Ввод данных'!D16),"",'Ввод данных'!D16)</f>
        <v>42736</v>
      </c>
    </row>
    <row r="5" spans="1:13" ht="18.75" customHeight="1">
      <c r="B5" s="23"/>
      <c r="C5" s="23"/>
      <c r="D5" s="925"/>
      <c r="E5" s="925"/>
      <c r="F5" s="925"/>
      <c r="G5" s="925"/>
      <c r="H5" s="925"/>
      <c r="I5" s="925"/>
      <c r="J5" s="925"/>
      <c r="K5" s="23" t="str">
        <f>+'Ввод данных'!E16</f>
        <v>до:</v>
      </c>
      <c r="L5" s="185">
        <f>+IF(ISBLANK('Ввод данных'!F16),"",'Ввод данных'!F16)</f>
        <v>42916</v>
      </c>
    </row>
    <row r="6" spans="1:13" ht="18.75">
      <c r="B6" s="22"/>
      <c r="C6" s="23"/>
      <c r="D6" s="24"/>
      <c r="E6" s="1180" t="s">
        <v>347</v>
      </c>
      <c r="F6" s="1181"/>
      <c r="G6" s="1181"/>
      <c r="H6" s="1181"/>
      <c r="I6" s="1181"/>
    </row>
    <row r="7" spans="1:13" ht="18.75">
      <c r="E7" s="69"/>
      <c r="F7" s="69"/>
      <c r="G7" s="69"/>
      <c r="H7" s="69"/>
      <c r="I7" s="69"/>
    </row>
    <row r="8" spans="1:13" s="30" customFormat="1" ht="21" customHeight="1" thickBot="1">
      <c r="B8" s="72" t="s">
        <v>387</v>
      </c>
      <c r="C8" s="72"/>
      <c r="D8" s="72"/>
      <c r="E8" s="72"/>
      <c r="F8" s="72"/>
      <c r="G8" s="72"/>
      <c r="H8" s="72"/>
      <c r="I8" s="72"/>
      <c r="J8" s="72"/>
      <c r="K8" s="72"/>
      <c r="L8" s="72"/>
    </row>
    <row r="9" spans="1:13" ht="6" customHeight="1">
      <c r="B9" s="70"/>
    </row>
    <row r="10" spans="1:13">
      <c r="B10" s="1183"/>
      <c r="C10" s="1184"/>
      <c r="D10" s="1184"/>
      <c r="E10" s="1184"/>
      <c r="F10" s="1184"/>
      <c r="G10" s="1184"/>
      <c r="H10" s="1184"/>
      <c r="I10" s="1184"/>
      <c r="J10" s="1184"/>
      <c r="K10" s="1184"/>
      <c r="L10" s="1185"/>
    </row>
    <row r="11" spans="1:13">
      <c r="B11" s="1186"/>
      <c r="C11" s="1187"/>
      <c r="D11" s="1187"/>
      <c r="E11" s="1187"/>
      <c r="F11" s="1187"/>
      <c r="G11" s="1187"/>
      <c r="H11" s="1187"/>
      <c r="I11" s="1187"/>
      <c r="J11" s="1187"/>
      <c r="K11" s="1187"/>
      <c r="L11" s="1188"/>
    </row>
    <row r="12" spans="1:13" ht="15.75" thickBot="1"/>
    <row r="13" spans="1:13" ht="26.25" customHeight="1" thickBot="1">
      <c r="B13" s="1123" t="s">
        <v>386</v>
      </c>
      <c r="C13" s="1124"/>
      <c r="D13" s="1124"/>
      <c r="E13" s="1126"/>
      <c r="F13" s="73"/>
      <c r="G13" s="1110" t="s">
        <v>338</v>
      </c>
      <c r="H13" s="1111"/>
      <c r="I13" s="1111"/>
      <c r="J13" s="74" t="s">
        <v>281</v>
      </c>
      <c r="K13" s="1111" t="s">
        <v>282</v>
      </c>
      <c r="L13" s="1189"/>
    </row>
    <row r="14" spans="1:13">
      <c r="A14" s="1161" t="s">
        <v>259</v>
      </c>
      <c r="B14" s="1154" t="s">
        <v>458</v>
      </c>
      <c r="C14" s="1154"/>
      <c r="D14" s="1154"/>
      <c r="E14" s="1155"/>
      <c r="F14" s="43"/>
      <c r="G14" s="1164" t="s">
        <v>459</v>
      </c>
      <c r="H14" s="1115"/>
      <c r="I14" s="1115"/>
      <c r="J14" s="1119"/>
      <c r="K14" s="1177" t="s">
        <v>460</v>
      </c>
      <c r="L14" s="1178"/>
    </row>
    <row r="15" spans="1:13" ht="32.25" customHeight="1">
      <c r="A15" s="1162"/>
      <c r="B15" s="1154"/>
      <c r="C15" s="1154"/>
      <c r="D15" s="1154"/>
      <c r="E15" s="1155"/>
      <c r="F15" s="43"/>
      <c r="G15" s="1116"/>
      <c r="H15" s="1117"/>
      <c r="I15" s="1117"/>
      <c r="J15" s="1112"/>
      <c r="K15" s="1102"/>
      <c r="L15" s="1103"/>
    </row>
    <row r="16" spans="1:13">
      <c r="A16" s="1162"/>
      <c r="B16" s="1154"/>
      <c r="C16" s="1154"/>
      <c r="D16" s="1154"/>
      <c r="E16" s="1155"/>
      <c r="F16" s="43"/>
      <c r="G16" s="1116"/>
      <c r="H16" s="1117"/>
      <c r="I16" s="1117"/>
      <c r="J16" s="1118"/>
      <c r="K16" s="1100"/>
      <c r="L16" s="1101"/>
    </row>
    <row r="17" spans="1:12" ht="78.75" customHeight="1">
      <c r="A17" s="1162"/>
      <c r="B17" s="1154"/>
      <c r="C17" s="1154"/>
      <c r="D17" s="1154"/>
      <c r="E17" s="1155"/>
      <c r="F17" s="43"/>
      <c r="G17" s="1116"/>
      <c r="H17" s="1117"/>
      <c r="I17" s="1117"/>
      <c r="J17" s="1112"/>
      <c r="K17" s="1102"/>
      <c r="L17" s="1103"/>
    </row>
    <row r="18" spans="1:12">
      <c r="A18" s="1162"/>
      <c r="B18" s="1154"/>
      <c r="C18" s="1154"/>
      <c r="D18" s="1154"/>
      <c r="E18" s="1155"/>
      <c r="F18" s="43"/>
      <c r="G18" s="1104"/>
      <c r="H18" s="1105"/>
      <c r="I18" s="1106"/>
      <c r="J18" s="1118"/>
      <c r="K18" s="1100"/>
      <c r="L18" s="1101"/>
    </row>
    <row r="19" spans="1:12" ht="30.75" customHeight="1">
      <c r="A19" s="1162"/>
      <c r="B19" s="1154"/>
      <c r="C19" s="1154"/>
      <c r="D19" s="1154"/>
      <c r="E19" s="1155"/>
      <c r="F19" s="43"/>
      <c r="G19" s="1107"/>
      <c r="H19" s="1108"/>
      <c r="I19" s="1109"/>
      <c r="J19" s="1112"/>
      <c r="K19" s="1102"/>
      <c r="L19" s="1103"/>
    </row>
    <row r="20" spans="1:12">
      <c r="A20" s="1162"/>
      <c r="B20" s="1154"/>
      <c r="C20" s="1154"/>
      <c r="D20" s="1154"/>
      <c r="E20" s="1155"/>
      <c r="F20" s="43"/>
      <c r="G20" s="1116"/>
      <c r="H20" s="1117"/>
      <c r="I20" s="1117"/>
      <c r="J20" s="1118"/>
      <c r="K20" s="1100"/>
      <c r="L20" s="1101"/>
    </row>
    <row r="21" spans="1:12" ht="45.75" customHeight="1">
      <c r="A21" s="1162"/>
      <c r="B21" s="1154"/>
      <c r="C21" s="1154"/>
      <c r="D21" s="1154"/>
      <c r="E21" s="1155"/>
      <c r="F21" s="43"/>
      <c r="G21" s="1116"/>
      <c r="H21" s="1117"/>
      <c r="I21" s="1117"/>
      <c r="J21" s="1112"/>
      <c r="K21" s="1102"/>
      <c r="L21" s="1103"/>
    </row>
    <row r="22" spans="1:12">
      <c r="A22" s="1162"/>
      <c r="B22" s="1154"/>
      <c r="C22" s="1154"/>
      <c r="D22" s="1154"/>
      <c r="E22" s="1155"/>
      <c r="F22" s="43"/>
      <c r="G22" s="1116"/>
      <c r="H22" s="1117"/>
      <c r="I22" s="1117"/>
      <c r="J22" s="1114"/>
      <c r="K22" s="1112"/>
      <c r="L22" s="1113"/>
    </row>
    <row r="23" spans="1:12" ht="34.5" customHeight="1">
      <c r="A23" s="1162"/>
      <c r="B23" s="1154"/>
      <c r="C23" s="1154"/>
      <c r="D23" s="1154"/>
      <c r="E23" s="1155"/>
      <c r="F23" s="43"/>
      <c r="G23" s="1116"/>
      <c r="H23" s="1117"/>
      <c r="I23" s="1117"/>
      <c r="J23" s="1115"/>
      <c r="K23" s="1112"/>
      <c r="L23" s="1113"/>
    </row>
    <row r="24" spans="1:12" ht="15" customHeight="1">
      <c r="A24" s="1162"/>
      <c r="B24" s="1154"/>
      <c r="C24" s="1154"/>
      <c r="D24" s="1154"/>
      <c r="E24" s="1155"/>
      <c r="F24" s="43"/>
      <c r="G24" s="1116"/>
      <c r="H24" s="1117"/>
      <c r="I24" s="1117"/>
      <c r="J24" s="1118"/>
      <c r="K24" s="1193"/>
      <c r="L24" s="1141"/>
    </row>
    <row r="25" spans="1:12" ht="30" customHeight="1" thickBot="1">
      <c r="A25" s="1163"/>
      <c r="B25" s="1156"/>
      <c r="C25" s="1156"/>
      <c r="D25" s="1156"/>
      <c r="E25" s="1157"/>
      <c r="F25" s="43"/>
      <c r="G25" s="1127"/>
      <c r="H25" s="1128"/>
      <c r="I25" s="1128"/>
      <c r="J25" s="1175"/>
      <c r="K25" s="1194"/>
      <c r="L25" s="1144"/>
    </row>
    <row r="27" spans="1:12" ht="18.75" customHeight="1">
      <c r="D27" s="367"/>
      <c r="E27" s="373" t="s">
        <v>388</v>
      </c>
      <c r="F27" s="373"/>
      <c r="G27" s="373"/>
      <c r="H27" s="373"/>
      <c r="I27" s="373"/>
    </row>
    <row r="28" spans="1:12" ht="6" customHeight="1">
      <c r="E28" s="69"/>
      <c r="F28" s="69"/>
      <c r="G28" s="69"/>
      <c r="H28" s="69"/>
      <c r="I28" s="69"/>
    </row>
    <row r="29" spans="1:12" s="30" customFormat="1" ht="21" customHeight="1" thickBot="1">
      <c r="B29" s="72" t="s">
        <v>389</v>
      </c>
      <c r="C29" s="72"/>
      <c r="D29" s="72"/>
      <c r="E29" s="72"/>
      <c r="F29" s="72"/>
      <c r="G29" s="72"/>
      <c r="H29" s="72"/>
      <c r="I29" s="72"/>
      <c r="J29" s="72"/>
      <c r="K29" s="72"/>
      <c r="L29" s="72"/>
    </row>
    <row r="30" spans="1:12" ht="6" customHeight="1" thickBot="1">
      <c r="B30" s="70"/>
    </row>
    <row r="31" spans="1:12" ht="21.75" customHeight="1" thickBot="1">
      <c r="B31" s="1123" t="s">
        <v>338</v>
      </c>
      <c r="C31" s="1124"/>
      <c r="D31" s="1124"/>
      <c r="E31" s="1126"/>
      <c r="F31" s="73"/>
      <c r="G31" s="1123" t="s">
        <v>339</v>
      </c>
      <c r="H31" s="1124"/>
      <c r="I31" s="1125"/>
      <c r="J31" s="74" t="s">
        <v>283</v>
      </c>
      <c r="K31" s="1192" t="s">
        <v>282</v>
      </c>
      <c r="L31" s="1126"/>
    </row>
    <row r="32" spans="1:12" ht="14.25" customHeight="1">
      <c r="A32" s="1120" t="s">
        <v>340</v>
      </c>
      <c r="B32" s="1135"/>
      <c r="C32" s="1136"/>
      <c r="D32" s="1136"/>
      <c r="E32" s="1137"/>
      <c r="F32" s="43"/>
      <c r="G32" s="1158"/>
      <c r="H32" s="1159"/>
      <c r="I32" s="1160"/>
      <c r="J32" s="1191"/>
      <c r="K32" s="1177"/>
      <c r="L32" s="1178"/>
    </row>
    <row r="33" spans="1:12" ht="30" customHeight="1">
      <c r="A33" s="1121"/>
      <c r="B33" s="1107"/>
      <c r="C33" s="1108"/>
      <c r="D33" s="1108"/>
      <c r="E33" s="1138"/>
      <c r="F33" s="43"/>
      <c r="G33" s="1151"/>
      <c r="H33" s="1152"/>
      <c r="I33" s="1153"/>
      <c r="J33" s="1169"/>
      <c r="K33" s="1102"/>
      <c r="L33" s="1103"/>
    </row>
    <row r="34" spans="1:12">
      <c r="A34" s="1121"/>
      <c r="B34" s="1170"/>
      <c r="C34" s="1171"/>
      <c r="D34" s="1171"/>
      <c r="E34" s="1101"/>
      <c r="F34" s="43"/>
      <c r="G34" s="1148"/>
      <c r="H34" s="1149"/>
      <c r="I34" s="1150"/>
      <c r="J34" s="1174"/>
      <c r="K34" s="1195"/>
      <c r="L34" s="1196"/>
    </row>
    <row r="35" spans="1:12" ht="30" customHeight="1">
      <c r="A35" s="1121"/>
      <c r="B35" s="1172"/>
      <c r="C35" s="1173"/>
      <c r="D35" s="1173"/>
      <c r="E35" s="1103"/>
      <c r="F35" s="43"/>
      <c r="G35" s="1151"/>
      <c r="H35" s="1152"/>
      <c r="I35" s="1153"/>
      <c r="J35" s="1169"/>
      <c r="K35" s="1197"/>
      <c r="L35" s="1198"/>
    </row>
    <row r="36" spans="1:12">
      <c r="A36" s="1121"/>
      <c r="B36" s="1139"/>
      <c r="C36" s="1140"/>
      <c r="D36" s="1140"/>
      <c r="E36" s="1141"/>
      <c r="F36" s="43"/>
      <c r="G36" s="1148"/>
      <c r="H36" s="1149"/>
      <c r="I36" s="1150"/>
      <c r="J36" s="1168"/>
      <c r="K36" s="1195"/>
      <c r="L36" s="1196"/>
    </row>
    <row r="37" spans="1:12" ht="45" customHeight="1">
      <c r="A37" s="1121"/>
      <c r="B37" s="1165"/>
      <c r="C37" s="1166"/>
      <c r="D37" s="1166"/>
      <c r="E37" s="1167"/>
      <c r="F37" s="43"/>
      <c r="G37" s="1151"/>
      <c r="H37" s="1152"/>
      <c r="I37" s="1153"/>
      <c r="J37" s="1169"/>
      <c r="K37" s="1197"/>
      <c r="L37" s="1198"/>
    </row>
    <row r="38" spans="1:12">
      <c r="A38" s="1121"/>
      <c r="B38" s="1139"/>
      <c r="C38" s="1140"/>
      <c r="D38" s="1140"/>
      <c r="E38" s="1141"/>
      <c r="F38" s="43"/>
      <c r="G38" s="1129"/>
      <c r="H38" s="1130"/>
      <c r="I38" s="1131"/>
      <c r="J38" s="1168"/>
      <c r="K38" s="1199"/>
      <c r="L38" s="1200"/>
    </row>
    <row r="39" spans="1:12">
      <c r="A39" s="1121"/>
      <c r="B39" s="1165"/>
      <c r="C39" s="1166"/>
      <c r="D39" s="1166"/>
      <c r="E39" s="1167"/>
      <c r="F39" s="43"/>
      <c r="G39" s="1132"/>
      <c r="H39" s="1133"/>
      <c r="I39" s="1134"/>
      <c r="J39" s="1169"/>
      <c r="K39" s="1201"/>
      <c r="L39" s="1202"/>
    </row>
    <row r="40" spans="1:12">
      <c r="A40" s="1121"/>
      <c r="B40" s="1139"/>
      <c r="C40" s="1140"/>
      <c r="D40" s="1140"/>
      <c r="E40" s="1141"/>
      <c r="F40" s="43"/>
      <c r="G40" s="1129"/>
      <c r="H40" s="1130"/>
      <c r="I40" s="1131"/>
      <c r="J40" s="1168"/>
      <c r="K40" s="1199"/>
      <c r="L40" s="1200"/>
    </row>
    <row r="41" spans="1:12">
      <c r="A41" s="1121"/>
      <c r="B41" s="1165"/>
      <c r="C41" s="1166"/>
      <c r="D41" s="1166"/>
      <c r="E41" s="1167"/>
      <c r="F41" s="43"/>
      <c r="G41" s="1132"/>
      <c r="H41" s="1133"/>
      <c r="I41" s="1134"/>
      <c r="J41" s="1169"/>
      <c r="K41" s="1201"/>
      <c r="L41" s="1202"/>
    </row>
    <row r="42" spans="1:12">
      <c r="A42" s="1121"/>
      <c r="B42" s="1139"/>
      <c r="C42" s="1140"/>
      <c r="D42" s="1140"/>
      <c r="E42" s="1141"/>
      <c r="F42" s="43"/>
      <c r="G42" s="1129"/>
      <c r="H42" s="1130"/>
      <c r="I42" s="1131"/>
      <c r="J42" s="1168"/>
      <c r="K42" s="1199"/>
      <c r="L42" s="1200"/>
    </row>
    <row r="43" spans="1:12" ht="15.75" thickBot="1">
      <c r="A43" s="1122"/>
      <c r="B43" s="1142"/>
      <c r="C43" s="1143"/>
      <c r="D43" s="1143"/>
      <c r="E43" s="1144"/>
      <c r="F43" s="43"/>
      <c r="G43" s="1145"/>
      <c r="H43" s="1146"/>
      <c r="I43" s="1147"/>
      <c r="J43" s="1190"/>
      <c r="K43" s="1203"/>
      <c r="L43" s="1204"/>
    </row>
  </sheetData>
  <sheetProtection password="CFC9" sheet="1"/>
  <mergeCells count="66">
    <mergeCell ref="J42:J43"/>
    <mergeCell ref="J32:J33"/>
    <mergeCell ref="K31:L31"/>
    <mergeCell ref="K24:L25"/>
    <mergeCell ref="K34:L35"/>
    <mergeCell ref="K40:L41"/>
    <mergeCell ref="K42:L43"/>
    <mergeCell ref="K36:L37"/>
    <mergeCell ref="K38:L39"/>
    <mergeCell ref="K32:L33"/>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K18:L19"/>
    <mergeCell ref="G18:I19"/>
    <mergeCell ref="G13:I13"/>
    <mergeCell ref="K22:L23"/>
    <mergeCell ref="K20:L21"/>
    <mergeCell ref="J22:J23"/>
    <mergeCell ref="G16:I17"/>
    <mergeCell ref="J16:J17"/>
    <mergeCell ref="J14:J15"/>
  </mergeCells>
  <phoneticPr fontId="31"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8DFA6C9-3F96-4413-B912-D348D4E4188B}">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f127e3a1-6a43-4b35-8211-dfdf2a8cacea"/>
    <ds:schemaRef ds:uri="http://www.w3.org/XML/1998/namespace"/>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3.xml><?xml version="1.0" encoding="utf-8"?>
<ds:datastoreItem xmlns:ds="http://schemas.openxmlformats.org/officeDocument/2006/customXml" ds:itemID="{FCD7FC6D-C8A1-4CF9-9C6D-60A318F43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subject>
  <dc:creator>Genc Kastrati</dc:creator>
  <dc:description>&amp;lt;p&amp;gt;Акронимы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description>
  <cp:lastModifiedBy>Meerim Bolotbaeva</cp:lastModifiedBy>
  <cp:lastPrinted>2013-09-18T04:23:50Z</cp:lastPrinted>
  <dcterms:created xsi:type="dcterms:W3CDTF">2008-11-20T16:06:13Z</dcterms:created>
  <dcterms:modified xsi:type="dcterms:W3CDTF">2018-07-04T05:46:33Z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ies>
</file>