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0" yWindow="120" windowWidth="12000" windowHeight="4515" firstSheet="6" activeTab="10"/>
  </bookViews>
  <sheets>
    <sheet name="ИМН" sheetId="15" r:id="rId1"/>
    <sheet name="на новую заявку" sheetId="16" r:id="rId2"/>
    <sheet name="суммы" sheetId="17" r:id="rId3"/>
    <sheet name="охват" sheetId="18" r:id="rId4"/>
    <sheet name="на PAAR обновленный" sheetId="28" r:id="rId5"/>
    <sheet name="анализ по бюджету" sheetId="21" r:id="rId6"/>
    <sheet name="на 3.5 млн" sheetId="22" r:id="rId7"/>
    <sheet name="ВИЧ с дефицитом" sheetId="23" r:id="rId8"/>
    <sheet name="SRs 6 мес final" sheetId="24" r:id="rId9"/>
    <sheet name="PIVOT" sheetId="27" r:id="rId10"/>
    <sheet name="Бюджет измен." sheetId="25" r:id="rId11"/>
    <sheet name="охват изм." sheetId="29" r:id="rId12"/>
    <sheet name="расчет PAAR" sheetId="2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TB1">[1]HIV!$A$2:$A$24</definedName>
    <definedName name="______TB1">[1]HIV!$A$2:$A$24</definedName>
    <definedName name="_____TB1">[1]HIV!$A$2:$A$24</definedName>
    <definedName name="____TB1">[1]HIV!$A$2:$A$24</definedName>
    <definedName name="___SRQ9">[2]Definitions!#REF!</definedName>
    <definedName name="___TB1">[1]HIV!$A$2:$A$24</definedName>
    <definedName name="__SRQ9">[2]Definitions!#REF!</definedName>
    <definedName name="__TB1">[1]HIV!$A$2:$A$24</definedName>
    <definedName name="_064c976f_dc27_4320_b681_1339b2fe8ab4">#REF!</definedName>
    <definedName name="_0a54ea9f_6551_4517_a878_c152fb55f9a1">'[3]Recipient sheet'!#REF!</definedName>
    <definedName name="_1d0188c7_3e76_40a1_bd1f_7775471db247">#REF!</definedName>
    <definedName name="_2b545529_161e_4ac1_9362_d6a10d266e17">#REF!</definedName>
    <definedName name="_2b55e7c6_3f95_4cbb_b0e4_b40e4a86f435">#REF!</definedName>
    <definedName name="_30fee82c_14f4_4a5f_a453_cb18954a7ebc">#REF!</definedName>
    <definedName name="_329fd648_43f7_41d3_bee9_8ba9de528383">#REF!</definedName>
    <definedName name="_489c8708_ba46_4243_adf7_6489cf5e59f7">#REF!</definedName>
    <definedName name="_55196ad8_eb49_4312_b065_86f00def31a7">#REF!</definedName>
    <definedName name="_6d661af8_29d6_4e8e_a5b0_cc84ee4eb720">[3]Setup!$C$6</definedName>
    <definedName name="_6f67cf15_4702_4c47_a424_1c1585ad72b1" comment="Save Map">#REF!</definedName>
    <definedName name="_85203bf3_9159_43b9_8a8a_d795a4ad9ca0">#REF!</definedName>
    <definedName name="_8f9eef8b_d98e_4b9e_bb2e_b941f25e75e0">#REF!</definedName>
    <definedName name="_9479c3a8_3a98_4b0e_bb8c_376fe7788da5">#REF!</definedName>
    <definedName name="_9e4064b7_e62c_4abc_9af4_69421f2f4da2">#REF!</definedName>
    <definedName name="_a1f5d101_d930_4c9b_a303_b59c76eef4b5">#REF!</definedName>
    <definedName name="_a33ad721_4839_41d5_a193_cf04831c30a4">#REF!</definedName>
    <definedName name="_a4f1091a_7b5c_45ed_8e14_88414db8f444">#REF!</definedName>
    <definedName name="_aac47cda_85a8_427d_a643_30b0f56afa55">'[3]Recipient sheet'!#REF!</definedName>
    <definedName name="_arr_population">[4]_pop!$A$1:$U$215</definedName>
    <definedName name="_b2b7da3e_86e7_4904_b0e8_4c458cbfb46d">#REF!</definedName>
    <definedName name="_b479abbc_1348_47ce_8984_40a995f58905">#REF!</definedName>
    <definedName name="_b9ac1525_a338_4e54_9fab_ce0b7b6318fd" comment="Save Map">#REF!</definedName>
    <definedName name="_bf3cacdf_bc7f_4173_8f84_f13ee0b5c719">#REF!</definedName>
    <definedName name="_c35bff0d_642f_40df_8d5f_bbcb0534e23b">#REF!</definedName>
    <definedName name="_cc15cf2d_1cea_4443_9c90_6f4e5a84976e">#REF!</definedName>
    <definedName name="_ce22259c_4382_4095_a0ad_adcea496fac9">#REF!</definedName>
    <definedName name="_CountryName">[4]Welcome!$D$7</definedName>
    <definedName name="_d138b872_f6f8_4e9b_a8ef_bb6c0e66f9c2">#REF!</definedName>
    <definedName name="_d91c78a7_f0c1_457f_9def_32e04fd4a479">#REF!</definedName>
    <definedName name="_dbd0c918_8140_4043_bdab_cece939ff74a">#REF!</definedName>
    <definedName name="_de01575c_3097_499d_9977_70f8b5e7ab13">#REF!</definedName>
    <definedName name="_e3c2ead6_6c34_462b_a702_c160a5df118a">#REF!</definedName>
    <definedName name="_e8aaf1e6_61eb_40f1_82c7_c364ea5cb53b">#REF!</definedName>
    <definedName name="_eb839e16_fc9c_413c_8908_cad80e757e24" comment="Display Map">'[3]Recipient sheet'!#REF!</definedName>
    <definedName name="_eecfcf1a_e847_4960_b871_ebab6a0562a7">#REF!</definedName>
    <definedName name="_fd972c3d_0ba4_42e7_8446_2150735dea19">#REF!</definedName>
    <definedName name="_fedcd7d3_8063_490d_9a62_15657214dfaa">#REF!</definedName>
    <definedName name="_xlnm._FilterDatabase" localSheetId="1" hidden="1">'на новую заявку'!$A$2:$M$97</definedName>
    <definedName name="_xlnm._FilterDatabase" localSheetId="12" hidden="1">'расчет PAAR'!$A$3:$AV$30</definedName>
    <definedName name="_lst_DrugManufs">[5]_settings!$B$19:$B$25</definedName>
    <definedName name="_lst_Drugs">[5]_settings!$B$29:$B$37</definedName>
    <definedName name="_lst_DrugTypes">[5]_settings!$B$11:$B$15</definedName>
    <definedName name="_RegionName">[6]Welcome!$D$8</definedName>
    <definedName name="_SRQ9">[2]Definitions!#REF!</definedName>
    <definedName name="_TB1">[1]HIV!$A$2:$A$24</definedName>
    <definedName name="AccountRole">IF('[3]Data Sheet'!$D$222&lt;&gt;"",OFFSET('[3]Recipient sheet'!$B$2,1,0,MATCH(" ",'[3]Recipient sheet'!$B$2:$B$9,-1)-1,1), OFFSET('[3]Recipient sheet'!$B$26,1,0,MATCH(" ",'[3]Recipient sheet'!$B$26:$B$29,-1)-1,1))</definedName>
    <definedName name="AIM_Detailed_Budget_Line__c.AIM_Unit_of_Measure__c">[7]apttusmetadata!$AC$2:$AC$9</definedName>
    <definedName name="AssumptionList">#REF!</definedName>
    <definedName name="azt">#REF!</definedName>
    <definedName name="BLCount">COUNT('[3]Detailed Budget'!A1:A500)</definedName>
    <definedName name="BudgetLineNumbers">#REF!:INDEX(#REF!,COUNT(#REF!,"?*"))</definedName>
    <definedName name="CmpAcroSelected">INDIRECT(ADDRESS(CmpSelectedOnRow,2,1,TRUE,"CatCmp"))</definedName>
    <definedName name="CmpIdSelected">INDIRECT(ADDRESS(CmpSelectedOnRow,1,1,TRUE,"CatCmp"))</definedName>
    <definedName name="CmpSelectedOnRow">IFERROR(MATCH(ComponentSelected,#REF!,0),"")</definedName>
    <definedName name="cobivir">#REF!</definedName>
    <definedName name="ComponentConcatenation">CONCATENATE([3]Setup!A1, [3]Setup!A2,", ",[3]Setup!A3,", ",[3]Setup!A4,", ",[3]Setup!A5)</definedName>
    <definedName name="ComponentList">[3]Setup!$A$12:$A$15</definedName>
    <definedName name="ComponentSelected">[3]Setup!$L$3</definedName>
    <definedName name="Cost_Category">[8]Definitions!$F$3:$F$15</definedName>
    <definedName name="CostInpNoList">'[3]Detailed Budget'!$L$5:$L$1005</definedName>
    <definedName name="CostInput">OFFSET('[3]Data Sheet'!$F$231,1,0,MATCH(" ",'[3]Data Sheet'!$F$231:$F$307,-1)-1,1)</definedName>
    <definedName name="CostInputs">OFFSET(#REF!,0,VLOOKUP(ComponentSelected,#REF!,6,FALSE),#REF!,1)</definedName>
    <definedName name="Country">OFFSET(#REF!,0,0,COUNTA(#REF!),1)</definedName>
    <definedName name="Currencies">[3]Setup!$C$31:$C$42</definedName>
    <definedName name="ddi">#REF!</definedName>
    <definedName name="E">[9]HIV!$F$3</definedName>
    <definedName name="ES">[9]HIV!$F$4</definedName>
    <definedName name="Geographylocation">[3]Setup!$A$74:$A$92</definedName>
    <definedName name="HIVII">[9]HIV!$B$2:$B$7</definedName>
    <definedName name="HIVOI">[9]HIV!$D$2:$D$13</definedName>
    <definedName name="HIVSDA">[9]HIV!$A$2:$A$24</definedName>
    <definedName name="HIVSource">[9]HIV!$E$2:$E$19</definedName>
    <definedName name="HSSSDA">[10]HSS!$A$3:$A$19</definedName>
    <definedName name="Implementing_Entity_Type">[8]Definitions!$H$3:$H$9</definedName>
    <definedName name="IndicatorTypesList">[11]SDAs_impact_datasources!$D$2:$D$3</definedName>
    <definedName name="IntIdList">'[3]Detailed Budget'!$F$5:$F$1005</definedName>
    <definedName name="lamivudine">#REF!</definedName>
    <definedName name="LangOffset">[3]Translations!$C$1</definedName>
    <definedName name="Language">[3]Setup!$J$2</definedName>
    <definedName name="listH">[2]Definitions!#REF!</definedName>
    <definedName name="listHH">[2]Definitions!#REF!</definedName>
    <definedName name="listie">[12]Definitions!$B$31:$B$38</definedName>
    <definedName name="listN">[2]Definitions!#REF!</definedName>
    <definedName name="LocalCurrency">IF(NOT([3]Setup!$C$4=""),VLOOKUP([3]Setup!$C$4,[3]Currencies!$B$2:$G$250, 6, FALSE),"")</definedName>
    <definedName name="MacrocategoriesALL">[12]Definitions!$B$127:$B$149</definedName>
    <definedName name="MalariaII">[9]Malaria!$B$2:$B$11</definedName>
    <definedName name="MalariaOI">[9]Malaria!$D$2:$D$11</definedName>
    <definedName name="MalariaSDA">[9]Malaria!$A$2:$A$19</definedName>
    <definedName name="MalariaSDA1">[1]Malaria!$A$2:$A$19</definedName>
    <definedName name="MalariaSource">[9]Malaria!$E$2:$E$20</definedName>
    <definedName name="MalariaSource1">[1]Malaria!$E$2:$E$20</definedName>
    <definedName name="ModuleColumn">'[3]Data Sheet'!$B$41:$B$206</definedName>
    <definedName name="ModuleIdList">'[3]Detailed Budget'!$D$5:$D$1005</definedName>
    <definedName name="ModulesInCmp">OFFSET(#REF!,0,0,NbrOfModulesInCmp,1)</definedName>
    <definedName name="ModuleStart">[3]!Intervention[Module]</definedName>
    <definedName name="NbrOfModulesInCmp">COUNT(#REF!)</definedName>
    <definedName name="NbrOfPRsSelected">COUNTA([3]Setup!#REF!)</definedName>
    <definedName name="nvp">#REF!</definedName>
    <definedName name="Pharma">OFFSET('[13]Pharma CIs'!$C$2,0,0,COUNTA('[13]Pharma CIs'!$C$2:$C$11),1)</definedName>
    <definedName name="PM">[1]HIV!$F$5</definedName>
    <definedName name="PRAcronym">#REF!:INDEX(#REF!,COUNTIF(#REF!,"?*"))</definedName>
    <definedName name="PRsInCountry">OFFSET(#REF!,MATCH([3]Setup!$C$4,#REF!,0)-1,0,COUNTIF(#REF!,[3]Setup!$C$4),1)</definedName>
    <definedName name="PS">[9]HIV!$F$5</definedName>
    <definedName name="PSM">OFFSET(PSM [14]CIs!$A$2,0,0,COUNTA([0]!PSM [14]CIs!$A$2:$A$11),1)</definedName>
    <definedName name="Recipient">OFFSET([3]Setup!$K$44,1,0,MATCH(" ",[3]Setup!$K$44:$K$104,-1)-1,1)</definedName>
    <definedName name="RecipientList">[3]Setup!$K$45:$K$71</definedName>
    <definedName name="Res">OFFSET('[3]Recipient sheet'!$B$2,1,0,MATCH("*",'[3]Recipient sheet'!$B$2:$B$9,-1)-1,1)</definedName>
    <definedName name="SD">#REF!</definedName>
    <definedName name="SDA">#REF!</definedName>
    <definedName name="SDAList">[15]SDAs!$A$2:$A$45</definedName>
    <definedName name="SourcesList">[11]SDAs_impact_datasources!$E$2:$E$15</definedName>
    <definedName name="SWs">[16]HIV!$F$3</definedName>
    <definedName name="TB">[1]HIV!$D$2:$D$13</definedName>
    <definedName name="TBII">[9]TB!$B$2:$B$5</definedName>
    <definedName name="TBIII">[1]TB!$B$2:$B$5</definedName>
    <definedName name="TBOI">[9]TB!$D$2:$D$4</definedName>
    <definedName name="TBSDA">[9]TB!$A$2:$A$21</definedName>
    <definedName name="TBSource">[9]TB!$E$2:$E$16</definedName>
    <definedName name="TG">[1]TB!$D$2:$D$4</definedName>
    <definedName name="XAuthorInvalidPicklistData">[3]apttusmetadata!$B$1</definedName>
    <definedName name="YesNo">'[3]Financial Triggers - Budget'!$R$3:$R$4</definedName>
    <definedName name="ZZZ">#REF!:INDEX(#REF!,COUNT(#REF!,"?*"))</definedName>
    <definedName name="ПОШ">#REF!</definedName>
    <definedName name="Список">[2]Definitions!#REF!</definedName>
  </definedNames>
  <calcPr calcId="145621"/>
  <pivotCaches>
    <pivotCache cacheId="0" r:id="rId31"/>
    <pivotCache cacheId="1" r:id="rId32"/>
  </pivotCaches>
  <fileRecoveryPr repairLoad="1"/>
</workbook>
</file>

<file path=xl/calcChain.xml><?xml version="1.0" encoding="utf-8"?>
<calcChain xmlns="http://schemas.openxmlformats.org/spreadsheetml/2006/main">
  <c r="AL42" i="25" l="1"/>
  <c r="B8" i="29" l="1"/>
  <c r="AC17" i="20" l="1"/>
  <c r="AC16" i="20"/>
  <c r="AC15" i="20"/>
  <c r="AC14" i="20"/>
  <c r="AC13" i="20"/>
  <c r="S17" i="20"/>
  <c r="S16" i="20"/>
  <c r="S15" i="20"/>
  <c r="S14" i="20"/>
  <c r="P17" i="20"/>
  <c r="P16" i="20"/>
  <c r="P15" i="20"/>
  <c r="P14" i="20"/>
  <c r="S13" i="20"/>
  <c r="P13" i="20"/>
  <c r="AB4" i="25" l="1"/>
  <c r="D41" i="29"/>
  <c r="F41" i="29"/>
  <c r="AB16" i="25"/>
  <c r="C11" i="29" l="1"/>
  <c r="D11" i="29"/>
  <c r="E11" i="29"/>
  <c r="F11" i="29"/>
  <c r="G11" i="29"/>
  <c r="B11" i="29"/>
  <c r="AN18" i="25" l="1"/>
  <c r="AN20" i="25" s="1"/>
  <c r="AJ18" i="25"/>
  <c r="J52" i="29" l="1"/>
  <c r="F51" i="29"/>
  <c r="D51" i="29"/>
  <c r="H50" i="29"/>
  <c r="H51" i="29" s="1"/>
  <c r="G50" i="29"/>
  <c r="G53" i="29" s="1"/>
  <c r="E50" i="29"/>
  <c r="E53" i="29" s="1"/>
  <c r="C50" i="29"/>
  <c r="C53" i="29" s="1"/>
  <c r="H44" i="29"/>
  <c r="J38" i="29"/>
  <c r="J37" i="29"/>
  <c r="F37" i="29"/>
  <c r="F40" i="29" s="1"/>
  <c r="D37" i="29"/>
  <c r="D40" i="29" s="1"/>
  <c r="B37" i="29"/>
  <c r="B40" i="29" s="1"/>
  <c r="J36" i="29"/>
  <c r="H33" i="29"/>
  <c r="H32" i="29"/>
  <c r="J28" i="29"/>
  <c r="J27" i="29"/>
  <c r="F27" i="29"/>
  <c r="F30" i="29" s="1"/>
  <c r="D27" i="29"/>
  <c r="D30" i="29" s="1"/>
  <c r="B27" i="29"/>
  <c r="B30" i="29" s="1"/>
  <c r="J26" i="29"/>
  <c r="H23" i="29"/>
  <c r="H22" i="29"/>
  <c r="F20" i="29"/>
  <c r="D20" i="29"/>
  <c r="B20" i="29"/>
  <c r="H12" i="29"/>
  <c r="K8" i="29"/>
  <c r="J8" i="29"/>
  <c r="K7" i="29"/>
  <c r="J7" i="29"/>
  <c r="G7" i="29"/>
  <c r="G10" i="29" s="1"/>
  <c r="F7" i="29"/>
  <c r="F10" i="29" s="1"/>
  <c r="E7" i="29"/>
  <c r="E10" i="29" s="1"/>
  <c r="D7" i="29"/>
  <c r="D10" i="29" s="1"/>
  <c r="C7" i="29"/>
  <c r="C10" i="29" s="1"/>
  <c r="B7" i="29"/>
  <c r="B10" i="29" s="1"/>
  <c r="K6" i="29"/>
  <c r="J6" i="29"/>
  <c r="H5" i="29"/>
  <c r="H46" i="28"/>
  <c r="F46" i="28"/>
  <c r="D46" i="28"/>
  <c r="H45" i="28"/>
  <c r="G45" i="28"/>
  <c r="J49" i="28" s="1"/>
  <c r="E45" i="28"/>
  <c r="J48" i="28" s="1"/>
  <c r="C45" i="28"/>
  <c r="J47" i="28" s="1"/>
  <c r="H39" i="28"/>
  <c r="J35" i="28"/>
  <c r="J34" i="28"/>
  <c r="F34" i="28"/>
  <c r="F36" i="28" s="1"/>
  <c r="D34" i="28"/>
  <c r="D36" i="28" s="1"/>
  <c r="B34" i="28"/>
  <c r="B36" i="28" s="1"/>
  <c r="J33" i="28"/>
  <c r="H30" i="28"/>
  <c r="H29" i="28"/>
  <c r="J26" i="28"/>
  <c r="J25" i="28"/>
  <c r="F25" i="28"/>
  <c r="F27" i="28" s="1"/>
  <c r="D25" i="28"/>
  <c r="D27" i="28" s="1"/>
  <c r="B25" i="28"/>
  <c r="B27" i="28" s="1"/>
  <c r="J24" i="28"/>
  <c r="H21" i="28"/>
  <c r="H20" i="28"/>
  <c r="F18" i="28"/>
  <c r="D18" i="28"/>
  <c r="B18" i="28"/>
  <c r="H10" i="28"/>
  <c r="K8" i="28"/>
  <c r="J8" i="28"/>
  <c r="K7" i="28"/>
  <c r="J7" i="28"/>
  <c r="G7" i="28"/>
  <c r="G9" i="28" s="1"/>
  <c r="F7" i="28"/>
  <c r="F9" i="28" s="1"/>
  <c r="E7" i="28"/>
  <c r="E9" i="28" s="1"/>
  <c r="D7" i="28"/>
  <c r="D9" i="28" s="1"/>
  <c r="C7" i="28"/>
  <c r="C9" i="28" s="1"/>
  <c r="B7" i="28"/>
  <c r="B9" i="28" s="1"/>
  <c r="K6" i="28"/>
  <c r="J6" i="28"/>
  <c r="H5" i="28"/>
  <c r="AC10" i="25"/>
  <c r="AD9" i="25" s="1"/>
  <c r="AG6" i="25"/>
  <c r="AG9" i="25"/>
  <c r="AG8" i="25"/>
  <c r="AG7" i="25"/>
  <c r="AD8" i="25" l="1"/>
  <c r="AD7" i="25"/>
  <c r="AD6" i="25"/>
  <c r="J53" i="29"/>
  <c r="J54" i="29"/>
  <c r="C54" i="29"/>
  <c r="E54" i="29"/>
  <c r="G54" i="29"/>
  <c r="D8" i="29"/>
  <c r="D28" i="29"/>
  <c r="E8" i="29"/>
  <c r="F28" i="29"/>
  <c r="B38" i="29"/>
  <c r="F8" i="29"/>
  <c r="D38" i="29"/>
  <c r="C8" i="29"/>
  <c r="G8" i="29"/>
  <c r="B28" i="29"/>
  <c r="F38" i="29"/>
  <c r="E8" i="28"/>
  <c r="F26" i="28"/>
  <c r="B35" i="28"/>
  <c r="C48" i="28"/>
  <c r="B8" i="28"/>
  <c r="F8" i="28"/>
  <c r="D35" i="28"/>
  <c r="E48" i="28"/>
  <c r="C8" i="28"/>
  <c r="G8" i="28"/>
  <c r="B26" i="28"/>
  <c r="F35" i="28"/>
  <c r="G48" i="28"/>
  <c r="D8" i="28"/>
  <c r="D26" i="28"/>
  <c r="Q7" i="25"/>
  <c r="Q8" i="25" s="1"/>
  <c r="P7" i="25"/>
  <c r="P8" i="25" s="1"/>
  <c r="O7" i="25"/>
  <c r="O8" i="25" l="1"/>
  <c r="E50" i="28"/>
  <c r="E49" i="28"/>
  <c r="C50" i="28"/>
  <c r="C49" i="28"/>
  <c r="G50" i="28"/>
  <c r="G49" i="28"/>
  <c r="AE19" i="25" l="1"/>
  <c r="AE15" i="25"/>
  <c r="AE14" i="25"/>
  <c r="AE12" i="25"/>
  <c r="AJ12" i="25" s="1"/>
  <c r="AE5" i="25"/>
  <c r="AJ5" i="25" s="1"/>
  <c r="AE3" i="25" l="1"/>
  <c r="AE16" i="25"/>
  <c r="AE6" i="25"/>
  <c r="AJ6" i="25" s="1"/>
  <c r="AB19" i="25"/>
  <c r="AB18" i="25"/>
  <c r="H82" i="27"/>
  <c r="H73" i="27"/>
  <c r="AB3" i="25"/>
  <c r="H81" i="27"/>
  <c r="H32" i="27"/>
  <c r="H18" i="27"/>
  <c r="G32" i="27"/>
  <c r="AF3" i="25" l="1"/>
  <c r="AF16" i="25"/>
  <c r="AF18" i="25"/>
  <c r="AH4" i="25"/>
  <c r="AF19" i="25"/>
  <c r="AH3" i="25"/>
  <c r="AH16" i="25"/>
  <c r="AB17" i="25"/>
  <c r="AF17" i="25" l="1"/>
  <c r="AI3" i="25"/>
  <c r="AJ3" i="25" s="1"/>
  <c r="AB20" i="25"/>
  <c r="AN21" i="25" s="1"/>
  <c r="AK37" i="25" s="1"/>
  <c r="AN22" i="25" l="1"/>
  <c r="AU28" i="25"/>
  <c r="AV29" i="25" s="1"/>
  <c r="AU24" i="25"/>
  <c r="H24" i="25"/>
  <c r="AU23" i="25"/>
  <c r="AW29" i="25" s="1"/>
  <c r="AV25" i="25" s="1"/>
  <c r="AV22" i="25"/>
  <c r="AQ22" i="25"/>
  <c r="Z22" i="25"/>
  <c r="N22" i="25"/>
  <c r="W21" i="25"/>
  <c r="AV20" i="25"/>
  <c r="N20" i="25"/>
  <c r="N21" i="25" s="1"/>
  <c r="E20" i="25"/>
  <c r="W19" i="25"/>
  <c r="AT18" i="25"/>
  <c r="AO18" i="25" s="1"/>
  <c r="W18" i="25"/>
  <c r="C18" i="25"/>
  <c r="B18" i="25"/>
  <c r="AH18" i="25" s="1"/>
  <c r="AI18" i="25" s="1"/>
  <c r="AG38" i="25" s="1"/>
  <c r="AT17" i="25"/>
  <c r="AO17" i="25" s="1"/>
  <c r="C17" i="25"/>
  <c r="B17" i="25"/>
  <c r="C16" i="25"/>
  <c r="D16" i="25" s="1"/>
  <c r="X15" i="25"/>
  <c r="S15" i="25"/>
  <c r="C15" i="25"/>
  <c r="D15" i="25" s="1"/>
  <c r="X14" i="25"/>
  <c r="S14" i="25"/>
  <c r="C14" i="25"/>
  <c r="D14" i="25" s="1"/>
  <c r="J13" i="25"/>
  <c r="T12" i="25" s="1"/>
  <c r="X12" i="25"/>
  <c r="N12" i="25"/>
  <c r="C12" i="25"/>
  <c r="D12" i="25" s="1"/>
  <c r="C9" i="25"/>
  <c r="D9" i="25" s="1"/>
  <c r="C8" i="25"/>
  <c r="D8" i="25" s="1"/>
  <c r="C7" i="25"/>
  <c r="D7" i="25" s="1"/>
  <c r="X6" i="25"/>
  <c r="S6" i="25"/>
  <c r="N6" i="25"/>
  <c r="C6" i="25"/>
  <c r="D6" i="25" s="1"/>
  <c r="X5" i="25"/>
  <c r="T5" i="25"/>
  <c r="N5" i="25"/>
  <c r="C5" i="25"/>
  <c r="D5" i="25" s="1"/>
  <c r="AR4" i="25"/>
  <c r="Y4" i="25"/>
  <c r="R4" i="25"/>
  <c r="J4" i="25"/>
  <c r="J20" i="25" s="1"/>
  <c r="J21" i="25" s="1"/>
  <c r="T21" i="25" s="1"/>
  <c r="D4" i="25"/>
  <c r="AR3" i="25"/>
  <c r="W3" i="25"/>
  <c r="H3" i="25"/>
  <c r="I3" i="25" s="1"/>
  <c r="G3" i="25"/>
  <c r="G20" i="25" s="1"/>
  <c r="D3" i="25"/>
  <c r="F40" i="24"/>
  <c r="G40" i="24" s="1"/>
  <c r="AB15" i="25" s="1"/>
  <c r="D40" i="24"/>
  <c r="C39" i="24"/>
  <c r="F38" i="24"/>
  <c r="G38" i="24" s="1"/>
  <c r="AB14" i="25" s="1"/>
  <c r="D38" i="24"/>
  <c r="E37" i="24"/>
  <c r="E39" i="24" s="1"/>
  <c r="C37" i="24"/>
  <c r="D37" i="24" s="1"/>
  <c r="F36" i="24"/>
  <c r="G36" i="24" s="1"/>
  <c r="E35" i="24"/>
  <c r="C35" i="24"/>
  <c r="D35" i="24" s="1"/>
  <c r="B35" i="24"/>
  <c r="F34" i="24"/>
  <c r="G34" i="24" s="1"/>
  <c r="E33" i="24"/>
  <c r="D33" i="24"/>
  <c r="C33" i="24"/>
  <c r="B33" i="24"/>
  <c r="F32" i="24"/>
  <c r="G32" i="24" s="1"/>
  <c r="F31" i="24"/>
  <c r="G31" i="24" s="1"/>
  <c r="F30" i="24"/>
  <c r="G30" i="24" s="1"/>
  <c r="F28" i="24"/>
  <c r="G28" i="24" s="1"/>
  <c r="G43" i="24" s="1"/>
  <c r="D28" i="24"/>
  <c r="C28" i="24"/>
  <c r="F27" i="24"/>
  <c r="G27" i="24" s="1"/>
  <c r="AB5" i="25" s="1"/>
  <c r="C27" i="24"/>
  <c r="F26" i="24"/>
  <c r="G26" i="24" s="1"/>
  <c r="AB12" i="25" s="1"/>
  <c r="E24" i="24"/>
  <c r="B24" i="24"/>
  <c r="C24" i="24" s="1"/>
  <c r="F23" i="24"/>
  <c r="G23" i="24" s="1"/>
  <c r="C23" i="24"/>
  <c r="G22" i="24"/>
  <c r="F22" i="24"/>
  <c r="C22" i="24"/>
  <c r="F21" i="24"/>
  <c r="G21" i="24" s="1"/>
  <c r="C21" i="24"/>
  <c r="F20" i="24"/>
  <c r="G20" i="24" s="1"/>
  <c r="C20" i="24"/>
  <c r="F19" i="24"/>
  <c r="G19" i="24" s="1"/>
  <c r="C19" i="24"/>
  <c r="F18" i="24"/>
  <c r="G18" i="24" s="1"/>
  <c r="C18" i="24"/>
  <c r="F17" i="24"/>
  <c r="G17" i="24" s="1"/>
  <c r="C17" i="24"/>
  <c r="F16" i="24"/>
  <c r="G16" i="24" s="1"/>
  <c r="C16" i="24"/>
  <c r="E15" i="24"/>
  <c r="B15" i="24"/>
  <c r="C15" i="24" s="1"/>
  <c r="D15" i="24" s="1"/>
  <c r="F14" i="24"/>
  <c r="G14" i="24" s="1"/>
  <c r="C14" i="24"/>
  <c r="F13" i="24"/>
  <c r="G13" i="24" s="1"/>
  <c r="C13" i="24"/>
  <c r="F12" i="24"/>
  <c r="G12" i="24" s="1"/>
  <c r="C12" i="24"/>
  <c r="E11" i="24"/>
  <c r="E25" i="24" s="1"/>
  <c r="B11" i="24"/>
  <c r="F10" i="24"/>
  <c r="G10" i="24" s="1"/>
  <c r="C10" i="24"/>
  <c r="F9" i="24"/>
  <c r="G9" i="24" s="1"/>
  <c r="C9" i="24"/>
  <c r="F8" i="24"/>
  <c r="G8" i="24" s="1"/>
  <c r="C8" i="24"/>
  <c r="F7" i="24"/>
  <c r="G7" i="24" s="1"/>
  <c r="C7" i="24"/>
  <c r="F6" i="24"/>
  <c r="G6" i="24" s="1"/>
  <c r="C6" i="24"/>
  <c r="C11" i="24" s="1"/>
  <c r="D11" i="24" s="1"/>
  <c r="F5" i="24"/>
  <c r="G5" i="24" s="1"/>
  <c r="C5" i="24"/>
  <c r="F4" i="24"/>
  <c r="G4" i="24" s="1"/>
  <c r="C4" i="24"/>
  <c r="G83" i="27"/>
  <c r="G33" i="27"/>
  <c r="C19" i="25" l="1"/>
  <c r="AH19" i="25" s="1"/>
  <c r="AA39" i="25"/>
  <c r="AA41" i="25" s="1"/>
  <c r="G47" i="24"/>
  <c r="Z8" i="25"/>
  <c r="G11" i="24"/>
  <c r="G46" i="24"/>
  <c r="Z7" i="25" s="1"/>
  <c r="AH5" i="25"/>
  <c r="AF5" i="25"/>
  <c r="G39" i="24"/>
  <c r="G15" i="24"/>
  <c r="G24" i="24"/>
  <c r="AF12" i="25"/>
  <c r="AH12" i="25"/>
  <c r="AF15" i="25"/>
  <c r="AH15" i="25"/>
  <c r="AH14" i="25"/>
  <c r="AF14" i="25"/>
  <c r="R21" i="25"/>
  <c r="AE4" i="25"/>
  <c r="B20" i="25"/>
  <c r="AH17" i="25"/>
  <c r="AI16" i="25" s="1"/>
  <c r="H33" i="27"/>
  <c r="H26" i="25"/>
  <c r="H27" i="25" s="1"/>
  <c r="X4" i="25"/>
  <c r="X19" i="25" s="1"/>
  <c r="X20" i="25" s="1"/>
  <c r="D18" i="25"/>
  <c r="T6" i="25"/>
  <c r="T13" i="25" s="1"/>
  <c r="D17" i="25"/>
  <c r="AW26" i="25"/>
  <c r="AV27" i="25"/>
  <c r="AV24" i="25" s="1"/>
  <c r="U12" i="25"/>
  <c r="V12" i="25" s="1"/>
  <c r="U5" i="25"/>
  <c r="H25" i="25"/>
  <c r="Y19" i="25"/>
  <c r="Y20" i="25" s="1"/>
  <c r="D24" i="24"/>
  <c r="C25" i="24"/>
  <c r="D25" i="24" s="1"/>
  <c r="C41" i="24"/>
  <c r="D39" i="24"/>
  <c r="AJ15" i="25" l="1"/>
  <c r="AJ14" i="25" s="1"/>
  <c r="G44" i="24"/>
  <c r="AB6" i="25" s="1"/>
  <c r="G41" i="24"/>
  <c r="G42" i="24" s="1"/>
  <c r="G48" i="24"/>
  <c r="Z9" i="25"/>
  <c r="AA8" i="25"/>
  <c r="Z6" i="25"/>
  <c r="G45" i="24"/>
  <c r="AH20" i="25"/>
  <c r="AE20" i="25"/>
  <c r="AF4" i="25"/>
  <c r="AF20" i="25" s="1"/>
  <c r="AH21" i="25" s="1"/>
  <c r="D41" i="24"/>
  <c r="E42" i="24" s="1"/>
  <c r="D20" i="25"/>
  <c r="D21" i="25" s="1"/>
  <c r="G21" i="25" s="1"/>
  <c r="U6" i="25"/>
  <c r="V6" i="25" s="1"/>
  <c r="AU26" i="25"/>
  <c r="AU27" i="25" s="1"/>
  <c r="AW24" i="25"/>
  <c r="V5" i="25"/>
  <c r="U13" i="25"/>
  <c r="W4" i="25" s="1"/>
  <c r="W20" i="25" s="1"/>
  <c r="E41" i="24"/>
  <c r="AA6" i="25" l="1"/>
  <c r="AF6" i="25"/>
  <c r="AH6" i="25"/>
  <c r="AA9" i="25"/>
  <c r="AA7" i="25"/>
  <c r="C20" i="25"/>
  <c r="V13" i="25"/>
  <c r="M26" i="23"/>
  <c r="L41" i="23"/>
  <c r="L25" i="23"/>
  <c r="L27" i="23"/>
  <c r="L24" i="23"/>
  <c r="L15" i="23"/>
  <c r="L11" i="23"/>
  <c r="G48" i="23"/>
  <c r="G37" i="23"/>
  <c r="I38" i="23" s="1"/>
  <c r="G47" i="23"/>
  <c r="G46" i="23"/>
  <c r="G45" i="23"/>
  <c r="G44" i="23"/>
  <c r="I35" i="22" l="1"/>
  <c r="J31" i="22"/>
  <c r="H30" i="22"/>
  <c r="I34" i="22"/>
  <c r="I31" i="22"/>
  <c r="I30" i="22"/>
  <c r="I38" i="22"/>
  <c r="I58" i="22" l="1"/>
  <c r="G32" i="22"/>
  <c r="H33" i="22"/>
  <c r="I32" i="22" l="1"/>
  <c r="F40" i="23"/>
  <c r="D40" i="23"/>
  <c r="G40" i="23" s="1"/>
  <c r="D38" i="23"/>
  <c r="C37" i="23"/>
  <c r="D37" i="23" s="1"/>
  <c r="C35" i="23"/>
  <c r="D35" i="23" s="1"/>
  <c r="B35" i="23"/>
  <c r="C33" i="23"/>
  <c r="C39" i="23" s="1"/>
  <c r="B33" i="23"/>
  <c r="D28" i="23"/>
  <c r="C27" i="23"/>
  <c r="G27" i="23" s="1"/>
  <c r="G26" i="23"/>
  <c r="B24" i="23"/>
  <c r="C24" i="23" s="1"/>
  <c r="C23" i="23"/>
  <c r="C22" i="23"/>
  <c r="C21" i="23"/>
  <c r="C20" i="23"/>
  <c r="C19" i="23"/>
  <c r="C18" i="23"/>
  <c r="C17" i="23"/>
  <c r="C16" i="23"/>
  <c r="B15" i="23"/>
  <c r="C15" i="23" s="1"/>
  <c r="C14" i="23"/>
  <c r="C13" i="23"/>
  <c r="C12" i="23"/>
  <c r="B11" i="23"/>
  <c r="C10" i="23"/>
  <c r="C9" i="23"/>
  <c r="C8" i="23"/>
  <c r="C7" i="23"/>
  <c r="C6" i="23"/>
  <c r="C5" i="23"/>
  <c r="C4" i="23"/>
  <c r="H59" i="22"/>
  <c r="H58" i="22"/>
  <c r="G59" i="22"/>
  <c r="G58" i="22"/>
  <c r="C11" i="23" l="1"/>
  <c r="D11" i="23" s="1"/>
  <c r="D15" i="23"/>
  <c r="G15" i="23"/>
  <c r="G41" i="23" s="1"/>
  <c r="D24" i="23"/>
  <c r="C25" i="23"/>
  <c r="D25" i="23" s="1"/>
  <c r="G24" i="23"/>
  <c r="C41" i="23"/>
  <c r="D39" i="23"/>
  <c r="D41" i="23" s="1"/>
  <c r="D33" i="23"/>
  <c r="G42" i="23" l="1"/>
  <c r="C44" i="23"/>
  <c r="E41" i="23"/>
  <c r="G43" i="23" l="1"/>
  <c r="E42" i="23"/>
  <c r="H69" i="22" l="1"/>
  <c r="I69" i="22" l="1"/>
  <c r="I33" i="22"/>
  <c r="G69" i="22"/>
  <c r="G33" i="22"/>
  <c r="G83" i="22"/>
  <c r="AC20" i="21" l="1"/>
  <c r="Z20" i="21"/>
  <c r="R4" i="21" l="1"/>
  <c r="R19" i="21" s="1"/>
  <c r="S13" i="21"/>
  <c r="S12" i="21"/>
  <c r="N20" i="21" l="1"/>
  <c r="H22" i="21" l="1"/>
  <c r="N5" i="21"/>
  <c r="N10" i="21"/>
  <c r="N6" i="21"/>
  <c r="N18" i="21" l="1"/>
  <c r="N19" i="21" s="1"/>
  <c r="W19" i="21" l="1"/>
  <c r="W18" i="21"/>
  <c r="W17" i="21"/>
  <c r="W16" i="21"/>
  <c r="W4" i="21"/>
  <c r="W3" i="21"/>
  <c r="V11" i="21"/>
  <c r="V10" i="21"/>
  <c r="V6" i="21"/>
  <c r="V5" i="21"/>
  <c r="U11" i="21"/>
  <c r="U10" i="21"/>
  <c r="U6" i="21"/>
  <c r="U5" i="21"/>
  <c r="T11" i="21"/>
  <c r="T10" i="21"/>
  <c r="T6" i="21"/>
  <c r="T5" i="21"/>
  <c r="J11" i="21"/>
  <c r="T19" i="21"/>
  <c r="I3" i="21" l="1"/>
  <c r="H3" i="21"/>
  <c r="AG22" i="21" l="1"/>
  <c r="Y18" i="21" l="1"/>
  <c r="Y17" i="21"/>
  <c r="Y4" i="21"/>
  <c r="X6" i="21"/>
  <c r="X12" i="21"/>
  <c r="X10" i="21"/>
  <c r="X13" i="21"/>
  <c r="X5" i="21"/>
  <c r="J4" i="21"/>
  <c r="J18" i="21"/>
  <c r="X4" i="21" l="1"/>
  <c r="X17" i="21"/>
  <c r="X18" i="21" s="1"/>
  <c r="AG21" i="21" l="1"/>
  <c r="AI27" i="21" s="1"/>
  <c r="AH23" i="21" s="1"/>
  <c r="AG26" i="21"/>
  <c r="AH27" i="21" s="1"/>
  <c r="D18" i="21"/>
  <c r="AH25" i="21" l="1"/>
  <c r="AH22" i="21" s="1"/>
  <c r="AI22" i="21" s="1"/>
  <c r="AI24" i="21"/>
  <c r="C15" i="21"/>
  <c r="C16" i="21"/>
  <c r="AH20" i="21"/>
  <c r="AH18" i="21"/>
  <c r="J19" i="21"/>
  <c r="H23" i="21" s="1"/>
  <c r="AF16" i="21"/>
  <c r="AA16" i="21" s="1"/>
  <c r="F16" i="21"/>
  <c r="AF15" i="21"/>
  <c r="AA15" i="21" s="1"/>
  <c r="F15" i="21"/>
  <c r="F14" i="21"/>
  <c r="B14" i="21" s="1"/>
  <c r="F13" i="21"/>
  <c r="B13" i="21" s="1"/>
  <c r="F10" i="21"/>
  <c r="B10" i="21" s="1"/>
  <c r="F12" i="21"/>
  <c r="B12" i="21" s="1"/>
  <c r="F9" i="21"/>
  <c r="B9" i="21" s="1"/>
  <c r="F8" i="21"/>
  <c r="B8" i="21" s="1"/>
  <c r="F7" i="21"/>
  <c r="B7" i="21" s="1"/>
  <c r="F5" i="21"/>
  <c r="B5" i="21" s="1"/>
  <c r="F6" i="21"/>
  <c r="B6" i="21" s="1"/>
  <c r="AD4" i="21"/>
  <c r="B4" i="21"/>
  <c r="AD3" i="21"/>
  <c r="B3" i="21"/>
  <c r="B16" i="21" l="1"/>
  <c r="H24" i="21"/>
  <c r="H25" i="21" s="1"/>
  <c r="B15" i="21"/>
  <c r="R19" i="17"/>
  <c r="R21" i="17" s="1"/>
  <c r="B18" i="21" l="1"/>
  <c r="B19" i="21" s="1"/>
  <c r="G19" i="21" s="1"/>
  <c r="P30" i="20"/>
  <c r="AC30" i="20"/>
  <c r="S30" i="20"/>
  <c r="P1" i="20" l="1"/>
  <c r="S1" i="20"/>
  <c r="AC1" i="20"/>
  <c r="B2" i="20"/>
  <c r="C2" i="20" s="1"/>
  <c r="F2" i="20" s="1"/>
  <c r="D2" i="20"/>
  <c r="L4" i="20"/>
  <c r="M4" i="20"/>
  <c r="U4" i="20"/>
  <c r="V4" i="20"/>
  <c r="AE4" i="20"/>
  <c r="AF4" i="20"/>
  <c r="L5" i="20"/>
  <c r="M5" i="20"/>
  <c r="U5" i="20"/>
  <c r="V5" i="20"/>
  <c r="AE5" i="20"/>
  <c r="AF5" i="20"/>
  <c r="L6" i="20"/>
  <c r="M6" i="20"/>
  <c r="U6" i="20"/>
  <c r="V6" i="20"/>
  <c r="W6" i="20" s="1"/>
  <c r="X6" i="20" s="1"/>
  <c r="AE6" i="20"/>
  <c r="AF6" i="20"/>
  <c r="AG6" i="20" s="1"/>
  <c r="AH6" i="20" s="1"/>
  <c r="K7" i="20"/>
  <c r="T7" i="20"/>
  <c r="AD7" i="20"/>
  <c r="AF7" i="20" s="1"/>
  <c r="M8" i="20"/>
  <c r="T8" i="20"/>
  <c r="V8" i="20" s="1"/>
  <c r="AD8" i="20"/>
  <c r="AF8" i="20" s="1"/>
  <c r="L9" i="20"/>
  <c r="M9" i="20"/>
  <c r="N9" i="20" s="1"/>
  <c r="R9" i="20" s="1"/>
  <c r="U9" i="20"/>
  <c r="V9" i="20"/>
  <c r="AE9" i="20"/>
  <c r="AF9" i="20"/>
  <c r="L10" i="20"/>
  <c r="M10" i="20"/>
  <c r="N10" i="20" s="1"/>
  <c r="U10" i="20"/>
  <c r="V10" i="20"/>
  <c r="W10" i="20" s="1"/>
  <c r="AE10" i="20"/>
  <c r="AF10" i="20"/>
  <c r="L11" i="20"/>
  <c r="M11" i="20"/>
  <c r="N11" i="20" s="1"/>
  <c r="Q11" i="20" s="1"/>
  <c r="U11" i="20"/>
  <c r="V11" i="20"/>
  <c r="W11" i="20" s="1"/>
  <c r="AE11" i="20"/>
  <c r="AF11" i="20"/>
  <c r="AG11" i="20" s="1"/>
  <c r="L12" i="20"/>
  <c r="M12" i="20"/>
  <c r="U12" i="20"/>
  <c r="V12" i="20"/>
  <c r="W12" i="20" s="1"/>
  <c r="AB12" i="20" s="1"/>
  <c r="AE12" i="20"/>
  <c r="AF12" i="20"/>
  <c r="AG12" i="20" s="1"/>
  <c r="AH12" i="20" s="1"/>
  <c r="L13" i="20"/>
  <c r="Q13" i="20"/>
  <c r="R13" i="20"/>
  <c r="U13" i="20"/>
  <c r="X13" i="20"/>
  <c r="Y13" i="20"/>
  <c r="AA13" i="20"/>
  <c r="AB13" i="20"/>
  <c r="AE13" i="20"/>
  <c r="AH13" i="20"/>
  <c r="AI13" i="20"/>
  <c r="AK13" i="20"/>
  <c r="AL13" i="20"/>
  <c r="L14" i="20"/>
  <c r="Q14" i="20"/>
  <c r="R14" i="20"/>
  <c r="U14" i="20"/>
  <c r="X14" i="20"/>
  <c r="Y14" i="20"/>
  <c r="AA14" i="20"/>
  <c r="AB14" i="20"/>
  <c r="AE14" i="20"/>
  <c r="AH14" i="20"/>
  <c r="AI14" i="20"/>
  <c r="AK14" i="20"/>
  <c r="AL14" i="20"/>
  <c r="L15" i="20"/>
  <c r="Q15" i="20"/>
  <c r="R15" i="20"/>
  <c r="U15" i="20"/>
  <c r="X15" i="20"/>
  <c r="Y15" i="20"/>
  <c r="AA15" i="20"/>
  <c r="AB15" i="20"/>
  <c r="AE15" i="20"/>
  <c r="AH15" i="20"/>
  <c r="AI15" i="20"/>
  <c r="AK15" i="20"/>
  <c r="AL15" i="20"/>
  <c r="L16" i="20"/>
  <c r="Q16" i="20"/>
  <c r="R16" i="20"/>
  <c r="U16" i="20"/>
  <c r="X16" i="20"/>
  <c r="Y16" i="20"/>
  <c r="AA16" i="20"/>
  <c r="AB16" i="20"/>
  <c r="AE16" i="20"/>
  <c r="AH16" i="20"/>
  <c r="AI16" i="20"/>
  <c r="AK16" i="20"/>
  <c r="AL16" i="20"/>
  <c r="L17" i="20"/>
  <c r="Q17" i="20"/>
  <c r="R17" i="20"/>
  <c r="U17" i="20"/>
  <c r="X17" i="20"/>
  <c r="Y17" i="20"/>
  <c r="AA17" i="20"/>
  <c r="AB17" i="20"/>
  <c r="AE17" i="20"/>
  <c r="AH17" i="20"/>
  <c r="AI17" i="20"/>
  <c r="AK17" i="20"/>
  <c r="AL17" i="20"/>
  <c r="L18" i="20"/>
  <c r="K18" i="20" s="1"/>
  <c r="T18" i="20"/>
  <c r="AD18" i="20"/>
  <c r="AF18" i="20" s="1"/>
  <c r="L19" i="20"/>
  <c r="K19" i="20" s="1"/>
  <c r="M19" i="20" s="1"/>
  <c r="T19" i="20"/>
  <c r="V19" i="20" s="1"/>
  <c r="AD19" i="20"/>
  <c r="AF19" i="20" s="1"/>
  <c r="L20" i="20"/>
  <c r="M20" i="20"/>
  <c r="N20" i="20" s="1"/>
  <c r="R20" i="20" s="1"/>
  <c r="U20" i="20"/>
  <c r="V20" i="20"/>
  <c r="AE20" i="20"/>
  <c r="AF20" i="20"/>
  <c r="L21" i="20"/>
  <c r="M21" i="20"/>
  <c r="U21" i="20"/>
  <c r="V21" i="20"/>
  <c r="W21" i="20" s="1"/>
  <c r="Y21" i="20" s="1"/>
  <c r="AE21" i="20"/>
  <c r="AF21" i="20"/>
  <c r="AG21" i="20" s="1"/>
  <c r="AK21" i="20" s="1"/>
  <c r="L22" i="20"/>
  <c r="M22" i="20"/>
  <c r="N22" i="20" s="1"/>
  <c r="Q22" i="20" s="1"/>
  <c r="U22" i="20"/>
  <c r="V22" i="20"/>
  <c r="AE22" i="20"/>
  <c r="AF22" i="20"/>
  <c r="L23" i="20"/>
  <c r="M23" i="20"/>
  <c r="U23" i="20"/>
  <c r="V23" i="20"/>
  <c r="W23" i="20" s="1"/>
  <c r="AB23" i="20" s="1"/>
  <c r="AE23" i="20"/>
  <c r="AF23" i="20"/>
  <c r="AG23" i="20" s="1"/>
  <c r="L24" i="20"/>
  <c r="M24" i="20"/>
  <c r="N24" i="20" s="1"/>
  <c r="Q24" i="20" s="1"/>
  <c r="U24" i="20"/>
  <c r="V24" i="20"/>
  <c r="AE24" i="20"/>
  <c r="AF24" i="20"/>
  <c r="L25" i="20"/>
  <c r="M25" i="20"/>
  <c r="U25" i="20"/>
  <c r="V25" i="20"/>
  <c r="W25" i="20" s="1"/>
  <c r="AE25" i="20"/>
  <c r="AF25" i="20"/>
  <c r="L26" i="20"/>
  <c r="M26" i="20"/>
  <c r="N26" i="20" s="1"/>
  <c r="R26" i="20" s="1"/>
  <c r="U26" i="20"/>
  <c r="V26" i="20"/>
  <c r="AE26" i="20"/>
  <c r="AF26" i="20"/>
  <c r="L27" i="20"/>
  <c r="M27" i="20"/>
  <c r="N27" i="20" s="1"/>
  <c r="U27" i="20"/>
  <c r="V27" i="20"/>
  <c r="W27" i="20" s="1"/>
  <c r="Y27" i="20" s="1"/>
  <c r="AE27" i="20"/>
  <c r="AF27" i="20"/>
  <c r="AG27" i="20" s="1"/>
  <c r="AI27" i="20" s="1"/>
  <c r="L28" i="20"/>
  <c r="M28" i="20"/>
  <c r="N28" i="20" s="1"/>
  <c r="R28" i="20" s="1"/>
  <c r="U28" i="20"/>
  <c r="V28" i="20"/>
  <c r="AE28" i="20"/>
  <c r="AF28" i="20"/>
  <c r="L29" i="20"/>
  <c r="M29" i="20"/>
  <c r="U29" i="20"/>
  <c r="V29" i="20"/>
  <c r="W29" i="20" s="1"/>
  <c r="AE29" i="20"/>
  <c r="AF29" i="20"/>
  <c r="L30" i="20"/>
  <c r="Q30" i="20"/>
  <c r="R30" i="20"/>
  <c r="U30" i="20"/>
  <c r="X30" i="20"/>
  <c r="Y30" i="20"/>
  <c r="AJ30" i="20"/>
  <c r="AM30" i="20"/>
  <c r="N6" i="20" l="1"/>
  <c r="R6" i="20" s="1"/>
  <c r="AA21" i="20"/>
  <c r="AI21" i="20"/>
  <c r="R22" i="20"/>
  <c r="AM17" i="20"/>
  <c r="AM14" i="20"/>
  <c r="AA29" i="20"/>
  <c r="X29" i="20"/>
  <c r="AB29" i="20"/>
  <c r="Y25" i="20"/>
  <c r="Y29" i="20"/>
  <c r="AK27" i="20"/>
  <c r="AA27" i="20"/>
  <c r="Q27" i="20"/>
  <c r="E2" i="20"/>
  <c r="AA10" i="20"/>
  <c r="AG19" i="20"/>
  <c r="AK19" i="20" s="1"/>
  <c r="Z17" i="20"/>
  <c r="AM15" i="20"/>
  <c r="AK6" i="20"/>
  <c r="Y6" i="20"/>
  <c r="AJ15" i="20"/>
  <c r="W24" i="20"/>
  <c r="AB24" i="20" s="1"/>
  <c r="X12" i="20"/>
  <c r="AA12" i="20"/>
  <c r="W4" i="20"/>
  <c r="AB4" i="20" s="1"/>
  <c r="Z30" i="20"/>
  <c r="AN30" i="20" s="1"/>
  <c r="AG25" i="20"/>
  <c r="AL25" i="20" s="1"/>
  <c r="AM16" i="20"/>
  <c r="AJ13" i="20"/>
  <c r="AK12" i="20"/>
  <c r="AG10" i="20"/>
  <c r="AH10" i="20" s="1"/>
  <c r="X10" i="20"/>
  <c r="Y10" i="20"/>
  <c r="X23" i="20"/>
  <c r="Y23" i="20"/>
  <c r="AG29" i="20"/>
  <c r="AK29" i="20" s="1"/>
  <c r="X25" i="20"/>
  <c r="AA25" i="20"/>
  <c r="R24" i="20"/>
  <c r="N19" i="20"/>
  <c r="Q19" i="20" s="1"/>
  <c r="AJ17" i="20"/>
  <c r="Z16" i="20"/>
  <c r="N5" i="20"/>
  <c r="Q5" i="20" s="1"/>
  <c r="AG24" i="20"/>
  <c r="AH24" i="20" s="1"/>
  <c r="AJ16" i="20"/>
  <c r="Z15" i="20"/>
  <c r="Z14" i="20"/>
  <c r="V7" i="20"/>
  <c r="AI6" i="20"/>
  <c r="AA6" i="20"/>
  <c r="AG4" i="20"/>
  <c r="AL4" i="20" s="1"/>
  <c r="AH27" i="20"/>
  <c r="X27" i="20"/>
  <c r="AH21" i="20"/>
  <c r="AJ14" i="20"/>
  <c r="AM13" i="20"/>
  <c r="Z13" i="20"/>
  <c r="Q9" i="20"/>
  <c r="U1" i="20"/>
  <c r="AG8" i="20"/>
  <c r="AL8" i="20" s="1"/>
  <c r="K1" i="20"/>
  <c r="AE1" i="20"/>
  <c r="AG28" i="20"/>
  <c r="N29" i="20"/>
  <c r="R29" i="20" s="1"/>
  <c r="W22" i="20"/>
  <c r="AB22" i="20" s="1"/>
  <c r="W26" i="20"/>
  <c r="Y26" i="20" s="1"/>
  <c r="N25" i="20"/>
  <c r="W19" i="20"/>
  <c r="X19" i="20" s="1"/>
  <c r="AG26" i="20"/>
  <c r="AK26" i="20" s="1"/>
  <c r="AI23" i="20"/>
  <c r="AK23" i="20"/>
  <c r="W28" i="20"/>
  <c r="Q28" i="20"/>
  <c r="Q26" i="20"/>
  <c r="AG20" i="20"/>
  <c r="N21" i="20"/>
  <c r="R21" i="20" s="1"/>
  <c r="O1" i="20"/>
  <c r="AL27" i="20"/>
  <c r="AB27" i="20"/>
  <c r="R27" i="20"/>
  <c r="AA23" i="20"/>
  <c r="AG22" i="20"/>
  <c r="AK22" i="20" s="1"/>
  <c r="X21" i="20"/>
  <c r="V18" i="20"/>
  <c r="W18" i="20" s="1"/>
  <c r="AB25" i="20"/>
  <c r="AH23" i="20"/>
  <c r="N23" i="20"/>
  <c r="Q23" i="20" s="1"/>
  <c r="W20" i="20"/>
  <c r="Q20" i="20"/>
  <c r="L1" i="20"/>
  <c r="AL23" i="20"/>
  <c r="AL21" i="20"/>
  <c r="AM21" i="20" s="1"/>
  <c r="AB21" i="20"/>
  <c r="AG18" i="20"/>
  <c r="AI18" i="20" s="1"/>
  <c r="M18" i="20"/>
  <c r="N18" i="20" s="1"/>
  <c r="W8" i="20"/>
  <c r="AB8" i="20" s="1"/>
  <c r="AD1" i="20"/>
  <c r="T1" i="20"/>
  <c r="N12" i="20"/>
  <c r="Q12" i="20" s="1"/>
  <c r="AI11" i="20"/>
  <c r="Y11" i="20"/>
  <c r="AB10" i="20"/>
  <c r="AG9" i="20"/>
  <c r="AI9" i="20" s="1"/>
  <c r="W9" i="20"/>
  <c r="N8" i="20"/>
  <c r="Q8" i="20" s="1"/>
  <c r="M7" i="20"/>
  <c r="AL6" i="20"/>
  <c r="AB6" i="20"/>
  <c r="AG5" i="20"/>
  <c r="AI5" i="20" s="1"/>
  <c r="W5" i="20"/>
  <c r="Y5" i="20" s="1"/>
  <c r="N4" i="20"/>
  <c r="AI12" i="20"/>
  <c r="Y12" i="20"/>
  <c r="AL11" i="20"/>
  <c r="AH11" i="20"/>
  <c r="AB11" i="20"/>
  <c r="X11" i="20"/>
  <c r="R11" i="20"/>
  <c r="AL12" i="20"/>
  <c r="AK11" i="20"/>
  <c r="AA11" i="20"/>
  <c r="AG7" i="20"/>
  <c r="AK7" i="20" s="1"/>
  <c r="J35" i="18"/>
  <c r="J34" i="18"/>
  <c r="J33" i="18"/>
  <c r="F34" i="18"/>
  <c r="F36" i="18" s="1"/>
  <c r="D34" i="18"/>
  <c r="D36" i="18" s="1"/>
  <c r="B34" i="18"/>
  <c r="B36" i="18" s="1"/>
  <c r="J26" i="18"/>
  <c r="J25" i="18"/>
  <c r="J24" i="18"/>
  <c r="F27" i="18"/>
  <c r="F25" i="18"/>
  <c r="F26" i="18" s="1"/>
  <c r="D25" i="18"/>
  <c r="D27" i="18" s="1"/>
  <c r="B25" i="18"/>
  <c r="B27" i="18" s="1"/>
  <c r="F18" i="18"/>
  <c r="D18" i="18"/>
  <c r="B18" i="18"/>
  <c r="K8" i="18"/>
  <c r="J8" i="18"/>
  <c r="G7" i="18"/>
  <c r="G8" i="18" s="1"/>
  <c r="F7" i="18"/>
  <c r="F9" i="18" s="1"/>
  <c r="J7" i="18"/>
  <c r="K7" i="18"/>
  <c r="E9" i="18"/>
  <c r="E8" i="18"/>
  <c r="E7" i="18"/>
  <c r="D7" i="18"/>
  <c r="D9" i="18" s="1"/>
  <c r="C7" i="18"/>
  <c r="C9" i="18" s="1"/>
  <c r="J6" i="18"/>
  <c r="K6" i="18"/>
  <c r="B7" i="18"/>
  <c r="B9" i="18" s="1"/>
  <c r="I17" i="17"/>
  <c r="I18" i="17" s="1"/>
  <c r="Q6" i="20" l="1"/>
  <c r="F35" i="18"/>
  <c r="D26" i="18"/>
  <c r="D35" i="18"/>
  <c r="B26" i="18"/>
  <c r="B35" i="18"/>
  <c r="AN15" i="20"/>
  <c r="AL10" i="20"/>
  <c r="AL29" i="20"/>
  <c r="AM29" i="20" s="1"/>
  <c r="AI19" i="20"/>
  <c r="AH19" i="20"/>
  <c r="R23" i="20"/>
  <c r="Z23" i="20" s="1"/>
  <c r="Z6" i="20"/>
  <c r="AJ27" i="20"/>
  <c r="AH8" i="20"/>
  <c r="AK24" i="20"/>
  <c r="AJ12" i="20"/>
  <c r="Z27" i="20"/>
  <c r="AM12" i="20"/>
  <c r="AM6" i="20"/>
  <c r="AK18" i="20"/>
  <c r="AI24" i="20"/>
  <c r="AN17" i="20"/>
  <c r="Z11" i="20"/>
  <c r="AA8" i="20"/>
  <c r="AL19" i="20"/>
  <c r="AM19" i="20" s="1"/>
  <c r="Y24" i="20"/>
  <c r="AM27" i="20"/>
  <c r="X26" i="20"/>
  <c r="Z26" i="20" s="1"/>
  <c r="AK8" i="20"/>
  <c r="AM8" i="20" s="1"/>
  <c r="AN14" i="20"/>
  <c r="AL24" i="20"/>
  <c r="X24" i="20"/>
  <c r="AM11" i="20"/>
  <c r="Z10" i="20"/>
  <c r="AJ6" i="20"/>
  <c r="Y8" i="20"/>
  <c r="AJ21" i="20"/>
  <c r="AA24" i="20"/>
  <c r="AI8" i="20"/>
  <c r="AN13" i="20"/>
  <c r="R5" i="20"/>
  <c r="R8" i="20"/>
  <c r="AK5" i="20"/>
  <c r="AK20" i="20"/>
  <c r="AH20" i="20"/>
  <c r="AM23" i="20"/>
  <c r="AA22" i="20"/>
  <c r="Y22" i="20"/>
  <c r="X22" i="20"/>
  <c r="W7" i="20"/>
  <c r="AA7" i="20" s="1"/>
  <c r="Y4" i="20"/>
  <c r="AA4" i="20"/>
  <c r="X4" i="20"/>
  <c r="X28" i="20"/>
  <c r="AB28" i="20"/>
  <c r="AA28" i="20"/>
  <c r="AK28" i="20"/>
  <c r="AL28" i="20"/>
  <c r="AI4" i="20"/>
  <c r="AK4" i="20"/>
  <c r="AM4" i="20" s="1"/>
  <c r="AH4" i="20"/>
  <c r="AN16" i="20"/>
  <c r="AH25" i="20"/>
  <c r="AI25" i="20"/>
  <c r="R19" i="20"/>
  <c r="V1" i="20"/>
  <c r="AH7" i="20"/>
  <c r="AA5" i="20"/>
  <c r="AI7" i="20"/>
  <c r="X8" i="20"/>
  <c r="AB19" i="20"/>
  <c r="Y19" i="20"/>
  <c r="AA19" i="20"/>
  <c r="Q25" i="20"/>
  <c r="R25" i="20"/>
  <c r="AK25" i="20"/>
  <c r="AM25" i="20" s="1"/>
  <c r="AH29" i="20"/>
  <c r="AI29" i="20"/>
  <c r="AI10" i="20"/>
  <c r="AJ10" i="20" s="1"/>
  <c r="AK10" i="20"/>
  <c r="N7" i="20"/>
  <c r="R7" i="20" s="1"/>
  <c r="X9" i="20"/>
  <c r="AB9" i="20"/>
  <c r="AA9" i="20"/>
  <c r="Y9" i="20"/>
  <c r="AF1" i="20"/>
  <c r="M1" i="20"/>
  <c r="X5" i="20"/>
  <c r="AB5" i="20"/>
  <c r="R18" i="20"/>
  <c r="Q18" i="20"/>
  <c r="AL18" i="20"/>
  <c r="Q21" i="20"/>
  <c r="Z21" i="20" s="1"/>
  <c r="AL20" i="20"/>
  <c r="AL26" i="20"/>
  <c r="AM26" i="20" s="1"/>
  <c r="AI26" i="20"/>
  <c r="AA26" i="20"/>
  <c r="Q29" i="20"/>
  <c r="Z29" i="20" s="1"/>
  <c r="AI28" i="20"/>
  <c r="AB20" i="20"/>
  <c r="X20" i="20"/>
  <c r="AJ23" i="20"/>
  <c r="AJ11" i="20"/>
  <c r="AH18" i="20"/>
  <c r="AH22" i="20"/>
  <c r="AL22" i="20"/>
  <c r="AM22" i="20" s="1"/>
  <c r="AI20" i="20"/>
  <c r="AH26" i="20"/>
  <c r="AH28" i="20"/>
  <c r="AH9" i="20"/>
  <c r="AL9" i="20"/>
  <c r="Y20" i="20"/>
  <c r="X18" i="20"/>
  <c r="AB18" i="20"/>
  <c r="AA18" i="20"/>
  <c r="Y18" i="20"/>
  <c r="AL7" i="20"/>
  <c r="AM7" i="20" s="1"/>
  <c r="Q4" i="20"/>
  <c r="AH5" i="20"/>
  <c r="AL5" i="20"/>
  <c r="AK9" i="20"/>
  <c r="R4" i="20"/>
  <c r="R12" i="20"/>
  <c r="Z12" i="20" s="1"/>
  <c r="AA20" i="20"/>
  <c r="AI22" i="20"/>
  <c r="Y28" i="20"/>
  <c r="AB26" i="20"/>
  <c r="B8" i="18"/>
  <c r="C8" i="18"/>
  <c r="D8" i="18"/>
  <c r="F8" i="18"/>
  <c r="G9" i="18"/>
  <c r="AM5" i="20" l="1"/>
  <c r="AM18" i="20"/>
  <c r="AM10" i="20"/>
  <c r="AN10" i="20" s="1"/>
  <c r="Z8" i="20"/>
  <c r="AM24" i="20"/>
  <c r="Z22" i="20"/>
  <c r="AN23" i="20"/>
  <c r="AN27" i="20"/>
  <c r="AN6" i="20"/>
  <c r="AJ24" i="20"/>
  <c r="AM9" i="20"/>
  <c r="AJ5" i="20"/>
  <c r="AM20" i="20"/>
  <c r="Z19" i="20"/>
  <c r="Z24" i="20"/>
  <c r="AN12" i="20"/>
  <c r="AJ8" i="20"/>
  <c r="AN21" i="20"/>
  <c r="AJ19" i="20"/>
  <c r="Z28" i="20"/>
  <c r="AJ22" i="20"/>
  <c r="Z9" i="20"/>
  <c r="AJ25" i="20"/>
  <c r="AN11" i="20"/>
  <c r="AJ20" i="20"/>
  <c r="AJ18" i="20"/>
  <c r="AJ28" i="20"/>
  <c r="Z20" i="20"/>
  <c r="AJ29" i="20"/>
  <c r="AN29" i="20" s="1"/>
  <c r="Z25" i="20"/>
  <c r="AM28" i="20"/>
  <c r="AJ4" i="20"/>
  <c r="Y7" i="20"/>
  <c r="Y2" i="20" s="1"/>
  <c r="AB7" i="20"/>
  <c r="AJ7" i="20" s="1"/>
  <c r="X7" i="20"/>
  <c r="Z18" i="20"/>
  <c r="Q7" i="20"/>
  <c r="AG1" i="20"/>
  <c r="AJ26" i="20"/>
  <c r="AN26" i="20" s="1"/>
  <c r="Z4" i="20"/>
  <c r="W1" i="20"/>
  <c r="N1" i="20"/>
  <c r="Z5" i="20"/>
  <c r="AJ9" i="20"/>
  <c r="G45" i="18"/>
  <c r="E45" i="18"/>
  <c r="C45" i="18"/>
  <c r="J49" i="18" l="1"/>
  <c r="G48" i="18"/>
  <c r="C48" i="18"/>
  <c r="J47" i="18"/>
  <c r="E48" i="18"/>
  <c r="J48" i="18"/>
  <c r="AN22" i="20"/>
  <c r="AN18" i="20"/>
  <c r="AN8" i="20"/>
  <c r="AN19" i="20"/>
  <c r="AN28" i="20"/>
  <c r="AN24" i="20"/>
  <c r="AN5" i="20"/>
  <c r="Z7" i="20"/>
  <c r="AN7" i="20" s="1"/>
  <c r="AN25" i="20"/>
  <c r="AA2" i="20"/>
  <c r="AI2" i="20"/>
  <c r="AN20" i="20"/>
  <c r="AH2" i="20"/>
  <c r="X2" i="20"/>
  <c r="AB2" i="20"/>
  <c r="AK2" i="20"/>
  <c r="AN9" i="20"/>
  <c r="R2" i="20"/>
  <c r="AN4" i="20"/>
  <c r="AL2" i="20"/>
  <c r="Q2" i="20"/>
  <c r="H5" i="18"/>
  <c r="H10" i="18"/>
  <c r="H20" i="18"/>
  <c r="H21" i="18"/>
  <c r="H29" i="18"/>
  <c r="H30" i="18"/>
  <c r="H39" i="18"/>
  <c r="H45" i="18"/>
  <c r="H46" i="18" s="1"/>
  <c r="D46" i="18"/>
  <c r="F46" i="18"/>
  <c r="C50" i="18" l="1"/>
  <c r="C49" i="18"/>
  <c r="G50" i="18"/>
  <c r="G49" i="18"/>
  <c r="E50" i="18"/>
  <c r="E49" i="18"/>
  <c r="AJ2" i="20"/>
  <c r="Z2" i="20"/>
  <c r="AN2" i="20"/>
  <c r="AM2" i="20"/>
  <c r="B77" i="16"/>
  <c r="C77" i="16" l="1"/>
  <c r="C80" i="16"/>
  <c r="C79" i="16"/>
  <c r="B80" i="16"/>
  <c r="B79" i="16"/>
  <c r="E20" i="16" l="1"/>
  <c r="E26" i="16"/>
  <c r="E27" i="16"/>
  <c r="J31" i="17" l="1"/>
  <c r="E64" i="16"/>
  <c r="E52" i="16"/>
  <c r="E38" i="16"/>
  <c r="E12" i="16"/>
  <c r="E100" i="15" l="1"/>
  <c r="E99" i="15" l="1"/>
  <c r="E98" i="15"/>
  <c r="E99" i="16"/>
  <c r="G87" i="16" l="1"/>
  <c r="C87" i="16"/>
  <c r="B87" i="16"/>
  <c r="H87" i="16" l="1"/>
  <c r="C82" i="16"/>
  <c r="H82" i="16"/>
  <c r="B82" i="16"/>
  <c r="B81" i="16"/>
  <c r="C81" i="16" l="1"/>
  <c r="E5" i="16" l="1"/>
  <c r="E24" i="16" l="1"/>
  <c r="D83" i="16" l="1"/>
  <c r="E83" i="16"/>
  <c r="G28" i="16" l="1"/>
  <c r="E6" i="17" l="1"/>
  <c r="F6" i="17" s="1"/>
  <c r="E7" i="17"/>
  <c r="F7" i="17" s="1"/>
  <c r="E8" i="17"/>
  <c r="F8" i="17" s="1"/>
  <c r="E9" i="17"/>
  <c r="F9" i="17" s="1"/>
  <c r="E11" i="17"/>
  <c r="F11" i="17" s="1"/>
  <c r="E12" i="17"/>
  <c r="F12" i="17" s="1"/>
  <c r="E5" i="17"/>
  <c r="F5" i="17" s="1"/>
  <c r="E15" i="17" l="1"/>
  <c r="E14" i="17"/>
  <c r="B15" i="17"/>
  <c r="B14" i="17"/>
  <c r="P15" i="17"/>
  <c r="K15" i="17" s="1"/>
  <c r="P14" i="17"/>
  <c r="K14" i="17" s="1"/>
  <c r="F4" i="17"/>
  <c r="F3" i="17"/>
  <c r="N4" i="17"/>
  <c r="N3" i="17"/>
  <c r="F14" i="17" l="1"/>
  <c r="F15" i="17"/>
  <c r="F17" i="17" l="1"/>
  <c r="F18" i="17" s="1"/>
  <c r="G18" i="17" s="1"/>
  <c r="E13" i="17"/>
  <c r="F13" i="17" s="1"/>
  <c r="E10" i="17"/>
  <c r="F10" i="17" s="1"/>
  <c r="R17" i="17"/>
  <c r="H79" i="16" l="1"/>
  <c r="H81" i="16"/>
  <c r="G72" i="16"/>
  <c r="H72" i="16" s="1"/>
  <c r="G71" i="16"/>
  <c r="H71" i="16" s="1"/>
  <c r="G69" i="16"/>
  <c r="H69" i="16" s="1"/>
  <c r="G67" i="16"/>
  <c r="H67" i="16" s="1"/>
  <c r="H65" i="16"/>
  <c r="G60" i="16"/>
  <c r="H60" i="16" s="1"/>
  <c r="G59" i="16"/>
  <c r="H59" i="16" s="1"/>
  <c r="G57" i="16"/>
  <c r="H57" i="16" s="1"/>
  <c r="G55" i="16"/>
  <c r="H55" i="16" s="1"/>
  <c r="H53" i="16"/>
  <c r="G51" i="16"/>
  <c r="H51" i="16" s="1"/>
  <c r="G50" i="16"/>
  <c r="H50" i="16" s="1"/>
  <c r="G46" i="16"/>
  <c r="H46" i="16" s="1"/>
  <c r="G45" i="16"/>
  <c r="H45" i="16" s="1"/>
  <c r="G43" i="16"/>
  <c r="H43" i="16" s="1"/>
  <c r="G41" i="16"/>
  <c r="H41" i="16" s="1"/>
  <c r="H39" i="16"/>
  <c r="G35" i="16"/>
  <c r="H35" i="16" s="1"/>
  <c r="E22" i="15"/>
  <c r="H25" i="16"/>
  <c r="H24" i="16"/>
  <c r="H13" i="16"/>
  <c r="G10" i="16"/>
  <c r="H10" i="16" s="1"/>
  <c r="G9" i="16"/>
  <c r="G8" i="16"/>
  <c r="G7" i="16"/>
  <c r="G6" i="16"/>
  <c r="I25" i="16" l="1"/>
  <c r="H7" i="16" l="1"/>
  <c r="H8" i="16"/>
  <c r="H9" i="16"/>
  <c r="H28" i="16" l="1"/>
  <c r="G29" i="16"/>
  <c r="H29" i="16" s="1"/>
  <c r="G27" i="16"/>
  <c r="H27" i="16" s="1"/>
  <c r="G26" i="16"/>
  <c r="H26" i="16" s="1"/>
  <c r="G31" i="16"/>
  <c r="H31" i="16" s="1"/>
  <c r="G20" i="16"/>
  <c r="H20" i="16" s="1"/>
  <c r="G19" i="16"/>
  <c r="H19" i="16" s="1"/>
  <c r="G17" i="16"/>
  <c r="H17" i="16" s="1"/>
  <c r="G15" i="16"/>
  <c r="H15" i="16" s="1"/>
  <c r="G37" i="16"/>
  <c r="H37" i="16" s="1"/>
  <c r="G36" i="16"/>
  <c r="H36" i="16" s="1"/>
  <c r="G11" i="16"/>
  <c r="H11" i="16" s="1"/>
  <c r="G30" i="16"/>
  <c r="H30" i="16" s="1"/>
  <c r="H6" i="16"/>
  <c r="D86" i="16" l="1"/>
  <c r="E84" i="16"/>
  <c r="D84" i="16"/>
  <c r="E78" i="16"/>
  <c r="D78" i="16"/>
  <c r="D87" i="16" l="1"/>
  <c r="E87" i="16" s="1"/>
  <c r="I87" i="16" s="1"/>
  <c r="E86" i="16"/>
  <c r="D76" i="16"/>
  <c r="E77" i="16" l="1"/>
  <c r="E79" i="16"/>
  <c r="I79" i="16" s="1"/>
  <c r="E65" i="16"/>
  <c r="I65" i="16" s="1"/>
  <c r="D64" i="16"/>
  <c r="E53" i="16"/>
  <c r="I53" i="16" s="1"/>
  <c r="D52" i="16"/>
  <c r="D49" i="16"/>
  <c r="I50" i="16"/>
  <c r="D38" i="16"/>
  <c r="E40" i="16"/>
  <c r="E42" i="16" s="1"/>
  <c r="D12" i="16"/>
  <c r="I35" i="16"/>
  <c r="D34" i="16"/>
  <c r="I36" i="16" s="1"/>
  <c r="H77" i="16" l="1"/>
  <c r="I77" i="16" s="1"/>
  <c r="D81" i="16"/>
  <c r="E81" i="16" s="1"/>
  <c r="I82" i="16" s="1"/>
  <c r="E80" i="16"/>
  <c r="I81" i="16" s="1"/>
  <c r="D82" i="16"/>
  <c r="E82" i="16" s="1"/>
  <c r="E54" i="16"/>
  <c r="E66" i="16"/>
  <c r="E39" i="16"/>
  <c r="I24" i="16"/>
  <c r="E30" i="16"/>
  <c r="I30" i="16" s="1"/>
  <c r="E29" i="16"/>
  <c r="I29" i="16" s="1"/>
  <c r="I27" i="16"/>
  <c r="I26" i="16"/>
  <c r="I20" i="16"/>
  <c r="I11" i="16"/>
  <c r="I80" i="16" l="1"/>
  <c r="I88" i="16" s="1"/>
  <c r="E41" i="16"/>
  <c r="I41" i="16" s="1"/>
  <c r="I39" i="16"/>
  <c r="E7" i="16"/>
  <c r="I7" i="16" s="1"/>
  <c r="E8" i="16"/>
  <c r="I8" i="16" s="1"/>
  <c r="E6" i="16"/>
  <c r="I6" i="16" s="1"/>
  <c r="E9" i="16"/>
  <c r="I9" i="16" s="1"/>
  <c r="E43" i="16"/>
  <c r="I43" i="16" s="1"/>
  <c r="E13" i="16"/>
  <c r="E14" i="16"/>
  <c r="E10" i="16"/>
  <c r="I10" i="16" s="1"/>
  <c r="D5" i="16"/>
  <c r="E70" i="16"/>
  <c r="E72" i="16"/>
  <c r="I72" i="16" s="1"/>
  <c r="E51" i="16"/>
  <c r="I51" i="16" s="1"/>
  <c r="E46" i="16"/>
  <c r="I46" i="16" s="1"/>
  <c r="E37" i="16"/>
  <c r="I37" i="16" s="1"/>
  <c r="I13" i="16" l="1"/>
  <c r="E28" i="16"/>
  <c r="M28" i="16"/>
  <c r="I5" i="16"/>
  <c r="E71" i="16"/>
  <c r="I71" i="16" s="1"/>
  <c r="E67" i="16"/>
  <c r="I67" i="16" s="1"/>
  <c r="E58" i="16"/>
  <c r="E56" i="16"/>
  <c r="E68" i="16"/>
  <c r="E69" i="16" s="1"/>
  <c r="I69" i="16" s="1"/>
  <c r="E44" i="16"/>
  <c r="E45" i="16" s="1"/>
  <c r="I45" i="16" s="1"/>
  <c r="I47" i="16" s="1"/>
  <c r="E95" i="15"/>
  <c r="E94" i="15"/>
  <c r="E93" i="15"/>
  <c r="E92" i="15"/>
  <c r="E59" i="15"/>
  <c r="E66" i="15"/>
  <c r="D47" i="15"/>
  <c r="E48" i="15"/>
  <c r="E55" i="15"/>
  <c r="E35" i="15"/>
  <c r="E42" i="15"/>
  <c r="D9" i="15"/>
  <c r="E10" i="15"/>
  <c r="E28" i="15"/>
  <c r="E31" i="15"/>
  <c r="E33" i="15"/>
  <c r="E27" i="15"/>
  <c r="E26" i="15"/>
  <c r="E25" i="15"/>
  <c r="E24" i="15"/>
  <c r="E23" i="15"/>
  <c r="E17" i="15"/>
  <c r="C69" i="15"/>
  <c r="E60" i="15"/>
  <c r="C58" i="15"/>
  <c r="E45" i="15"/>
  <c r="E46" i="15"/>
  <c r="C44" i="15"/>
  <c r="C34" i="15"/>
  <c r="C30" i="15"/>
  <c r="C9" i="15"/>
  <c r="E8" i="15"/>
  <c r="E7" i="15"/>
  <c r="E6" i="15"/>
  <c r="C5" i="15"/>
  <c r="E64" i="15"/>
  <c r="E65" i="15"/>
  <c r="E62" i="15"/>
  <c r="E63" i="15"/>
  <c r="E61" i="15"/>
  <c r="E49" i="15"/>
  <c r="E53" i="15"/>
  <c r="E54" i="15"/>
  <c r="E51" i="15"/>
  <c r="E52" i="15"/>
  <c r="E50" i="15"/>
  <c r="E36" i="15"/>
  <c r="E40" i="15"/>
  <c r="E41" i="15"/>
  <c r="E38" i="15"/>
  <c r="E39" i="15"/>
  <c r="E37" i="15"/>
  <c r="E11" i="15"/>
  <c r="E15" i="15"/>
  <c r="E16" i="15"/>
  <c r="E13" i="15"/>
  <c r="E14" i="15"/>
  <c r="E12" i="15"/>
  <c r="E70" i="15"/>
  <c r="E32" i="15"/>
  <c r="I73" i="16" l="1"/>
  <c r="E60" i="16"/>
  <c r="I60" i="16" s="1"/>
  <c r="I28" i="16"/>
  <c r="E59" i="16"/>
  <c r="I59" i="16" s="1"/>
  <c r="E31" i="16"/>
  <c r="I31" i="16" s="1"/>
  <c r="E15" i="16"/>
  <c r="I15" i="16" s="1"/>
  <c r="E18" i="16"/>
  <c r="E19" i="16" s="1"/>
  <c r="I19" i="16" s="1"/>
  <c r="E16" i="16"/>
  <c r="E17" i="16" s="1"/>
  <c r="I17" i="16" s="1"/>
  <c r="E57" i="16"/>
  <c r="I57" i="16" s="1"/>
  <c r="E55" i="16"/>
  <c r="I55" i="16" s="1"/>
  <c r="I61" i="16" l="1"/>
  <c r="I32" i="16"/>
  <c r="I89" i="16" l="1"/>
  <c r="I90" i="16" s="1"/>
  <c r="I91" i="16" l="1"/>
  <c r="G3" i="21" s="1"/>
  <c r="G18" i="21" s="1"/>
  <c r="G3" i="17" l="1"/>
  <c r="G17" i="17" s="1"/>
  <c r="AG24" i="21"/>
  <c r="AG25" i="21" s="1"/>
  <c r="S6" i="21" l="1"/>
  <c r="AJ16" i="25" l="1"/>
  <c r="AI4" i="25"/>
  <c r="AI19" i="25" l="1"/>
  <c r="AI20" i="25" s="1"/>
  <c r="AJ4" i="25"/>
  <c r="AI21" i="25" l="1"/>
  <c r="AJ21" i="25"/>
  <c r="AX20" i="25" s="1"/>
  <c r="AJ19" i="25"/>
  <c r="AJ20" i="25" s="1"/>
</calcChain>
</file>

<file path=xl/sharedStrings.xml><?xml version="1.0" encoding="utf-8"?>
<sst xmlns="http://schemas.openxmlformats.org/spreadsheetml/2006/main" count="1602" uniqueCount="550">
  <si>
    <t>ЛУИН</t>
  </si>
  <si>
    <t>Э тест</t>
  </si>
  <si>
    <t>Метадон</t>
  </si>
  <si>
    <t>Пластиковые стаканчики</t>
  </si>
  <si>
    <t>Тест на Морфин</t>
  </si>
  <si>
    <t>Тест на Бензодиазепин</t>
  </si>
  <si>
    <t>Аптечки</t>
  </si>
  <si>
    <t>Нестерильные перчатки</t>
  </si>
  <si>
    <t>Лизофармин</t>
  </si>
  <si>
    <t>СР</t>
  </si>
  <si>
    <t>Презервативы мужские</t>
  </si>
  <si>
    <t>Презервативы женские</t>
  </si>
  <si>
    <t>Любриканты</t>
  </si>
  <si>
    <t>МСМ</t>
  </si>
  <si>
    <t>Заключенные</t>
  </si>
  <si>
    <t>План закупок на 12 месяцев (октябрь 2018 - сентябрь 2019)</t>
  </si>
  <si>
    <t>Описание расчета</t>
  </si>
  <si>
    <t>Охват на конец 2018</t>
  </si>
  <si>
    <t xml:space="preserve">презервативы </t>
  </si>
  <si>
    <t xml:space="preserve">Наименование </t>
  </si>
  <si>
    <t>Цель на конец 2017</t>
  </si>
  <si>
    <t>60 % от доступных</t>
  </si>
  <si>
    <t>АРТ</t>
  </si>
  <si>
    <t>Охват ПТМ</t>
  </si>
  <si>
    <t>Удержание ПТМ</t>
  </si>
  <si>
    <t xml:space="preserve">шприц с иглой </t>
  </si>
  <si>
    <t xml:space="preserve">салфетка </t>
  </si>
  <si>
    <t>5 шт. в неделю</t>
  </si>
  <si>
    <t>Стандарт 2016-2017</t>
  </si>
  <si>
    <t>7 шт. в неделю</t>
  </si>
  <si>
    <t>1 шт. в неделю</t>
  </si>
  <si>
    <t>Количество протестированных</t>
  </si>
  <si>
    <t xml:space="preserve">Э тест </t>
  </si>
  <si>
    <t>80 % от охвата - ЭТ по слюне</t>
  </si>
  <si>
    <t>20 % от охвата - ИФА</t>
  </si>
  <si>
    <t>6 шт. в неделю</t>
  </si>
  <si>
    <t>ИФА 1 (первый тест)</t>
  </si>
  <si>
    <t>ИФА 2 (подтверждение)</t>
  </si>
  <si>
    <t>ИФА 3 (окончательный диагноз)</t>
  </si>
  <si>
    <t>7 шт. в неделю, в 1 НПО - 14 в неделю</t>
  </si>
  <si>
    <t>3 шт. в неделю</t>
  </si>
  <si>
    <t>10 шт. в месяц</t>
  </si>
  <si>
    <t>20 % от количества презервативов</t>
  </si>
  <si>
    <t>20 % от количества мужских презервативов</t>
  </si>
  <si>
    <t>Налоксон</t>
  </si>
  <si>
    <t>ЛЖВ</t>
  </si>
  <si>
    <t>Охват  услугами</t>
  </si>
  <si>
    <t>ПТМ</t>
  </si>
  <si>
    <t>Равно прогнозируемому количеству впервые выявленных больных с ТБ</t>
  </si>
  <si>
    <t>ВН</t>
  </si>
  <si>
    <t>СD4</t>
  </si>
  <si>
    <t>Новорожденные</t>
  </si>
  <si>
    <t>Охват ПОШ</t>
  </si>
  <si>
    <t>20% умножить на рспространенность плюс 5 % - количество исследований</t>
  </si>
  <si>
    <t xml:space="preserve">20% умножить на рспространенность </t>
  </si>
  <si>
    <t>Всего ИФА 1</t>
  </si>
  <si>
    <t>Всего ИФА 2</t>
  </si>
  <si>
    <t>Всего ИФА 3</t>
  </si>
  <si>
    <t>20% умножить на распространенность плюс 5 % - количество исследований</t>
  </si>
  <si>
    <t>плюс ЭТ умножить на распространенность</t>
  </si>
  <si>
    <t>Охват</t>
  </si>
  <si>
    <t>Комментарии</t>
  </si>
  <si>
    <t>набор - 90 исследований</t>
  </si>
  <si>
    <t>Isoniazid</t>
  </si>
  <si>
    <t>Pyridoxin</t>
  </si>
  <si>
    <t>Салфетки для ЭТ</t>
  </si>
  <si>
    <t>не будем</t>
  </si>
  <si>
    <t>Всего на период октябрь 2018 г – декабрь 2019 г (15 месяцев)</t>
  </si>
  <si>
    <t>Имеется в наличие 4 отличающиеся платформы от 3-х различных производителей.</t>
  </si>
  <si>
    <t>№</t>
  </si>
  <si>
    <t>Название</t>
  </si>
  <si>
    <t>Кол-во приборов</t>
  </si>
  <si>
    <t>Кол-во исследований</t>
  </si>
  <si>
    <t>Beckman Coulter Cytomics FC 500</t>
  </si>
  <si>
    <t>Partec CyFlow Counter</t>
  </si>
  <si>
    <t>BD FACSCount</t>
  </si>
  <si>
    <t>BD FACSPresto</t>
  </si>
  <si>
    <t>Всего</t>
  </si>
  <si>
    <t>Количество (шт.)</t>
  </si>
  <si>
    <t>Assumptions</t>
  </si>
  <si>
    <t>60% от охвата ЛУИН, по 2 ампулы в год</t>
  </si>
  <si>
    <t>в кг, на 9 месяцев - октябрь 18 - июнь 19</t>
  </si>
  <si>
    <t>охват клиентов по 1 ст в день + 1 шт. на 1 клиента в месяц на тест</t>
  </si>
  <si>
    <t>Согласно Гос. программе</t>
  </si>
  <si>
    <t>60 % от охвата - ЭТ по слюне</t>
  </si>
  <si>
    <t>40 % от охвата - ИФА</t>
  </si>
  <si>
    <t>40% умножить на рспространенность плюс 5 % - количество исследований</t>
  </si>
  <si>
    <t xml:space="preserve">40% умножить на рспространенность </t>
  </si>
  <si>
    <t>По Спектруму</t>
  </si>
  <si>
    <t>По СD4</t>
  </si>
  <si>
    <t>Рита</t>
  </si>
  <si>
    <t>количество исследований - по видам табл. ниже</t>
  </si>
  <si>
    <t>только на ЭТ, количество, как на 2017 год, по ИФА - подтверждение от РЦ СПИД</t>
  </si>
  <si>
    <t>РЦ СПИД???</t>
  </si>
  <si>
    <t>реальная потребность в 2017 году (18000) плюс 25 % на повышение количества клиентов</t>
  </si>
  <si>
    <t>реальная потребность в 2017 году (7500) плюс 25 % на повышение количества клиентов</t>
  </si>
  <si>
    <t>Пакеты для автоклавирования</t>
  </si>
  <si>
    <t>Контейрены для использованных шприцев</t>
  </si>
  <si>
    <t>в парах, количество ЭТ плюс 6000 для РЦН на пункты ПТМ для тестов мочи плюс 5 % запас</t>
  </si>
  <si>
    <t>на 12 месяцев, до сентября 2019 года, 40 пунктов ЭТ по 4 шт. в месяц</t>
  </si>
  <si>
    <t>Реальная потребность - 5000 в квартал, на 15 месяцев, до сентября 2019</t>
  </si>
  <si>
    <t>Coverage by the end of 2018 (16250 clients)*standart per 1 client  (1 pcs per week)</t>
  </si>
  <si>
    <t>Coverage by the end of 2018 (16250 clients)*standart per 1 client  (5 pcs per week)</t>
  </si>
  <si>
    <t>Доля от общей потребности, %</t>
  </si>
  <si>
    <t>80% out of the clients tested by the end of 2018 (14625)</t>
  </si>
  <si>
    <t>20% out of the clients tested by the end of 2018 (14625)</t>
  </si>
  <si>
    <t>For the clients tested by ELISA (20% out of the clients tested by the end of 2018 (14625)) plus the quantity of the proposed HIV positive cases (number of the clients tested by ET*the % of the prevalence of HIV among the KPG (according to the 2016 IBBS))</t>
  </si>
  <si>
    <t>20% out of the clients tested by the end of 2018 (14625)*the % of the prevalence of HIV among the KPG (according to the 2016 IBBS) plus 5%</t>
  </si>
  <si>
    <t>20% out of the clients tested by the end of 2018 (14625)*the % of the prevalence of HIV among the KPG (according to the 2016 IBBS) plus 5% and the quantity of the proposed HIV positive cases (number of the clients tested by ET*the % of the prevalence of HIV among the KPG (according to the 2016 IBBS))</t>
  </si>
  <si>
    <t xml:space="preserve">20% out of the clients tested by the end of 2018 (14625)*the % of the prevalence of HIV among the KPG (according to the 2016 IBBS) </t>
  </si>
  <si>
    <t>20% out of the clients tested by the end of 2018 (14625)*the % of the prevalence of HIV among the KPG (according to the 2016 IBBS) plus the quantity of the proposed HIV positive cases (number of the clients tested by ET*the % of the prevalence of HIV among the KPG (according to the 2016 IBBS))</t>
  </si>
  <si>
    <t>60% out of the coverage by the end of 2018 (16250 clients)*2 ampules per 1 client per year)</t>
  </si>
  <si>
    <t>30 kg for 9 months</t>
  </si>
  <si>
    <t>the real need as per 2017 is 18,000 pcs, the need for the upcoming period is increased per 25 %</t>
  </si>
  <si>
    <t>the real need as per 2017 is 7,500 pcs, the need for the upcoming period is increased per 25 %</t>
  </si>
  <si>
    <t>Пропорции закупки:
1 мл - 10 %б 2 мл - 40%б 5 мл - 40% и 10 мл - 10%</t>
  </si>
  <si>
    <t xml:space="preserve">The proposed number of the clients, covered by the OST*1 pcs. per day for the methadon solution plus 1 pcs. per 1 client per month for the urine test </t>
  </si>
  <si>
    <t>40 ET points*4 per month</t>
  </si>
  <si>
    <t>the quantity of the saliva ET plus 6,000 for OST points plus 5 % as a stock</t>
  </si>
  <si>
    <t>the real need is 5,000 per one quarter, for 5 quarters</t>
  </si>
  <si>
    <t>Coverage by the end of 2018 (4970 clients)*standart per 1 client  (6 pcs per week)</t>
  </si>
  <si>
    <t>Coverage by the end of 2018 (4970 clients)*standart per 1 client  (1 pcs per week)</t>
  </si>
  <si>
    <t>80% out of the clients tested by the end of 2018 (4473)</t>
  </si>
  <si>
    <t>20% out of the clients tested by the end of 2018 (4473)</t>
  </si>
  <si>
    <t>For the clients tested by ELISA (20% out of the clients tested by the end of 2018 (4473)) plus the quantity of the proposed HIV positive cases (number of the clients tested by ET*the % of the prevalence of HIV among the KPG (according to the 2016 IBBS))</t>
  </si>
  <si>
    <t>20% out of the clients tested by the end of 2018 (4473)*the % of the prevalence of HIV among the KPG (according to the 2016 IBBS) plus 5%</t>
  </si>
  <si>
    <t>20% out of the clients tested by the end of 2018 (4473)*the % of the prevalence of HIV among the KPG (according to the 2016 IBBS) plus 5% and the quantity of the proposed HIV positive cases (number of the clients tested by ET*the % of the prevalence of HIV among the KPG (according to the 2016 IBBS))</t>
  </si>
  <si>
    <t xml:space="preserve">20% out of the clients tested by the end of 2018 (4473)*the % of the prevalence of HIV among the KPG (according to the 2016 IBBS) </t>
  </si>
  <si>
    <t>20% out of the clients tested by the end of 2018 (4473)*the % of the prevalence of HIV among the KPG (according to the 2016 IBBS) plus the quantity of the proposed HIV positive cases (number of the clients tested by ET*the % of the prevalence of HIV among the KPG (according to the 2016 IBBS))</t>
  </si>
  <si>
    <t>Coverage by the end of 2018 (6414 clients)*standart per 1 client  (10 pcs per month)</t>
  </si>
  <si>
    <t>20 % out of the male condoms' quantity</t>
  </si>
  <si>
    <t>80% out of the clients tested by the end of 2018 (6414)</t>
  </si>
  <si>
    <t>20% out of the clients tested by the end of 2018 (6414)</t>
  </si>
  <si>
    <t>For the clients tested by ELISA (20% out of the clients tested by the end of 2018 (6414)) plus the quantity of the proposed HIV positive cases (number of the clients tested by ET*the % of the prevalence of HIV among the KPG (according to the 2016 IBBS))</t>
  </si>
  <si>
    <t>20% out of the clients tested by the end of 2018 (6414)*the % of the prevalence of HIV among the KPG (according to the 2016 IBBS) plus 5%</t>
  </si>
  <si>
    <t>20% out of the clients tested by the end of 2018 (6414)*the % of the prevalence of HIV among the KPG (according to the 2016 IBBS) plus 5% and the quantity of the proposed HIV positive cases (number of the clients tested by ET*the % of the prevalence of HIV among the KPG (according to the 2016 IBBS))</t>
  </si>
  <si>
    <t xml:space="preserve">20% out of the clients tested by the end of 2018 (6414)*the % of the prevalence of HIV among the KPG (according to the 2016 IBBS) </t>
  </si>
  <si>
    <t>20% out of the clients tested by the end of 2018 (6414)*the % of the prevalence of HIV among the KPG (according to the 2016 IBBS) plus the quantity of the proposed HIV positive cases (number of the clients tested by ET*the % of the prevalence of HIV among the KPG (according to the 2016 IBBS))</t>
  </si>
  <si>
    <t>60% out of the clients tested by the end of 2018 (5600)</t>
  </si>
  <si>
    <t>40% out of the clients tested by the end of 2018 (5600)</t>
  </si>
  <si>
    <t>For the clients tested by ELISA (40% out of the clients tested by the end of 2018 (5600)) plus the quantity of the proposed HIV positive cases (number of the clients tested by ET*the % of the prevalence of HIV among the KPG (according to the 2016 IBBS))</t>
  </si>
  <si>
    <t>40% out of the clients tested by the end of 2018 (5600)*the % of the prevalence of HIV among the KPG (according to the 2016 IBBS) plus 5%</t>
  </si>
  <si>
    <t>40% out of the clients tested by the end of 2018 (5600)*the % of the prevalence of HIV among the KPG (according to the 2016 IBBS) plus 5% and the quantity of the proposed HIV positive cases (number of the clients tested by ET*the % of the prevalence of HIV among the KPG (according to the 2016 IBBS))</t>
  </si>
  <si>
    <t xml:space="preserve">40% out of the clients tested by the end of 2018 (5600)*the % of the prevalence of HIV among the KPG (according to the 2016 IBBS) </t>
  </si>
  <si>
    <t>40% out of the clients tested by the end of 2018 (5600)*the % of the prevalence of HIV among the KPG (according to the 2016 IBBS) plus the quantity of the proposed HIV positive cases (number of the clients tested by ET*the % of the prevalence of HIV among the KPG (according to the 2016 IBBS))</t>
  </si>
  <si>
    <t>According to the estimated number of new TB cases for one year</t>
  </si>
  <si>
    <t>ИФА-1 для больных ТБ</t>
  </si>
  <si>
    <t>не закупали в 2016-2017</t>
  </si>
  <si>
    <t>Для прояснения</t>
  </si>
  <si>
    <t>Охват на 1-е полугодие 2018</t>
  </si>
  <si>
    <t>5 pieces per one ET</t>
  </si>
  <si>
    <t>According to the RAC calculation of the CD 4 diagnostic cases for 2018 (100 % - GF)</t>
  </si>
  <si>
    <t>Беременные</t>
  </si>
  <si>
    <t>about 40 % of the pregnant woman testing will be procured by the GF, 45 % out of them - ET, 55 % out of them - ELISA</t>
  </si>
  <si>
    <t>about 60 % out of the total tests will be covered by the GF</t>
  </si>
  <si>
    <t>подтверждение от РЦ СПИД</t>
  </si>
  <si>
    <r>
      <t xml:space="preserve">According to the RAC calculation of the VL diagnostic cases for 2018 </t>
    </r>
    <r>
      <rPr>
        <sz val="11"/>
        <color rgb="FFFF0000"/>
        <rFont val="Calibri"/>
        <family val="2"/>
        <charset val="204"/>
        <scheme val="minor"/>
      </rPr>
      <t xml:space="preserve">(90 % </t>
    </r>
    <r>
      <rPr>
        <sz val="11"/>
        <color theme="1"/>
        <rFont val="Calibri"/>
        <family val="2"/>
        <charset val="204"/>
        <scheme val="minor"/>
      </rPr>
      <t>- GF)</t>
    </r>
  </si>
  <si>
    <t>tabs  - for 6 months 2019, 180 tabs per 415 clients newly enrolled to HIV care</t>
  </si>
  <si>
    <t>Исследований на CD4: 11326</t>
  </si>
  <si>
    <t>Описание расчета - на первое полугодие 2018</t>
  </si>
  <si>
    <t>Цель на конец 2019</t>
  </si>
  <si>
    <t xml:space="preserve">Охват на конец 2020 </t>
  </si>
  <si>
    <t>Охват на 1-е полугодие 2021</t>
  </si>
  <si>
    <t>цена за 1 шт 
USD</t>
  </si>
  <si>
    <t>Общая сумма</t>
  </si>
  <si>
    <t>For the clients tested by ELISA (20% out of the clients tested ) plus the quantity of the proposed HIV positive cases (number of the clients tested by ET*the % of the prevalence of HIV among the KPG (according to the 2016 IBBS))</t>
  </si>
  <si>
    <t>20% out of the clients tested *the % of the prevalence of HIV among the KPG (according to the 2016 IBBS) plus 5%</t>
  </si>
  <si>
    <t>20% out of the clients tested *the % of the prevalence of HIV among the KPG (according to the 2016 IBBS) plus 5% and the quantity of the proposed HIV positive cases (number of the clients tested by ET*the % of the prevalence of HIV among the KPG (according to the 2016 IBBS))</t>
  </si>
  <si>
    <t xml:space="preserve">20% out of the clients tested *the % of the prevalence of HIV among the KPG (according to the 2016 IBBS) </t>
  </si>
  <si>
    <t>60% out of the coverage *2 ampules per 1 client per year)</t>
  </si>
  <si>
    <t>According to the HIV NSP for 2017-2021</t>
  </si>
  <si>
    <t>the real need as per 2017 is 18,000 pcs, the need for the upcoming period is increased per 25 %, calculated for 21 months (*1,75)</t>
  </si>
  <si>
    <t>the real need as per 2017 is 7,500 pcs, the need for the upcoming period is increased per 25 %, calculated for 21 months (*1,75)</t>
  </si>
  <si>
    <t>the quantity of the saliva ET plus 6,000 for OST points plus 5 % as a stock, calculated for 21 months (*1,75)</t>
  </si>
  <si>
    <t>the real need is 5,000 per one quarter, for 7 quarters</t>
  </si>
  <si>
    <t>20% out of the clients tested *the % of the prevalence of HIV among the KPG (according to the 2016 IBBS) plus the quantity of the proposed HIV positive cases (number of the clients tested by ET*the % of the prevalence of HIV among the KPG (according to the 2016 IBBS))</t>
  </si>
  <si>
    <t xml:space="preserve">80% out of the clients tested by the end of each calendar period </t>
  </si>
  <si>
    <t>20% out of the clients tested by the end of each calendar period</t>
  </si>
  <si>
    <t>80% out of the clients tested by the end of each calendar period</t>
  </si>
  <si>
    <t>1550, 1600 - на конец 2018</t>
  </si>
  <si>
    <t>60% out of the clients tested by ET</t>
  </si>
  <si>
    <t>40% out of the clients tested by Elisa</t>
  </si>
  <si>
    <t>Пропорции закупки:
1 мл - 10 % 2 мл - 40% 5 мл - 40% и 10 мл - 10%</t>
  </si>
  <si>
    <t>на конец 2018-4373</t>
  </si>
  <si>
    <t>ВН (GeneXpert)</t>
  </si>
  <si>
    <t>СD4 (for cartridges)</t>
  </si>
  <si>
    <t>Беременные (ЭТ по капле крови)</t>
  </si>
  <si>
    <t>Имеется в наличие 2  платформы.</t>
  </si>
  <si>
    <t>PSM расходы</t>
  </si>
  <si>
    <t xml:space="preserve">шприц с иглой 1ml </t>
  </si>
  <si>
    <t xml:space="preserve">шприц с иглой 2ml </t>
  </si>
  <si>
    <t xml:space="preserve">шприц с иглой 5ml </t>
  </si>
  <si>
    <t xml:space="preserve">шприц с иглой 10ml </t>
  </si>
  <si>
    <t>шприцы</t>
  </si>
  <si>
    <t>ИТОГО ЛУИН</t>
  </si>
  <si>
    <t>ИТОГО СР</t>
  </si>
  <si>
    <t>ИТОГО МСМ</t>
  </si>
  <si>
    <t>ИТОГО заключенные</t>
  </si>
  <si>
    <t>ИТОГО ЛЖВ</t>
  </si>
  <si>
    <t>ВСЕГО без GMS</t>
  </si>
  <si>
    <t>GMS за закупки по ВИЧ  -7%</t>
  </si>
  <si>
    <t>ИТОГО с GMS на закупки</t>
  </si>
  <si>
    <t>ВИЧ</t>
  </si>
  <si>
    <t>ТБ</t>
  </si>
  <si>
    <t>программа:</t>
  </si>
  <si>
    <t>управление ПРООН</t>
  </si>
  <si>
    <t>управление МЗ КР</t>
  </si>
  <si>
    <t>Итого</t>
  </si>
  <si>
    <t>6 мес.</t>
  </si>
  <si>
    <t>2,5 года</t>
  </si>
  <si>
    <t>Весь проект</t>
  </si>
  <si>
    <t>Выделенный грант</t>
  </si>
  <si>
    <t>РЦН, включая ГСИН</t>
  </si>
  <si>
    <t>ЛЖВ НПО</t>
  </si>
  <si>
    <t>ЛЖВ Центры СПИД</t>
  </si>
  <si>
    <t>Сеть</t>
  </si>
  <si>
    <t>Уличные юристы</t>
  </si>
  <si>
    <t>др. активности (ПРООН)</t>
  </si>
  <si>
    <t>Component</t>
  </si>
  <si>
    <t>Area</t>
  </si>
  <si>
    <t>Amount</t>
  </si>
  <si>
    <t>HIV</t>
  </si>
  <si>
    <t>Procurement (including PSM costs)</t>
  </si>
  <si>
    <t xml:space="preserve">                      2,398,447.98 </t>
  </si>
  <si>
    <t>Programme part</t>
  </si>
  <si>
    <t xml:space="preserve">                      1,244,532.89 </t>
  </si>
  <si>
    <t>TB</t>
  </si>
  <si>
    <t xml:space="preserve">                      3,873,409.79 </t>
  </si>
  <si>
    <t xml:space="preserve">                      1,190,991.55 </t>
  </si>
  <si>
    <t>PR Management costs</t>
  </si>
  <si>
    <t>UNDP management costs</t>
  </si>
  <si>
    <t xml:space="preserve">                          538,302.04 </t>
  </si>
  <si>
    <t>GMS</t>
  </si>
  <si>
    <t xml:space="preserve">                          653,861.94 </t>
  </si>
  <si>
    <t>MOH management costs</t>
  </si>
  <si>
    <t>TOTAL</t>
  </si>
  <si>
    <t xml:space="preserve">                      9,994,746.76 </t>
  </si>
  <si>
    <t xml:space="preserve">                                                    167,891.36 </t>
  </si>
  <si>
    <t xml:space="preserve">                                                       87,117.30 </t>
  </si>
  <si>
    <t xml:space="preserve">                                                    271,138.69 </t>
  </si>
  <si>
    <t xml:space="preserve">                                                       83,369.41 </t>
  </si>
  <si>
    <t xml:space="preserve">                                                       37,681.14 </t>
  </si>
  <si>
    <t xml:space="preserve">                            95,200.57 </t>
  </si>
  <si>
    <t xml:space="preserve">                                                         6,664.04 </t>
  </si>
  <si>
    <t xml:space="preserve">                                                    653,861.94 </t>
  </si>
  <si>
    <t xml:space="preserve">закупки </t>
  </si>
  <si>
    <t>презервативы</t>
  </si>
  <si>
    <t>в первом полугодии на 2846</t>
  </si>
  <si>
    <t>План закупок на октябрь 2019 - июнь 2021 (max на 21 месяц/91 неделя)</t>
  </si>
  <si>
    <t>30 kg for 9 months, 80 kg for 24 months (July 2019 - June 2021) plus the amount for 9 kg from 2017</t>
  </si>
  <si>
    <t>4 шт. в неделю</t>
  </si>
  <si>
    <t>Coverage by the end of 2019 (17500 clients)*standart per 1 client  (4 pcs per week) for 15 months/64 weeks due to the real stock by the end of 2017</t>
  </si>
  <si>
    <t>Coverage by the end of 2019 (17500 clients)*standart per 1 client  (1 pcs per week) for 15 months/64 weeks due to the real stock by the end of 2017</t>
  </si>
  <si>
    <t>Вопрос об оплате за 9 кг, которые возможно не сможем оплатить из гранта 2017 года и деньги будут из гранта 2018 года. Закупка, заложенная в 1-м полугодии 2018 покроет потребность до июня 2019</t>
  </si>
  <si>
    <t>Coverage by the end of 2019 (5325 clients)*standart per 1 client  (6 pcs per week) for 15 months/64 weeks due to the real stock by the end of 2017</t>
  </si>
  <si>
    <t>No need due to the real stock by the end of 2017 and real consumption</t>
  </si>
  <si>
    <t>4790*1,5 as it's the quantity for 15 months</t>
  </si>
  <si>
    <t>Расчет исходя из усредненного оценочного числа МСМ - 16846</t>
  </si>
  <si>
    <t>Coverage by the end of 2019 (9260 clients)*standart per 1 client  (10 pcs per month) for 15 months/64 weeks due to the real stock by the end of 2017</t>
  </si>
  <si>
    <t>8330*1,5 as it's the quantity for 15 months</t>
  </si>
  <si>
    <t>5950*1,5 as it's the quantity for 15 months</t>
  </si>
  <si>
    <t>20 % out of the parients on ART in 2019 will be covered by the RAC, during 2020 and 6 months buffer for 2021 30 % out of the patients on ART will be covered by the RAC.</t>
  </si>
  <si>
    <t>will be covered by the RAC</t>
  </si>
  <si>
    <t>СD4 total</t>
  </si>
  <si>
    <t>CD4 BD FACSCount</t>
  </si>
  <si>
    <t>80 % of the tests will be done through the cartridges</t>
  </si>
  <si>
    <t>20 % of the tests will be done by the FACSCount at the BAC basis</t>
  </si>
  <si>
    <t xml:space="preserve">for 6 months 180 tabs per the number of patients </t>
  </si>
  <si>
    <t>АРТ за счет ГФ</t>
  </si>
  <si>
    <t>Цена</t>
  </si>
  <si>
    <t>през</t>
  </si>
  <si>
    <t>любр</t>
  </si>
  <si>
    <t>ЭТ</t>
  </si>
  <si>
    <t>15938*1,25 as it's the quantity for 15 months</t>
  </si>
  <si>
    <t xml:space="preserve"> vn</t>
  </si>
  <si>
    <t xml:space="preserve"> за счет софинансирования с ICAP</t>
  </si>
  <si>
    <t xml:space="preserve">за счет софинансирования с ICAP
100 USD на 1 клиента за полугодие (зп персонала, работающего с клиентами)-120 000 USD, </t>
  </si>
  <si>
    <t>Прогнозируемая экономия из 6 мес.</t>
  </si>
  <si>
    <t>GMS 6 мес.</t>
  </si>
  <si>
    <t>Всего за 6 мес.</t>
  </si>
  <si>
    <t>80 % out of the patients on ART will be diagnosed twice per year  (100 % - GF)</t>
  </si>
  <si>
    <t xml:space="preserve">экономия по АРТ </t>
  </si>
  <si>
    <t>60 % - НПО, 40% - РЦН</t>
  </si>
  <si>
    <t>11250 - НПО, 7500 - РЦН</t>
  </si>
  <si>
    <t>10500 - НПО, 7000 - РЦН</t>
  </si>
  <si>
    <t>9750 - НПО, 6500 - РЦН</t>
  </si>
  <si>
    <t>Цель на конец 2018</t>
  </si>
  <si>
    <t>1 на 150</t>
  </si>
  <si>
    <t>1 на 100</t>
  </si>
  <si>
    <t>?</t>
  </si>
  <si>
    <t>Всего 2018-2020</t>
  </si>
  <si>
    <t>по основной заявке</t>
  </si>
  <si>
    <t>потребность</t>
  </si>
  <si>
    <t>разница</t>
  </si>
  <si>
    <t>равный/соц. работник</t>
  </si>
  <si>
    <t>WP&amp;Budget for 2,5 years</t>
  </si>
  <si>
    <t>НПО</t>
  </si>
  <si>
    <t>РЦН</t>
  </si>
  <si>
    <t>Нагрузка по основной заявке</t>
  </si>
  <si>
    <t>15 % от необходимого количества аутрич работников</t>
  </si>
  <si>
    <t>дефицит</t>
  </si>
  <si>
    <t>по основной заявке равный/соц. работник</t>
  </si>
  <si>
    <t>Personnel salaries: Social worker/Peer consultant</t>
  </si>
  <si>
    <t xml:space="preserve">Performance based payments: Social worker/Peer consultant </t>
  </si>
  <si>
    <t>N/A</t>
  </si>
  <si>
    <t>Аутрич в основной заявке</t>
  </si>
  <si>
    <t>Item description</t>
  </si>
  <si>
    <t>LOE</t>
  </si>
  <si>
    <t>Quantity for July_Dec 2018</t>
  </si>
  <si>
    <t>Quantity for 2019</t>
  </si>
  <si>
    <t>Quantity for 2020</t>
  </si>
  <si>
    <t>Personnel salaries: Database Specialist</t>
  </si>
  <si>
    <t>Personnel salaries: Specialist on HP</t>
  </si>
  <si>
    <t>Personnel salaries: Manager</t>
  </si>
  <si>
    <t>Personnel salaries: Coordinator on KP/M&amp;E Specialist</t>
  </si>
  <si>
    <t>Personnel salaries: Accountant</t>
  </si>
  <si>
    <t>Office rent and utilities</t>
  </si>
  <si>
    <t>Transportation costs</t>
  </si>
  <si>
    <t>Communication cost and internet</t>
  </si>
  <si>
    <t>Stationery and other office supplies, 1C maintenance</t>
  </si>
  <si>
    <t>Bank charges</t>
  </si>
  <si>
    <r>
      <t xml:space="preserve">2018: Gross Salary/unit cost in </t>
    </r>
    <r>
      <rPr>
        <b/>
        <u/>
        <sz val="12"/>
        <color theme="1"/>
        <rFont val="Calibri"/>
        <family val="2"/>
        <charset val="204"/>
        <scheme val="minor"/>
      </rPr>
      <t>USD</t>
    </r>
  </si>
  <si>
    <t>7 проектов увеличиваем в 2 раза</t>
  </si>
  <si>
    <t>sf</t>
  </si>
  <si>
    <t>it</t>
  </si>
  <si>
    <t>all taxes</t>
  </si>
  <si>
    <t>net unit</t>
  </si>
  <si>
    <t>November UNORE</t>
  </si>
  <si>
    <t>Budget line</t>
  </si>
  <si>
    <t>Module description</t>
  </si>
  <si>
    <t>Intervention description</t>
  </si>
  <si>
    <t># from Concept Note</t>
  </si>
  <si>
    <t>Cost input</t>
  </si>
  <si>
    <t>IA</t>
  </si>
  <si>
    <t>Project</t>
  </si>
  <si>
    <t>Total 
Jul'18-Dec'20</t>
  </si>
  <si>
    <t>уточнить</t>
  </si>
  <si>
    <t>Comments</t>
  </si>
  <si>
    <t>56</t>
  </si>
  <si>
    <t>Comprehensive prevention programs for people who inject drugs (PWID) and their partners</t>
  </si>
  <si>
    <t>Needle and Syringe programs for PWID and their partners</t>
  </si>
  <si>
    <t>2.1.1.1</t>
  </si>
  <si>
    <t>1.2 Salaries - outreach workers, medical staff and other service providers</t>
  </si>
  <si>
    <t>SR</t>
  </si>
  <si>
    <t>Personnel salaries: Outreach workers</t>
  </si>
  <si>
    <t xml:space="preserve">RCN 6 GOV NEPs </t>
  </si>
  <si>
    <t>57</t>
  </si>
  <si>
    <t>Program management</t>
  </si>
  <si>
    <t>Grant management</t>
  </si>
  <si>
    <t>1.1 Salaries - program management</t>
  </si>
  <si>
    <t>58</t>
  </si>
  <si>
    <t>11.1  Office related costs</t>
  </si>
  <si>
    <t xml:space="preserve">11.1  Office related costs </t>
  </si>
  <si>
    <t>2.2.1.1</t>
  </si>
  <si>
    <t>70</t>
  </si>
  <si>
    <t>Comprehensive prevention programs for sex workers and their clients</t>
  </si>
  <si>
    <t>Behavioral interventions for sex workers</t>
  </si>
  <si>
    <t>2.3.1.1</t>
  </si>
  <si>
    <t>66</t>
  </si>
  <si>
    <t>Comprehensive prevention programs for MSM</t>
  </si>
  <si>
    <t>Behavioral interventions for MSM</t>
  </si>
  <si>
    <t>Treatment, care and support</t>
  </si>
  <si>
    <t>Counseling and psycho-social support</t>
  </si>
  <si>
    <t>2.6.4.2</t>
  </si>
  <si>
    <t>89</t>
  </si>
  <si>
    <t>Personnel salaries: Peer-counsellor/Social worker/Consultant</t>
  </si>
  <si>
    <t>UNDP</t>
  </si>
  <si>
    <t>PR</t>
  </si>
  <si>
    <t>1.3 Performance based suppliments, incentives</t>
  </si>
  <si>
    <t>OST and other drug dependence treatment for PWID</t>
  </si>
  <si>
    <t xml:space="preserve">RCN 13 OST </t>
  </si>
  <si>
    <t>2.1.5.1</t>
  </si>
  <si>
    <t>59</t>
  </si>
  <si>
    <t>status</t>
  </si>
  <si>
    <t>Quantity for assumtion calculation</t>
  </si>
  <si>
    <t>Average cost of subsistence per person per day</t>
  </si>
  <si>
    <t>Average office cost per office unit per quarter</t>
  </si>
  <si>
    <t>Average gross salary per FTE (person) per quarter</t>
  </si>
  <si>
    <t>Total 
Y3</t>
  </si>
  <si>
    <t>Oct-Dec 2020</t>
  </si>
  <si>
    <t>Jul-Sep 2020</t>
  </si>
  <si>
    <t>Total 
Y2</t>
  </si>
  <si>
    <t>Apr-Jun 2020</t>
  </si>
  <si>
    <t>Jan-Mar 2020</t>
  </si>
  <si>
    <t>Taxes and Social beneifits</t>
  </si>
  <si>
    <t>Net Unit Cost</t>
  </si>
  <si>
    <t>Gross Salary/unit cost in KGS for 2020</t>
  </si>
  <si>
    <r>
      <t xml:space="preserve">2020: Gross Salary/unit cost in </t>
    </r>
    <r>
      <rPr>
        <b/>
        <u/>
        <sz val="12"/>
        <color theme="1"/>
        <rFont val="Calibri"/>
        <family val="2"/>
        <charset val="204"/>
        <scheme val="minor"/>
      </rPr>
      <t>USD</t>
    </r>
  </si>
  <si>
    <t>Oct-Dec 2019</t>
  </si>
  <si>
    <t>Jul-Sep 2019</t>
  </si>
  <si>
    <t>Total 
Y1</t>
  </si>
  <si>
    <t>Apr-Jun 2019</t>
  </si>
  <si>
    <t>Jan-Mar 2019</t>
  </si>
  <si>
    <t>Gross Salary/unit cost in KGS for 2019</t>
  </si>
  <si>
    <r>
      <t xml:space="preserve">2019: Gross Salary/unit cost in </t>
    </r>
    <r>
      <rPr>
        <b/>
        <u/>
        <sz val="12"/>
        <color theme="1"/>
        <rFont val="Calibri"/>
        <family val="2"/>
        <charset val="204"/>
        <scheme val="minor"/>
      </rPr>
      <t>USD</t>
    </r>
  </si>
  <si>
    <t>Oct-Dec 2018</t>
  </si>
  <si>
    <t>Jul-Sep 2018</t>
  </si>
  <si>
    <t># of months/
days</t>
  </si>
  <si>
    <t>Gross Salary/unit cost in KGS</t>
  </si>
  <si>
    <t>Personnel salaries: Peer-counsellor/Social worker</t>
  </si>
  <si>
    <t>Policy, planning, coordination and management of national disease control programs</t>
  </si>
  <si>
    <t>2.1 Training related per diems/transport/other costs</t>
  </si>
  <si>
    <t>Trainings for SRs (pre-test and post-test counseling, social support, SR capacity development, meetings with SRs)</t>
  </si>
  <si>
    <t>по 1 тренингу в квартал в гг. Бишкек и Ош и по 2 встречи в Бишкек и Ош в квартал с СП по 30 человек каждая</t>
  </si>
  <si>
    <t xml:space="preserve">PAAR </t>
  </si>
  <si>
    <t>управление</t>
  </si>
  <si>
    <t xml:space="preserve">33 769,76 </t>
  </si>
  <si>
    <t>есть на программу</t>
  </si>
  <si>
    <t>с экономией с первого полугодия</t>
  </si>
  <si>
    <t>на 1 год</t>
  </si>
  <si>
    <t>если экономия на закупках - 200 тыс. в год, то в год на программу</t>
  </si>
  <si>
    <t>в год</t>
  </si>
  <si>
    <t>на управление 10 %</t>
  </si>
  <si>
    <t>GMS 7 %</t>
  </si>
  <si>
    <t>Итого PAAR</t>
  </si>
  <si>
    <t>% от основной заявки</t>
  </si>
  <si>
    <t xml:space="preserve">Рабочий план/Бюджет на 2,5 года </t>
  </si>
  <si>
    <t>Финансирование программы на 2,5 года (на год)</t>
  </si>
  <si>
    <t>Договоренности по итогам странового диалога</t>
  </si>
  <si>
    <t xml:space="preserve">по факту </t>
  </si>
  <si>
    <t>по договоренности</t>
  </si>
  <si>
    <t>по бюджету</t>
  </si>
  <si>
    <t>Админ расходы НПО</t>
  </si>
  <si>
    <t>аутрич по основной заявке</t>
  </si>
  <si>
    <t>Total</t>
  </si>
  <si>
    <t>Overall budget for component</t>
  </si>
  <si>
    <t>Program</t>
  </si>
  <si>
    <t>Procurement</t>
  </si>
  <si>
    <t>Management</t>
  </si>
  <si>
    <t xml:space="preserve">% от общей суммы </t>
  </si>
  <si>
    <t>Сумма для сокращения на 2020, согласно %</t>
  </si>
  <si>
    <t>Общая сумма по направлениям с учетом сокращения</t>
  </si>
  <si>
    <t>Обновленные суммы на 2,5 года</t>
  </si>
  <si>
    <t>2-е полугодие 2018</t>
  </si>
  <si>
    <t xml:space="preserve">Общий Рабочий план/Бюджет на 2,5 года </t>
  </si>
  <si>
    <t>Экономия по АРТ</t>
  </si>
  <si>
    <t>%</t>
  </si>
  <si>
    <t>Значения</t>
  </si>
  <si>
    <t>Recipient Type</t>
  </si>
  <si>
    <t>Cost Input</t>
  </si>
  <si>
    <t>Сумма по полю Y1 Total Cash Outflow</t>
  </si>
  <si>
    <t>Сумма по полю Y1 Revised 1-4</t>
  </si>
  <si>
    <t>Сумма по полю Changes</t>
  </si>
  <si>
    <t>10.1 Printed materials (forms, books, guidelines, brochure, leaflets...)</t>
  </si>
  <si>
    <t>3.4 Other external professional services</t>
  </si>
  <si>
    <t>4.1 Antiretroviral medicines</t>
  </si>
  <si>
    <t>4.4 Opioid substitution medicines</t>
  </si>
  <si>
    <t>4.7 Other medicines</t>
  </si>
  <si>
    <t>5.2 Condoms - Male</t>
  </si>
  <si>
    <t>5.3 Condoms - Female</t>
  </si>
  <si>
    <t>5.4 Rapid Diagnostic Test</t>
  </si>
  <si>
    <t>5.7 Syringes and needles</t>
  </si>
  <si>
    <t>5.8 Other consumables</t>
  </si>
  <si>
    <t>6.1 CD4 analyser/accessories</t>
  </si>
  <si>
    <t>6.2 HIV Viral Load analyser/accessories</t>
  </si>
  <si>
    <t>7.7 Other PSM costs</t>
  </si>
  <si>
    <t>PR Итог</t>
  </si>
  <si>
    <t>11.1 Office related costs</t>
  </si>
  <si>
    <t>12.2 Food and care packages</t>
  </si>
  <si>
    <t>12.3 Cash incentives/transfer to patients/beneficiaries/counsellors/mediators</t>
  </si>
  <si>
    <t>12.5 Other LSCTP costs</t>
  </si>
  <si>
    <t>2.3 Supervision/surveys/data collection related per diems/transport/other costs</t>
  </si>
  <si>
    <t>2.4 Meeting/Advocacy related per diems/transport/other costs</t>
  </si>
  <si>
    <t>3.1 TA Fees - Consultants</t>
  </si>
  <si>
    <t>9.3 Other non-health equipment</t>
  </si>
  <si>
    <t>SR Итог</t>
  </si>
  <si>
    <t>HIV Итог</t>
  </si>
  <si>
    <t>MOH</t>
  </si>
  <si>
    <t>MOH Итог</t>
  </si>
  <si>
    <t>2.2 Technical Assistance Fees/Consultants</t>
  </si>
  <si>
    <t>4.2 Anti-tuberculosis medicines</t>
  </si>
  <si>
    <t>5.6 Laboratory reagents</t>
  </si>
  <si>
    <t>6.3 Microscopes</t>
  </si>
  <si>
    <t>6.4 TB Molecular Test equipment</t>
  </si>
  <si>
    <t>6.6 Other health equipment</t>
  </si>
  <si>
    <t>TB Итог</t>
  </si>
  <si>
    <t>TB/HIV</t>
  </si>
  <si>
    <t>11.3 Indirect cost recovery (ICR) - % based</t>
  </si>
  <si>
    <t>3.3 External audit fees</t>
  </si>
  <si>
    <t>7.3 Warehouse and Storage Costs</t>
  </si>
  <si>
    <t>7.4 In-country distribution costs</t>
  </si>
  <si>
    <t>TB/HIV Итог</t>
  </si>
  <si>
    <t>Общий итог</t>
  </si>
  <si>
    <t>6 monthes KGS</t>
  </si>
  <si>
    <t>6 monthes USD 4,5</t>
  </si>
  <si>
    <t>Экономия на 3,5</t>
  </si>
  <si>
    <t xml:space="preserve">NGOs to be extened </t>
  </si>
  <si>
    <t>Kyrgyz Indigo</t>
  </si>
  <si>
    <t>Musaada</t>
  </si>
  <si>
    <t>Podruga</t>
  </si>
  <si>
    <t>Tais Plus</t>
  </si>
  <si>
    <t>Tais Plus Dva</t>
  </si>
  <si>
    <t>Ulukman Daryger</t>
  </si>
  <si>
    <t>Assotsiatsiya AntiSPID</t>
  </si>
  <si>
    <t>Sub-total for SRs, MSM</t>
  </si>
  <si>
    <t>Prosvet</t>
  </si>
  <si>
    <t>Ishenim Nuru</t>
  </si>
  <si>
    <t>Krik zhuravlya</t>
  </si>
  <si>
    <t>Sub-total for PLHIV</t>
  </si>
  <si>
    <t>Alternativa v narkolodii</t>
  </si>
  <si>
    <t>Ayan Delta</t>
  </si>
  <si>
    <t>Antistigma</t>
  </si>
  <si>
    <t>Ranar</t>
  </si>
  <si>
    <t>Rans Plus</t>
  </si>
  <si>
    <t>Zdorovoe Pokolenie</t>
  </si>
  <si>
    <t>Garmonia</t>
  </si>
  <si>
    <t>Sub-total for PWID</t>
  </si>
  <si>
    <t>Sub-total_NGOs to be extened</t>
  </si>
  <si>
    <t>AIDS Centers</t>
  </si>
  <si>
    <t>RNC</t>
  </si>
  <si>
    <t>MoH</t>
  </si>
  <si>
    <t>NGOs_tender_available budget</t>
  </si>
  <si>
    <t>Outreach projects (MSM) Western part of Chui region</t>
  </si>
  <si>
    <t>Outreach project (SW) Talas</t>
  </si>
  <si>
    <t>Outreach project (SW) Kyzyl-Kiya</t>
  </si>
  <si>
    <t>NGO NEPs (Osh, Kara-Suu, Uzgen districts)</t>
  </si>
  <si>
    <t>PLHIV center + SDP (Bishkek)</t>
  </si>
  <si>
    <t>Network for 4 key groups</t>
  </si>
  <si>
    <t>Sub-total for tender</t>
  </si>
  <si>
    <t>Street Lawyers</t>
  </si>
  <si>
    <t>старая</t>
  </si>
  <si>
    <t>на 3, 5</t>
  </si>
  <si>
    <t>на 3,5</t>
  </si>
  <si>
    <t>на 3,5 плюс выплаты детям</t>
  </si>
  <si>
    <t>FINAL</t>
  </si>
  <si>
    <t>6 monthes USD</t>
  </si>
  <si>
    <t>6 monthes USD - 10%</t>
  </si>
  <si>
    <t>в Бюджете</t>
  </si>
  <si>
    <t>Всего за 6 мес. c GMS</t>
  </si>
  <si>
    <t>Обновленный 6 мес.</t>
  </si>
  <si>
    <t>HIV Programme</t>
  </si>
  <si>
    <t>HIV Procurement</t>
  </si>
  <si>
    <t>HIV part</t>
  </si>
  <si>
    <t>NGOs</t>
  </si>
  <si>
    <t>Разница на 2,5 года по сравнению со старыми бюджетами</t>
  </si>
  <si>
    <t>на 2,5 года</t>
  </si>
  <si>
    <t>Общая сумма по 2 бюджетам (обновленый 6 и старый 2,5)</t>
  </si>
  <si>
    <t>Суммы для обновления Бюджета на 2,5 года</t>
  </si>
  <si>
    <t>добавить в правовые бароьеры</t>
  </si>
  <si>
    <t>2016-2017</t>
  </si>
  <si>
    <t>Итого обновленный на 2.5 года</t>
  </si>
  <si>
    <t>Экономия</t>
  </si>
  <si>
    <t xml:space="preserve">Сумма </t>
  </si>
  <si>
    <t>Управление</t>
  </si>
  <si>
    <t>по заявке соц</t>
  </si>
  <si>
    <t>24 Соглашения с НПО</t>
  </si>
  <si>
    <t>Детали</t>
  </si>
  <si>
    <t>др. активности (реализатор - ПРООН)</t>
  </si>
  <si>
    <t>по заявке соц/равный</t>
  </si>
  <si>
    <t>NGO SDP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</si>
</sst>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р_._-;\-* #,##0.00_р_._-;_-* &quot;-&quot;??_р_._-;_-@_-"/>
    <numFmt numFmtId="165" formatCode="_(&quot;$&quot;* #,##0.00_);_(&quot;$&quot;* \(#,##0.00\);_(&quot;$&quot;* &quot;-&quot;??_);_(@_)"/>
    <numFmt numFmtId="166" formatCode="_-&quot;$&quot;* #,##0.00_-;\-&quot;$&quot;* #,##0.00_-;_-&quot;$&quot;* &quot;-&quot;??_-;_-@_-"/>
    <numFmt numFmtId="167" formatCode="0.000"/>
    <numFmt numFmtId="168" formatCode="[$$-409]#,##0.00"/>
    <numFmt numFmtId="169" formatCode="_(* #,##0.00_);_(* \(#,##0.00\);_(* &quot;-&quot;??_);_(@_)"/>
    <numFmt numFmtId="170" formatCode="_-* #,##0.00\ _р_._-;\-* #,##0.00\ _р_._-;_-* &quot;-&quot;??\ _р_._-;_-@_-"/>
    <numFmt numFmtId="171" formatCode="_-* #,##0.00\ _₽_-;\-* #,##0.00\ _₽_-;_-* &quot;-&quot;??\ _₽_-;_-@_-"/>
    <numFmt numFmtId="172" formatCode="#,##0.00_р_."/>
  </numFmts>
  <fonts count="46" x14ac:knownFonts="1">
    <font>
      <sz val="11"/>
      <color theme="1"/>
      <name val="Calibri"/>
      <family val="2"/>
      <charset val="204"/>
      <scheme val="minor"/>
    </font>
    <font>
      <b/>
      <sz val="11"/>
      <color theme="1"/>
      <name val="Calibri"/>
      <family val="2"/>
      <charset val="204"/>
      <scheme val="minor"/>
    </font>
    <font>
      <sz val="10"/>
      <name val="Arial Cyr"/>
      <charset val="204"/>
    </font>
    <font>
      <sz val="11"/>
      <color theme="1"/>
      <name val="Calibri"/>
      <family val="2"/>
      <charset val="204"/>
      <scheme val="minor"/>
    </font>
    <font>
      <sz val="10"/>
      <name val="Arial"/>
      <family val="2"/>
    </font>
    <font>
      <sz val="10"/>
      <name val="Arial"/>
      <family val="2"/>
      <charset val="204"/>
    </font>
    <font>
      <sz val="12"/>
      <color theme="1"/>
      <name val="Calibri"/>
      <family val="2"/>
      <scheme val="minor"/>
    </font>
    <font>
      <sz val="11"/>
      <color theme="1"/>
      <name val="Arial"/>
      <family val="2"/>
    </font>
    <font>
      <b/>
      <sz val="18"/>
      <color theme="3"/>
      <name val="Calibri Light"/>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rgb="FF000000"/>
      <name val="Times New Roman"/>
      <family val="1"/>
      <charset val="204"/>
    </font>
    <font>
      <sz val="11"/>
      <color theme="1"/>
      <name val="Calibri"/>
      <family val="2"/>
      <charset val="204"/>
    </font>
    <font>
      <b/>
      <sz val="12"/>
      <color theme="1"/>
      <name val="Calibri"/>
      <family val="2"/>
      <charset val="204"/>
      <scheme val="minor"/>
    </font>
    <font>
      <b/>
      <sz val="18"/>
      <color theme="1"/>
      <name val="Calibri"/>
      <family val="2"/>
      <charset val="204"/>
      <scheme val="minor"/>
    </font>
    <font>
      <b/>
      <sz val="16"/>
      <color theme="1"/>
      <name val="Calibri"/>
      <family val="2"/>
      <charset val="204"/>
      <scheme val="minor"/>
    </font>
    <font>
      <b/>
      <sz val="14"/>
      <color theme="1"/>
      <name val="Calibri"/>
      <family val="2"/>
      <charset val="204"/>
      <scheme val="minor"/>
    </font>
    <font>
      <sz val="10"/>
      <color theme="1"/>
      <name val="Arial"/>
      <family val="2"/>
    </font>
    <font>
      <sz val="11"/>
      <color rgb="FFFF0000"/>
      <name val="Calibri"/>
      <family val="2"/>
      <charset val="204"/>
      <scheme val="minor"/>
    </font>
    <font>
      <sz val="16"/>
      <color theme="1"/>
      <name val="Calibri"/>
      <family val="2"/>
      <charset val="204"/>
      <scheme val="minor"/>
    </font>
    <font>
      <b/>
      <sz val="11"/>
      <color rgb="FF000000"/>
      <name val="Calibri"/>
      <family val="2"/>
      <charset val="204"/>
    </font>
    <font>
      <sz val="11"/>
      <color rgb="FF000000"/>
      <name val="Calibri"/>
      <family val="2"/>
      <charset val="204"/>
    </font>
    <font>
      <sz val="12"/>
      <color theme="1"/>
      <name val="Calibri"/>
      <family val="2"/>
      <charset val="204"/>
      <scheme val="minor"/>
    </font>
    <font>
      <b/>
      <sz val="14"/>
      <color rgb="FFFF0000"/>
      <name val="Calibri"/>
      <family val="2"/>
      <charset val="204"/>
      <scheme val="minor"/>
    </font>
    <font>
      <b/>
      <u/>
      <sz val="12"/>
      <color theme="1"/>
      <name val="Calibri"/>
      <family val="2"/>
      <charset val="204"/>
      <scheme val="minor"/>
    </font>
    <font>
      <sz val="10"/>
      <color theme="1"/>
      <name val="Arial"/>
      <family val="2"/>
      <charset val="204"/>
    </font>
    <font>
      <i/>
      <sz val="12"/>
      <color theme="1"/>
      <name val="Calibri"/>
      <family val="2"/>
      <charset val="204"/>
      <scheme val="minor"/>
    </font>
    <font>
      <sz val="12"/>
      <color rgb="FFFF0000"/>
      <name val="Calibri"/>
      <family val="2"/>
      <scheme val="minor"/>
    </font>
    <font>
      <b/>
      <u val="singleAccounting"/>
      <sz val="12"/>
      <color theme="1"/>
      <name val="Calibri"/>
      <family val="2"/>
      <charset val="204"/>
      <scheme val="minor"/>
    </font>
    <font>
      <b/>
      <i/>
      <sz val="11"/>
      <color theme="1"/>
      <name val="Calibri"/>
      <family val="2"/>
      <charset val="204"/>
      <scheme val="minor"/>
    </font>
    <font>
      <sz val="10"/>
      <color theme="1"/>
      <name val="Calibri"/>
      <family val="2"/>
      <charset val="204"/>
      <scheme val="minor"/>
    </font>
    <font>
      <sz val="14"/>
      <color theme="1"/>
      <name val="Calibri"/>
      <family val="2"/>
      <charset val="204"/>
      <scheme val="minor"/>
    </font>
  </fonts>
  <fills count="5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5"/>
        <bgColor indexed="64"/>
      </patternFill>
    </fill>
    <fill>
      <patternFill patternType="solid">
        <fgColor rgb="FFD9D9D9"/>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bottom/>
      <diagonal/>
    </border>
  </borders>
  <cellStyleXfs count="114">
    <xf numFmtId="0" fontId="0" fillId="0" borderId="0"/>
    <xf numFmtId="0" fontId="2" fillId="0" borderId="0"/>
    <xf numFmtId="164" fontId="3"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5" fillId="0" borderId="0"/>
    <xf numFmtId="0" fontId="4" fillId="0" borderId="0"/>
    <xf numFmtId="0" fontId="7" fillId="0" borderId="0"/>
    <xf numFmtId="0" fontId="7" fillId="0" borderId="0"/>
    <xf numFmtId="0" fontId="4"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5" borderId="0" applyNumberFormat="0" applyBorder="0" applyAlignment="0" applyProtection="0"/>
    <xf numFmtId="0" fontId="12" fillId="8" borderId="5" applyNumberFormat="0" applyAlignment="0" applyProtection="0"/>
    <xf numFmtId="0" fontId="13" fillId="9"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7" borderId="5" applyNumberFormat="0" applyAlignment="0" applyProtection="0"/>
    <xf numFmtId="0" fontId="20" fillId="0" borderId="7" applyNumberFormat="0" applyFill="0" applyAlignment="0" applyProtection="0"/>
    <xf numFmtId="0" fontId="21" fillId="6" borderId="0" applyNumberFormat="0" applyBorder="0" applyAlignment="0" applyProtection="0"/>
    <xf numFmtId="0" fontId="4" fillId="0" borderId="0"/>
    <xf numFmtId="0" fontId="4" fillId="0" borderId="0"/>
    <xf numFmtId="0" fontId="9" fillId="10" borderId="9" applyNumberFormat="0" applyFont="0" applyAlignment="0" applyProtection="0"/>
    <xf numFmtId="0" fontId="9" fillId="10" borderId="9" applyNumberFormat="0" applyFont="0" applyAlignment="0" applyProtection="0"/>
    <xf numFmtId="0" fontId="9" fillId="10" borderId="9" applyNumberFormat="0" applyFont="0" applyAlignment="0" applyProtection="0"/>
    <xf numFmtId="0" fontId="9" fillId="10" borderId="9" applyNumberFormat="0" applyFont="0" applyAlignment="0" applyProtection="0"/>
    <xf numFmtId="0" fontId="22" fillId="8"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4" fillId="0" borderId="0"/>
    <xf numFmtId="0" fontId="7" fillId="0" borderId="0"/>
    <xf numFmtId="0" fontId="7" fillId="0" borderId="0"/>
    <xf numFmtId="0" fontId="7" fillId="0" borderId="0"/>
    <xf numFmtId="0" fontId="6" fillId="0" borderId="0"/>
    <xf numFmtId="0" fontId="7" fillId="0" borderId="0"/>
    <xf numFmtId="0" fontId="3" fillId="0" borderId="0"/>
    <xf numFmtId="0" fontId="25" fillId="0" borderId="0"/>
    <xf numFmtId="0" fontId="3" fillId="0" borderId="0"/>
    <xf numFmtId="0" fontId="9" fillId="0" borderId="0"/>
    <xf numFmtId="164" fontId="3" fillId="0" borderId="0" applyFont="0" applyFill="0" applyBorder="0" applyAlignment="0" applyProtection="0"/>
    <xf numFmtId="164"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3" fillId="0" borderId="0" applyFont="0" applyFill="0" applyBorder="0" applyAlignment="0" applyProtection="0"/>
  </cellStyleXfs>
  <cellXfs count="542">
    <xf numFmtId="0" fontId="0" fillId="0" borderId="0" xfId="0"/>
    <xf numFmtId="0" fontId="0" fillId="3" borderId="1" xfId="0" applyFill="1" applyBorder="1" applyAlignment="1">
      <alignment horizontal="left"/>
    </xf>
    <xf numFmtId="0" fontId="0" fillId="0" borderId="0" xfId="0"/>
    <xf numFmtId="1" fontId="0" fillId="3" borderId="1" xfId="0" applyNumberFormat="1" applyFill="1" applyBorder="1"/>
    <xf numFmtId="0" fontId="0" fillId="3" borderId="1" xfId="0" applyFill="1" applyBorder="1"/>
    <xf numFmtId="1" fontId="0" fillId="3" borderId="1" xfId="0" applyNumberFormat="1" applyFill="1" applyBorder="1" applyAlignment="1"/>
    <xf numFmtId="1" fontId="0" fillId="3" borderId="1" xfId="0" applyNumberFormat="1" applyFill="1" applyBorder="1" applyAlignment="1">
      <alignment horizontal="right"/>
    </xf>
    <xf numFmtId="0" fontId="0" fillId="3" borderId="1" xfId="0" applyFill="1" applyBorder="1" applyAlignment="1">
      <alignment vertical="center" wrapText="1"/>
    </xf>
    <xf numFmtId="0" fontId="0" fillId="3" borderId="1" xfId="0" applyFill="1" applyBorder="1" applyAlignment="1">
      <alignment wrapText="1"/>
    </xf>
    <xf numFmtId="0" fontId="0" fillId="3" borderId="1" xfId="0" applyFill="1" applyBorder="1" applyAlignment="1">
      <alignment horizontal="right" wrapText="1"/>
    </xf>
    <xf numFmtId="0" fontId="0" fillId="3" borderId="1" xfId="0" applyFill="1" applyBorder="1" applyAlignment="1">
      <alignment horizontal="center" vertical="center" wrapText="1"/>
    </xf>
    <xf numFmtId="0" fontId="0" fillId="3" borderId="1" xfId="0" applyFill="1" applyBorder="1" applyAlignment="1">
      <alignment horizontal="right"/>
    </xf>
    <xf numFmtId="0" fontId="1" fillId="3" borderId="1" xfId="0" applyFont="1" applyFill="1" applyBorder="1" applyAlignment="1">
      <alignment wrapText="1"/>
    </xf>
    <xf numFmtId="9" fontId="0" fillId="3" borderId="1" xfId="0" applyNumberFormat="1" applyFill="1" applyBorder="1" applyAlignment="1">
      <alignment horizontal="right"/>
    </xf>
    <xf numFmtId="0" fontId="0" fillId="2" borderId="1" xfId="0" applyFill="1" applyBorder="1"/>
    <xf numFmtId="0" fontId="27" fillId="3" borderId="1" xfId="0" applyFont="1" applyFill="1" applyBorder="1" applyAlignment="1">
      <alignment wrapText="1"/>
    </xf>
    <xf numFmtId="0" fontId="29" fillId="35" borderId="1" xfId="0" applyFont="1" applyFill="1" applyBorder="1"/>
    <xf numFmtId="0" fontId="0" fillId="2" borderId="1" xfId="0" applyFill="1" applyBorder="1" applyAlignment="1">
      <alignment horizontal="right"/>
    </xf>
    <xf numFmtId="0" fontId="0" fillId="2" borderId="1" xfId="0" applyFill="1" applyBorder="1" applyAlignment="1">
      <alignment wrapText="1"/>
    </xf>
    <xf numFmtId="0" fontId="0" fillId="2" borderId="1" xfId="0" applyFill="1" applyBorder="1" applyAlignment="1">
      <alignment vertical="center" wrapText="1"/>
    </xf>
    <xf numFmtId="0" fontId="29" fillId="35" borderId="1" xfId="0" applyFont="1" applyFill="1" applyBorder="1" applyAlignment="1"/>
    <xf numFmtId="0" fontId="0" fillId="3" borderId="1" xfId="0" applyFill="1" applyBorder="1" applyAlignment="1">
      <alignment horizontal="center" vertical="center"/>
    </xf>
    <xf numFmtId="1" fontId="30" fillId="35" borderId="1" xfId="0" applyNumberFormat="1" applyFont="1" applyFill="1" applyBorder="1" applyAlignment="1"/>
    <xf numFmtId="0" fontId="29" fillId="35" borderId="1" xfId="0" applyFont="1" applyFill="1" applyBorder="1" applyAlignment="1">
      <alignment horizontal="left"/>
    </xf>
    <xf numFmtId="0" fontId="27" fillId="3" borderId="1" xfId="0" applyFont="1" applyFill="1" applyBorder="1"/>
    <xf numFmtId="0" fontId="0" fillId="3" borderId="1" xfId="0" applyFill="1" applyBorder="1" applyAlignment="1">
      <alignment vertical="center"/>
    </xf>
    <xf numFmtId="0" fontId="26" fillId="3" borderId="1" xfId="0" applyFont="1" applyFill="1" applyBorder="1" applyAlignment="1">
      <alignment vertical="center" wrapText="1"/>
    </xf>
    <xf numFmtId="0" fontId="27" fillId="35" borderId="1" xfId="0" applyFont="1" applyFill="1" applyBorder="1" applyAlignment="1"/>
    <xf numFmtId="0" fontId="27" fillId="35" borderId="1" xfId="0" applyFont="1" applyFill="1" applyBorder="1" applyAlignment="1">
      <alignment horizontal="left"/>
    </xf>
    <xf numFmtId="0" fontId="27" fillId="35" borderId="1" xfId="0" applyFont="1" applyFill="1" applyBorder="1"/>
    <xf numFmtId="0" fontId="0" fillId="2" borderId="1" xfId="0" applyFill="1" applyBorder="1" applyAlignment="1">
      <alignment horizontal="right" wrapText="1"/>
    </xf>
    <xf numFmtId="1" fontId="0" fillId="2" borderId="1" xfId="0" applyNumberFormat="1" applyFill="1" applyBorder="1"/>
    <xf numFmtId="0" fontId="0" fillId="2" borderId="1" xfId="0" applyFill="1" applyBorder="1" applyAlignment="1">
      <alignment horizontal="center" vertical="center" wrapText="1"/>
    </xf>
    <xf numFmtId="0" fontId="26" fillId="2" borderId="1" xfId="0" applyFont="1" applyFill="1" applyBorder="1" applyAlignment="1">
      <alignment vertical="center" wrapText="1"/>
    </xf>
    <xf numFmtId="49" fontId="31" fillId="3" borderId="1" xfId="0" applyNumberFormat="1" applyFont="1" applyFill="1" applyBorder="1" applyAlignment="1" applyProtection="1">
      <alignment vertical="center" wrapText="1"/>
      <protection locked="0"/>
    </xf>
    <xf numFmtId="0" fontId="0" fillId="3" borderId="1" xfId="0" applyFont="1" applyFill="1" applyBorder="1" applyAlignment="1">
      <alignment horizontal="right"/>
    </xf>
    <xf numFmtId="0" fontId="0" fillId="3" borderId="1" xfId="0" applyFont="1" applyFill="1" applyBorder="1"/>
    <xf numFmtId="49" fontId="4" fillId="2" borderId="1" xfId="0" applyNumberFormat="1" applyFont="1" applyFill="1" applyBorder="1" applyAlignment="1" applyProtection="1">
      <alignment vertical="center" wrapText="1"/>
      <protection locked="0"/>
    </xf>
    <xf numFmtId="1" fontId="26" fillId="3" borderId="1" xfId="0" applyNumberFormat="1" applyFont="1" applyFill="1" applyBorder="1" applyAlignment="1">
      <alignment vertical="center" wrapText="1"/>
    </xf>
    <xf numFmtId="0" fontId="29" fillId="35" borderId="1" xfId="0" applyFont="1" applyFill="1" applyBorder="1"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1" fontId="0" fillId="3" borderId="1" xfId="0" applyNumberFormat="1" applyFill="1" applyBorder="1" applyAlignment="1">
      <alignment wrapText="1"/>
    </xf>
    <xf numFmtId="0" fontId="30" fillId="36" borderId="1" xfId="0" applyFont="1" applyFill="1" applyBorder="1" applyAlignment="1">
      <alignment vertical="center" wrapText="1"/>
    </xf>
    <xf numFmtId="0" fontId="0" fillId="3" borderId="0" xfId="0" applyFill="1"/>
    <xf numFmtId="1" fontId="0" fillId="2" borderId="1" xfId="0" applyNumberFormat="1" applyFill="1" applyBorder="1" applyAlignment="1">
      <alignment horizontal="right"/>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0" fillId="2" borderId="1" xfId="0" applyFill="1" applyBorder="1" applyAlignment="1">
      <alignment vertical="center"/>
    </xf>
    <xf numFmtId="1" fontId="26" fillId="2" borderId="1" xfId="0" applyNumberFormat="1" applyFont="1" applyFill="1" applyBorder="1" applyAlignment="1">
      <alignment vertical="center" wrapText="1"/>
    </xf>
    <xf numFmtId="0" fontId="0" fillId="3" borderId="1" xfId="0" applyFill="1" applyBorder="1" applyAlignment="1">
      <alignment horizontal="center" vertical="center" wrapText="1"/>
    </xf>
    <xf numFmtId="167" fontId="0" fillId="3" borderId="1" xfId="0" applyNumberFormat="1" applyFill="1" applyBorder="1"/>
    <xf numFmtId="1" fontId="27" fillId="3" borderId="1" xfId="0" applyNumberFormat="1" applyFont="1" applyFill="1" applyBorder="1"/>
    <xf numFmtId="1" fontId="30" fillId="3" borderId="1" xfId="0" applyNumberFormat="1" applyFont="1" applyFill="1" applyBorder="1"/>
    <xf numFmtId="1" fontId="29" fillId="35" borderId="1" xfId="0" applyNumberFormat="1" applyFont="1" applyFill="1" applyBorder="1" applyAlignment="1"/>
    <xf numFmtId="0" fontId="30" fillId="3" borderId="1" xfId="0" applyFont="1" applyFill="1" applyBorder="1" applyAlignment="1">
      <alignment wrapText="1"/>
    </xf>
    <xf numFmtId="0" fontId="27" fillId="2" borderId="12" xfId="0" applyFont="1" applyFill="1" applyBorder="1"/>
    <xf numFmtId="0" fontId="0" fillId="2" borderId="12" xfId="0" applyFill="1" applyBorder="1"/>
    <xf numFmtId="0" fontId="0" fillId="0" borderId="1" xfId="0" applyBorder="1"/>
    <xf numFmtId="1" fontId="30" fillId="0" borderId="1" xfId="0" applyNumberFormat="1" applyFont="1" applyBorder="1"/>
    <xf numFmtId="0" fontId="29" fillId="3" borderId="12" xfId="0" applyFont="1" applyFill="1" applyBorder="1" applyAlignment="1">
      <alignment wrapText="1"/>
    </xf>
    <xf numFmtId="0" fontId="33" fillId="3" borderId="1" xfId="0" applyFont="1" applyFill="1" applyBorder="1"/>
    <xf numFmtId="0" fontId="33" fillId="0" borderId="1" xfId="0" applyFont="1" applyBorder="1"/>
    <xf numFmtId="1" fontId="29" fillId="0" borderId="1" xfId="0" applyNumberFormat="1"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 fontId="1" fillId="0" borderId="13"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34" fillId="37" borderId="16" xfId="0" applyFont="1" applyFill="1" applyBorder="1" applyAlignment="1">
      <alignment horizontal="center" vertical="center"/>
    </xf>
    <xf numFmtId="0" fontId="34" fillId="37" borderId="17" xfId="0" applyFont="1" applyFill="1" applyBorder="1" applyAlignment="1">
      <alignment horizontal="center" vertical="center"/>
    </xf>
    <xf numFmtId="0" fontId="35" fillId="0" borderId="18" xfId="0" applyFont="1" applyBorder="1" applyAlignment="1">
      <alignment vertical="center"/>
    </xf>
    <xf numFmtId="0" fontId="35" fillId="0" borderId="19" xfId="0" applyFont="1" applyBorder="1" applyAlignment="1">
      <alignment vertical="center"/>
    </xf>
    <xf numFmtId="0" fontId="35" fillId="37" borderId="18" xfId="0" applyFont="1" applyFill="1" applyBorder="1" applyAlignment="1">
      <alignment vertical="center"/>
    </xf>
    <xf numFmtId="0" fontId="35" fillId="37" borderId="20" xfId="0" applyFont="1" applyFill="1" applyBorder="1" applyAlignment="1">
      <alignment vertical="center"/>
    </xf>
    <xf numFmtId="0" fontId="34" fillId="37" borderId="21" xfId="0" applyFont="1" applyFill="1" applyBorder="1" applyAlignment="1">
      <alignment horizontal="center" vertical="center"/>
    </xf>
    <xf numFmtId="0" fontId="35" fillId="0" borderId="20" xfId="0" applyFont="1" applyBorder="1" applyAlignment="1">
      <alignment vertical="center"/>
    </xf>
    <xf numFmtId="0" fontId="34" fillId="37" borderId="20" xfId="0" applyFont="1" applyFill="1" applyBorder="1" applyAlignment="1">
      <alignment vertical="center"/>
    </xf>
    <xf numFmtId="4" fontId="27" fillId="0" borderId="13" xfId="0" applyNumberFormat="1" applyFont="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35" fillId="0" borderId="0" xfId="0" applyFont="1" applyFill="1" applyBorder="1" applyAlignment="1">
      <alignment vertical="center"/>
    </xf>
    <xf numFmtId="1" fontId="0" fillId="0" borderId="0" xfId="0" applyNumberFormat="1"/>
    <xf numFmtId="0" fontId="27" fillId="38" borderId="1" xfId="0" applyFont="1" applyFill="1" applyBorder="1"/>
    <xf numFmtId="0" fontId="0" fillId="38" borderId="1" xfId="0" applyFill="1" applyBorder="1" applyAlignment="1">
      <alignment horizontal="right"/>
    </xf>
    <xf numFmtId="0" fontId="0" fillId="38" borderId="1" xfId="0" applyFill="1" applyBorder="1"/>
    <xf numFmtId="1" fontId="0" fillId="38" borderId="1" xfId="0" applyNumberFormat="1" applyFill="1" applyBorder="1"/>
    <xf numFmtId="1" fontId="27" fillId="38" borderId="1" xfId="0" applyNumberFormat="1" applyFont="1" applyFill="1" applyBorder="1"/>
    <xf numFmtId="0" fontId="0" fillId="38" borderId="1" xfId="0" applyFill="1" applyBorder="1" applyAlignment="1">
      <alignment wrapText="1"/>
    </xf>
    <xf numFmtId="0" fontId="0" fillId="38" borderId="0" xfId="0" applyFill="1"/>
    <xf numFmtId="0" fontId="30" fillId="3" borderId="1" xfId="0" applyFont="1" applyFill="1" applyBorder="1"/>
    <xf numFmtId="0" fontId="0" fillId="38" borderId="1" xfId="0" applyFill="1" applyBorder="1" applyAlignment="1">
      <alignment vertical="center" wrapText="1"/>
    </xf>
    <xf numFmtId="0" fontId="27" fillId="39" borderId="1" xfId="0" applyFont="1" applyFill="1" applyBorder="1" applyAlignment="1"/>
    <xf numFmtId="0" fontId="0" fillId="39" borderId="1" xfId="0" applyFill="1" applyBorder="1" applyAlignment="1">
      <alignment horizontal="right" wrapText="1"/>
    </xf>
    <xf numFmtId="0" fontId="0" fillId="39" borderId="1" xfId="0" applyFill="1" applyBorder="1" applyAlignment="1">
      <alignment horizontal="right"/>
    </xf>
    <xf numFmtId="1" fontId="30" fillId="39" borderId="1" xfId="0" applyNumberFormat="1" applyFont="1" applyFill="1" applyBorder="1" applyAlignment="1"/>
    <xf numFmtId="9" fontId="0" fillId="39" borderId="1" xfId="0" applyNumberFormat="1" applyFill="1" applyBorder="1" applyAlignment="1">
      <alignment horizontal="right"/>
    </xf>
    <xf numFmtId="0" fontId="29" fillId="39" borderId="1" xfId="0" applyFont="1" applyFill="1" applyBorder="1" applyAlignment="1"/>
    <xf numFmtId="0" fontId="0" fillId="39" borderId="1" xfId="0" applyFill="1" applyBorder="1" applyAlignment="1">
      <alignment wrapText="1"/>
    </xf>
    <xf numFmtId="1" fontId="29" fillId="39" borderId="1" xfId="0" applyNumberFormat="1" applyFont="1" applyFill="1" applyBorder="1" applyAlignment="1"/>
    <xf numFmtId="1" fontId="0" fillId="39" borderId="1" xfId="0" applyNumberFormat="1" applyFill="1" applyBorder="1" applyAlignment="1">
      <alignment horizontal="right"/>
    </xf>
    <xf numFmtId="0" fontId="33" fillId="39" borderId="1" xfId="0" applyFont="1" applyFill="1" applyBorder="1" applyAlignment="1">
      <alignment horizontal="right"/>
    </xf>
    <xf numFmtId="0" fontId="0" fillId="39" borderId="12" xfId="0" applyFill="1" applyBorder="1" applyAlignment="1">
      <alignment horizontal="right"/>
    </xf>
    <xf numFmtId="0" fontId="0" fillId="39" borderId="1" xfId="0" applyFill="1" applyBorder="1"/>
    <xf numFmtId="0" fontId="26" fillId="39" borderId="1" xfId="0" applyFont="1" applyFill="1" applyBorder="1" applyAlignment="1">
      <alignment vertical="center" wrapText="1"/>
    </xf>
    <xf numFmtId="0" fontId="0" fillId="39" borderId="0" xfId="0" applyFill="1"/>
    <xf numFmtId="0" fontId="0" fillId="38" borderId="1" xfId="0" applyFont="1" applyFill="1" applyBorder="1" applyAlignment="1">
      <alignment wrapText="1"/>
    </xf>
    <xf numFmtId="1" fontId="36" fillId="3" borderId="1" xfId="0" applyNumberFormat="1" applyFont="1" applyFill="1" applyBorder="1"/>
    <xf numFmtId="49" fontId="31" fillId="38" borderId="1" xfId="0" applyNumberFormat="1" applyFont="1" applyFill="1" applyBorder="1" applyAlignment="1" applyProtection="1">
      <alignment vertical="center" wrapText="1"/>
      <protection locked="0"/>
    </xf>
    <xf numFmtId="0" fontId="0" fillId="38" borderId="1" xfId="0" applyFont="1" applyFill="1" applyBorder="1" applyAlignment="1">
      <alignment horizontal="right"/>
    </xf>
    <xf numFmtId="0" fontId="0" fillId="38" borderId="1" xfId="0" applyFont="1" applyFill="1" applyBorder="1"/>
    <xf numFmtId="1" fontId="36" fillId="38" borderId="1" xfId="0" applyNumberFormat="1" applyFont="1" applyFill="1" applyBorder="1"/>
    <xf numFmtId="1" fontId="30" fillId="40" borderId="1" xfId="0" applyNumberFormat="1" applyFont="1" applyFill="1" applyBorder="1"/>
    <xf numFmtId="0" fontId="0" fillId="35" borderId="1" xfId="0" applyFill="1" applyBorder="1"/>
    <xf numFmtId="0" fontId="0" fillId="41" borderId="1" xfId="0" applyFill="1" applyBorder="1"/>
    <xf numFmtId="1" fontId="0" fillId="35" borderId="1" xfId="0" applyNumberFormat="1" applyFill="1" applyBorder="1"/>
    <xf numFmtId="0" fontId="0" fillId="42" borderId="1" xfId="0" applyFill="1" applyBorder="1"/>
    <xf numFmtId="0" fontId="30" fillId="0" borderId="1" xfId="0" applyFont="1" applyBorder="1" applyAlignment="1">
      <alignment horizontal="center" vertical="center" wrapText="1"/>
    </xf>
    <xf numFmtId="1" fontId="0" fillId="41" borderId="1" xfId="0" applyNumberFormat="1" applyFill="1" applyBorder="1" applyAlignment="1">
      <alignment wrapText="1"/>
    </xf>
    <xf numFmtId="4" fontId="0" fillId="0" borderId="0" xfId="0" applyNumberFormat="1"/>
    <xf numFmtId="4" fontId="1" fillId="3" borderId="13" xfId="0" applyNumberFormat="1" applyFont="1" applyFill="1" applyBorder="1" applyAlignment="1">
      <alignment horizontal="center" vertical="center" wrapText="1"/>
    </xf>
    <xf numFmtId="4" fontId="1" fillId="43" borderId="13"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 fontId="30" fillId="0" borderId="13" xfId="0" applyNumberFormat="1" applyFont="1" applyBorder="1" applyAlignment="1">
      <alignment horizontal="center" vertical="center" wrapText="1"/>
    </xf>
    <xf numFmtId="4" fontId="30" fillId="2" borderId="13" xfId="0" applyNumberFormat="1" applyFont="1" applyFill="1" applyBorder="1" applyAlignment="1">
      <alignment horizontal="center" vertical="center" wrapText="1"/>
    </xf>
    <xf numFmtId="0" fontId="0" fillId="3" borderId="0" xfId="0" applyFill="1" applyBorder="1"/>
    <xf numFmtId="0" fontId="34" fillId="37" borderId="0" xfId="0" applyFont="1" applyFill="1" applyBorder="1" applyAlignment="1">
      <alignment horizontal="center" vertical="center"/>
    </xf>
    <xf numFmtId="0" fontId="35" fillId="0" borderId="0" xfId="0" applyFont="1" applyBorder="1" applyAlignment="1">
      <alignment vertical="center"/>
    </xf>
    <xf numFmtId="0" fontId="34" fillId="37" borderId="0" xfId="0" applyFont="1" applyFill="1" applyBorder="1" applyAlignment="1">
      <alignment vertical="center"/>
    </xf>
    <xf numFmtId="4" fontId="37" fillId="3" borderId="13" xfId="0" applyNumberFormat="1" applyFont="1" applyFill="1" applyBorder="1" applyAlignment="1">
      <alignment horizontal="center" vertical="center" wrapText="1"/>
    </xf>
    <xf numFmtId="168" fontId="0" fillId="3" borderId="1" xfId="0" applyNumberFormat="1" applyFill="1" applyBorder="1" applyAlignment="1">
      <alignment horizontal="center" vertical="center" wrapText="1"/>
    </xf>
    <xf numFmtId="0" fontId="0" fillId="48" borderId="1" xfId="0" applyFill="1" applyBorder="1" applyAlignment="1">
      <alignment horizontal="center" vertical="top" wrapText="1"/>
    </xf>
    <xf numFmtId="9" fontId="0" fillId="48" borderId="1" xfId="110" applyFont="1" applyFill="1" applyBorder="1" applyAlignment="1">
      <alignment horizontal="center" vertical="top" wrapText="1"/>
    </xf>
    <xf numFmtId="168" fontId="0" fillId="47" borderId="1" xfId="0" applyNumberFormat="1" applyFill="1" applyBorder="1" applyAlignment="1">
      <alignment horizontal="center" vertical="center" wrapText="1"/>
    </xf>
    <xf numFmtId="0" fontId="0" fillId="48" borderId="1" xfId="0" applyNumberFormat="1" applyFill="1" applyBorder="1" applyAlignment="1">
      <alignment horizontal="center" vertical="center" wrapText="1"/>
    </xf>
    <xf numFmtId="0" fontId="0" fillId="3" borderId="1" xfId="0" applyFill="1" applyBorder="1" applyAlignment="1">
      <alignment horizontal="left" vertical="top" wrapText="1"/>
    </xf>
    <xf numFmtId="9" fontId="0" fillId="3" borderId="1" xfId="11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168" fontId="0" fillId="3" borderId="1" xfId="0" applyNumberFormat="1" applyFill="1" applyBorder="1" applyAlignment="1">
      <alignment horizontal="center" vertical="top" wrapText="1"/>
    </xf>
    <xf numFmtId="0" fontId="0" fillId="0" borderId="1" xfId="0" applyFill="1" applyBorder="1" applyAlignment="1">
      <alignment horizontal="left" vertical="top" wrapText="1"/>
    </xf>
    <xf numFmtId="0" fontId="6" fillId="0" borderId="0" xfId="3" applyAlignment="1">
      <alignment horizontal="left" vertical="top" wrapText="1"/>
    </xf>
    <xf numFmtId="0" fontId="38" fillId="0" borderId="0" xfId="3" applyFont="1" applyAlignment="1">
      <alignment horizontal="left" vertical="top" wrapText="1"/>
    </xf>
    <xf numFmtId="0" fontId="27" fillId="0" borderId="0" xfId="3" applyFont="1" applyAlignment="1">
      <alignment horizontal="left" vertical="top" wrapText="1"/>
    </xf>
    <xf numFmtId="0" fontId="40" fillId="0" borderId="0" xfId="3" applyFont="1" applyAlignment="1">
      <alignment horizontal="left" vertical="top" wrapText="1"/>
    </xf>
    <xf numFmtId="168" fontId="6" fillId="0" borderId="0" xfId="3" applyNumberFormat="1" applyAlignment="1">
      <alignment horizontal="center" vertical="center" wrapText="1"/>
    </xf>
    <xf numFmtId="0" fontId="6" fillId="0" borderId="0" xfId="3" applyNumberFormat="1" applyAlignment="1">
      <alignment horizontal="center" vertical="center" wrapText="1"/>
    </xf>
    <xf numFmtId="168" fontId="40" fillId="0" borderId="0" xfId="3" applyNumberFormat="1" applyFont="1" applyFill="1" applyAlignment="1">
      <alignment horizontal="left" vertical="top" wrapText="1"/>
    </xf>
    <xf numFmtId="168" fontId="6" fillId="0" borderId="0" xfId="3" applyNumberFormat="1" applyAlignment="1">
      <alignment horizontal="left" vertical="top" wrapText="1"/>
    </xf>
    <xf numFmtId="9" fontId="0" fillId="0" borderId="0" xfId="111" applyFont="1" applyAlignment="1">
      <alignment horizontal="center" vertical="center" wrapText="1"/>
    </xf>
    <xf numFmtId="0" fontId="6" fillId="0" borderId="0" xfId="3" applyAlignment="1">
      <alignment horizontal="center" vertical="center" wrapText="1"/>
    </xf>
    <xf numFmtId="0" fontId="6" fillId="3" borderId="0" xfId="3" applyFill="1" applyAlignment="1">
      <alignment horizontal="left" vertical="top" wrapText="1"/>
    </xf>
    <xf numFmtId="168" fontId="38" fillId="50" borderId="1" xfId="3" applyNumberFormat="1" applyFont="1" applyFill="1" applyBorder="1" applyAlignment="1">
      <alignment vertical="center" wrapText="1"/>
    </xf>
    <xf numFmtId="168" fontId="27" fillId="44" borderId="1" xfId="3" applyNumberFormat="1" applyFont="1" applyFill="1" applyBorder="1" applyAlignment="1">
      <alignment vertical="center" wrapText="1"/>
    </xf>
    <xf numFmtId="168" fontId="6" fillId="3" borderId="1" xfId="3" applyNumberFormat="1" applyFill="1" applyBorder="1" applyAlignment="1">
      <alignment horizontal="center" vertical="top" wrapText="1"/>
    </xf>
    <xf numFmtId="0" fontId="40" fillId="3" borderId="1" xfId="3" applyFont="1" applyFill="1" applyBorder="1" applyAlignment="1">
      <alignment horizontal="left" vertical="top" wrapText="1"/>
    </xf>
    <xf numFmtId="0" fontId="6" fillId="3" borderId="1" xfId="3" applyFill="1" applyBorder="1" applyAlignment="1">
      <alignment horizontal="left" vertical="top" wrapText="1"/>
    </xf>
    <xf numFmtId="0" fontId="6" fillId="3" borderId="1" xfId="3" applyNumberFormat="1" applyFill="1" applyBorder="1" applyAlignment="1">
      <alignment horizontal="center" vertical="center" wrapText="1"/>
    </xf>
    <xf numFmtId="168" fontId="40" fillId="3" borderId="1" xfId="3" applyNumberFormat="1" applyFont="1" applyFill="1" applyBorder="1" applyAlignment="1">
      <alignment horizontal="left" vertical="top" wrapText="1"/>
    </xf>
    <xf numFmtId="9" fontId="0" fillId="3" borderId="1" xfId="111" applyFont="1" applyFill="1" applyBorder="1" applyAlignment="1">
      <alignment horizontal="center" vertical="center" wrapText="1"/>
    </xf>
    <xf numFmtId="0" fontId="6" fillId="3" borderId="1" xfId="3" applyFill="1" applyBorder="1" applyAlignment="1">
      <alignment horizontal="center" vertical="center" wrapText="1"/>
    </xf>
    <xf numFmtId="168" fontId="6" fillId="3" borderId="1" xfId="3" applyNumberFormat="1" applyFill="1" applyBorder="1" applyAlignment="1">
      <alignment vertical="center" wrapText="1"/>
    </xf>
    <xf numFmtId="168" fontId="6" fillId="3" borderId="1" xfId="3" applyNumberFormat="1" applyFill="1" applyBorder="1" applyAlignment="1">
      <alignment horizontal="center" vertical="center" wrapText="1"/>
    </xf>
    <xf numFmtId="169" fontId="0" fillId="3" borderId="1" xfId="112" applyFont="1" applyFill="1" applyBorder="1" applyAlignment="1">
      <alignment horizontal="left" vertical="top" wrapText="1"/>
    </xf>
    <xf numFmtId="168" fontId="6" fillId="0" borderId="1" xfId="3" applyNumberFormat="1" applyFill="1" applyBorder="1" applyAlignment="1">
      <alignment horizontal="center" vertical="top" wrapText="1"/>
    </xf>
    <xf numFmtId="4" fontId="6" fillId="3" borderId="1" xfId="3" applyNumberFormat="1" applyFill="1" applyBorder="1" applyAlignment="1">
      <alignment horizontal="left" vertical="center" wrapText="1"/>
    </xf>
    <xf numFmtId="168" fontId="40" fillId="0" borderId="1" xfId="3" applyNumberFormat="1" applyFont="1" applyFill="1" applyBorder="1" applyAlignment="1">
      <alignment vertical="center"/>
    </xf>
    <xf numFmtId="168" fontId="40" fillId="0" borderId="1" xfId="3" applyNumberFormat="1" applyFont="1" applyBorder="1" applyAlignment="1">
      <alignment vertical="center"/>
    </xf>
    <xf numFmtId="168" fontId="6" fillId="0" borderId="1" xfId="3" applyNumberFormat="1" applyFill="1" applyBorder="1" applyAlignment="1">
      <alignment horizontal="center" vertical="center" wrapText="1"/>
    </xf>
    <xf numFmtId="169" fontId="0" fillId="0" borderId="1" xfId="112" applyFont="1" applyFill="1" applyBorder="1" applyAlignment="1">
      <alignment horizontal="right" vertical="center"/>
    </xf>
    <xf numFmtId="0" fontId="6" fillId="0" borderId="1" xfId="3" applyNumberFormat="1" applyFill="1" applyBorder="1" applyAlignment="1">
      <alignment horizontal="center" vertical="center" wrapText="1"/>
    </xf>
    <xf numFmtId="169" fontId="0" fillId="0" borderId="1" xfId="112" applyFont="1" applyBorder="1" applyAlignment="1">
      <alignment horizontal="right" vertical="center"/>
    </xf>
    <xf numFmtId="169" fontId="0" fillId="0" borderId="1" xfId="112" applyFont="1" applyFill="1" applyBorder="1" applyAlignment="1">
      <alignment horizontal="left" vertical="top" wrapText="1"/>
    </xf>
    <xf numFmtId="4" fontId="6" fillId="0" borderId="1" xfId="3" applyNumberFormat="1" applyFill="1" applyBorder="1" applyAlignment="1">
      <alignment horizontal="left" vertical="center" wrapText="1"/>
    </xf>
    <xf numFmtId="0" fontId="41" fillId="0" borderId="0" xfId="3" applyFont="1" applyFill="1" applyAlignment="1">
      <alignment horizontal="left" vertical="top"/>
    </xf>
    <xf numFmtId="168" fontId="40" fillId="0" borderId="1" xfId="3" applyNumberFormat="1" applyFont="1" applyFill="1" applyBorder="1" applyAlignment="1">
      <alignment vertical="center" wrapText="1"/>
    </xf>
    <xf numFmtId="168" fontId="6" fillId="0" borderId="1" xfId="3" applyNumberFormat="1" applyFill="1" applyBorder="1" applyAlignment="1">
      <alignment horizontal="left" vertical="top" wrapText="1"/>
    </xf>
    <xf numFmtId="168" fontId="40" fillId="3" borderId="1" xfId="3" applyNumberFormat="1" applyFont="1" applyFill="1" applyBorder="1" applyAlignment="1">
      <alignment vertical="center" wrapText="1"/>
    </xf>
    <xf numFmtId="0" fontId="6" fillId="49" borderId="1" xfId="3" applyFill="1" applyBorder="1" applyAlignment="1">
      <alignment horizontal="left" vertical="top" wrapText="1"/>
    </xf>
    <xf numFmtId="0" fontId="6" fillId="0" borderId="0" xfId="3" applyAlignment="1">
      <alignment horizontal="center" vertical="top" wrapText="1"/>
    </xf>
    <xf numFmtId="168" fontId="6" fillId="2" borderId="1" xfId="3" applyNumberFormat="1" applyFill="1" applyBorder="1" applyAlignment="1">
      <alignment horizontal="center" vertical="top" wrapText="1"/>
    </xf>
    <xf numFmtId="0" fontId="39" fillId="2" borderId="0" xfId="3" applyFont="1" applyFill="1" applyAlignment="1">
      <alignment horizontal="center" vertical="top"/>
    </xf>
    <xf numFmtId="0" fontId="6" fillId="0" borderId="1" xfId="3" applyBorder="1" applyAlignment="1">
      <alignment horizontal="center" vertical="top" wrapText="1"/>
    </xf>
    <xf numFmtId="168" fontId="38" fillId="44" borderId="1" xfId="3" applyNumberFormat="1" applyFont="1" applyFill="1" applyBorder="1" applyAlignment="1">
      <alignment horizontal="center" vertical="top" wrapText="1"/>
    </xf>
    <xf numFmtId="169" fontId="42" fillId="44" borderId="1" xfId="112" applyFont="1" applyFill="1" applyBorder="1" applyAlignment="1">
      <alignment horizontal="center" vertical="top" wrapText="1"/>
    </xf>
    <xf numFmtId="168" fontId="6" fillId="51" borderId="1" xfId="3" applyNumberFormat="1" applyFill="1" applyBorder="1" applyAlignment="1">
      <alignment horizontal="center" vertical="top" wrapText="1"/>
    </xf>
    <xf numFmtId="168" fontId="40" fillId="43" borderId="1" xfId="3" applyNumberFormat="1" applyFont="1" applyFill="1" applyBorder="1" applyAlignment="1">
      <alignment horizontal="center" vertical="top" wrapText="1"/>
    </xf>
    <xf numFmtId="0" fontId="6" fillId="48" borderId="1" xfId="3" applyNumberFormat="1" applyFill="1" applyBorder="1" applyAlignment="1">
      <alignment horizontal="center" vertical="center" wrapText="1"/>
    </xf>
    <xf numFmtId="168" fontId="6" fillId="47" borderId="1" xfId="3" applyNumberFormat="1" applyFill="1" applyBorder="1" applyAlignment="1">
      <alignment horizontal="center" vertical="center" wrapText="1"/>
    </xf>
    <xf numFmtId="169" fontId="0" fillId="51" borderId="1" xfId="112" applyFont="1" applyFill="1" applyBorder="1" applyAlignment="1">
      <alignment horizontal="center" vertical="top" wrapText="1"/>
    </xf>
    <xf numFmtId="168" fontId="6" fillId="48" borderId="1" xfId="3" applyNumberFormat="1" applyFill="1" applyBorder="1" applyAlignment="1">
      <alignment horizontal="center" vertical="top" wrapText="1"/>
    </xf>
    <xf numFmtId="0" fontId="6" fillId="51" borderId="1" xfId="3" applyFill="1" applyBorder="1" applyAlignment="1">
      <alignment horizontal="center" vertical="top" wrapText="1"/>
    </xf>
    <xf numFmtId="9" fontId="0" fillId="48" borderId="1" xfId="111" applyFont="1" applyFill="1" applyBorder="1" applyAlignment="1">
      <alignment horizontal="center" vertical="top" wrapText="1"/>
    </xf>
    <xf numFmtId="0" fontId="6" fillId="48" borderId="1" xfId="3" applyFill="1" applyBorder="1" applyAlignment="1">
      <alignment horizontal="center" vertical="top" wrapText="1"/>
    </xf>
    <xf numFmtId="168" fontId="27" fillId="0" borderId="1" xfId="3" applyNumberFormat="1" applyFont="1" applyBorder="1" applyAlignment="1">
      <alignment horizontal="left" vertical="top" wrapText="1"/>
    </xf>
    <xf numFmtId="168" fontId="1" fillId="0" borderId="0" xfId="3" applyNumberFormat="1" applyFont="1" applyFill="1" applyBorder="1" applyAlignment="1">
      <alignment horizontal="center" vertical="top" wrapText="1"/>
    </xf>
    <xf numFmtId="168" fontId="40" fillId="0" borderId="0" xfId="3" applyNumberFormat="1" applyFont="1" applyAlignment="1">
      <alignment horizontal="left" vertical="top" wrapText="1"/>
    </xf>
    <xf numFmtId="168" fontId="43" fillId="0" borderId="0" xfId="3" applyNumberFormat="1" applyFont="1" applyFill="1" applyBorder="1" applyAlignment="1">
      <alignment horizontal="left" vertical="top" wrapText="1"/>
    </xf>
    <xf numFmtId="168" fontId="1" fillId="0" borderId="0" xfId="3" applyNumberFormat="1" applyFont="1" applyFill="1" applyBorder="1" applyAlignment="1">
      <alignment horizontal="left" vertical="top" wrapText="1"/>
    </xf>
    <xf numFmtId="168" fontId="6" fillId="0" borderId="0" xfId="3" applyNumberFormat="1" applyFill="1" applyBorder="1" applyAlignment="1">
      <alignment horizontal="center" vertical="center" wrapText="1"/>
    </xf>
    <xf numFmtId="169" fontId="38" fillId="0" borderId="0" xfId="112" applyFont="1" applyAlignment="1">
      <alignment horizontal="left" vertical="top" wrapText="1"/>
    </xf>
    <xf numFmtId="168" fontId="38" fillId="0" borderId="0" xfId="3" applyNumberFormat="1" applyFont="1" applyAlignment="1">
      <alignment horizontal="center" vertical="center" wrapText="1"/>
    </xf>
    <xf numFmtId="9" fontId="1" fillId="0" borderId="1" xfId="111" applyFont="1" applyBorder="1" applyAlignment="1">
      <alignment horizontal="center" vertical="center" wrapText="1"/>
    </xf>
    <xf numFmtId="0" fontId="1" fillId="0" borderId="1" xfId="3" applyFont="1" applyBorder="1" applyAlignment="1">
      <alignment horizontal="left" vertical="top" wrapText="1"/>
    </xf>
    <xf numFmtId="169" fontId="0" fillId="0" borderId="0" xfId="112" applyFont="1" applyAlignment="1">
      <alignment horizontal="center" vertical="center" wrapText="1"/>
    </xf>
    <xf numFmtId="168" fontId="6" fillId="0" borderId="0" xfId="3" applyNumberFormat="1" applyAlignment="1">
      <alignment horizontal="center" vertical="top" wrapText="1"/>
    </xf>
    <xf numFmtId="168" fontId="27" fillId="0" borderId="0" xfId="3" applyNumberFormat="1" applyFont="1" applyAlignment="1">
      <alignment horizontal="center" vertical="top" wrapText="1"/>
    </xf>
    <xf numFmtId="168" fontId="40" fillId="0" borderId="0" xfId="3" applyNumberFormat="1" applyFont="1" applyAlignment="1">
      <alignment horizontal="center" vertical="top" wrapText="1"/>
    </xf>
    <xf numFmtId="169" fontId="0" fillId="0" borderId="0" xfId="112" applyFont="1" applyAlignment="1">
      <alignment horizontal="center" vertical="top" wrapText="1"/>
    </xf>
    <xf numFmtId="10" fontId="6" fillId="0" borderId="0" xfId="3" applyNumberFormat="1" applyAlignment="1">
      <alignment horizontal="left" vertical="top" wrapText="1"/>
    </xf>
    <xf numFmtId="0" fontId="6" fillId="2" borderId="1" xfId="3" applyNumberFormat="1" applyFill="1" applyBorder="1" applyAlignment="1">
      <alignment horizontal="center" vertical="center" wrapText="1"/>
    </xf>
    <xf numFmtId="0" fontId="6" fillId="0" borderId="1" xfId="3" applyBorder="1" applyAlignment="1">
      <alignment horizontal="left" vertical="top" wrapText="1"/>
    </xf>
    <xf numFmtId="0" fontId="44" fillId="0" borderId="1" xfId="0" applyFont="1" applyBorder="1" applyAlignment="1">
      <alignment vertical="top" wrapText="1"/>
    </xf>
    <xf numFmtId="9" fontId="0" fillId="0" borderId="0" xfId="0" applyNumberFormat="1" applyAlignment="1">
      <alignment horizontal="left"/>
    </xf>
    <xf numFmtId="0" fontId="0" fillId="2" borderId="0" xfId="0" applyFill="1"/>
    <xf numFmtId="0" fontId="0" fillId="2" borderId="0" xfId="0" applyFill="1" applyAlignment="1">
      <alignment horizontal="left"/>
    </xf>
    <xf numFmtId="9" fontId="0" fillId="2" borderId="0" xfId="0" applyNumberFormat="1" applyFill="1" applyAlignment="1">
      <alignment horizontal="left"/>
    </xf>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0" fillId="0" borderId="1" xfId="0" applyBorder="1" applyAlignment="1">
      <alignment wrapText="1"/>
    </xf>
    <xf numFmtId="0" fontId="0" fillId="0" borderId="0" xfId="0"/>
    <xf numFmtId="0" fontId="0" fillId="0" borderId="1" xfId="0" applyFill="1" applyBorder="1" applyAlignment="1">
      <alignment wrapText="1"/>
    </xf>
    <xf numFmtId="4" fontId="1" fillId="0" borderId="1"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4" fontId="27" fillId="39" borderId="1" xfId="0" applyNumberFormat="1" applyFont="1" applyFill="1" applyBorder="1" applyAlignment="1">
      <alignment horizontal="center" vertical="center" wrapText="1"/>
    </xf>
    <xf numFmtId="4" fontId="0" fillId="2" borderId="1" xfId="0" applyNumberFormat="1" applyFill="1" applyBorder="1"/>
    <xf numFmtId="4" fontId="27" fillId="39" borderId="13" xfId="0" applyNumberFormat="1" applyFont="1" applyFill="1" applyBorder="1" applyAlignment="1">
      <alignment horizontal="center" vertical="center" wrapText="1"/>
    </xf>
    <xf numFmtId="4" fontId="30" fillId="39" borderId="13" xfId="0" applyNumberFormat="1" applyFont="1" applyFill="1" applyBorder="1" applyAlignment="1">
      <alignment horizontal="center" vertical="center" wrapText="1"/>
    </xf>
    <xf numFmtId="0" fontId="0" fillId="40" borderId="1" xfId="0" applyFill="1" applyBorder="1" applyAlignment="1">
      <alignment wrapText="1"/>
    </xf>
    <xf numFmtId="4" fontId="1" fillId="40" borderId="13" xfId="0" applyNumberFormat="1" applyFont="1" applyFill="1" applyBorder="1" applyAlignment="1">
      <alignment horizontal="center" vertical="center" wrapText="1"/>
    </xf>
    <xf numFmtId="4" fontId="45" fillId="0" borderId="13" xfId="0" applyNumberFormat="1" applyFont="1" applyBorder="1" applyAlignment="1">
      <alignment horizontal="center" vertical="center" wrapText="1"/>
    </xf>
    <xf numFmtId="4" fontId="30" fillId="43" borderId="13" xfId="0" applyNumberFormat="1" applyFont="1" applyFill="1" applyBorder="1" applyAlignment="1">
      <alignment horizontal="center" vertical="center" wrapText="1"/>
    </xf>
    <xf numFmtId="4" fontId="45" fillId="0" borderId="22" xfId="0" applyNumberFormat="1" applyFont="1" applyBorder="1" applyAlignment="1">
      <alignment horizontal="center" vertical="center" wrapText="1"/>
    </xf>
    <xf numFmtId="4" fontId="45" fillId="0" borderId="24" xfId="0" applyNumberFormat="1" applyFont="1" applyBorder="1" applyAlignment="1">
      <alignment horizontal="center" vertical="center" wrapText="1"/>
    </xf>
    <xf numFmtId="4" fontId="45" fillId="0" borderId="25" xfId="0" applyNumberFormat="1" applyFont="1" applyBorder="1" applyAlignment="1">
      <alignment horizontal="center" vertical="center" wrapText="1"/>
    </xf>
    <xf numFmtId="4" fontId="45" fillId="0" borderId="18" xfId="0" applyNumberFormat="1" applyFont="1" applyBorder="1" applyAlignment="1">
      <alignment horizontal="center" vertical="center" wrapText="1"/>
    </xf>
    <xf numFmtId="4" fontId="45" fillId="0" borderId="29" xfId="0" applyNumberFormat="1" applyFont="1" applyBorder="1" applyAlignment="1">
      <alignment horizontal="center" vertical="center" wrapText="1"/>
    </xf>
    <xf numFmtId="4" fontId="45" fillId="0" borderId="23" xfId="0" applyNumberFormat="1" applyFont="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3" fillId="0" borderId="1" xfId="0" applyFont="1" applyBorder="1" applyAlignment="1">
      <alignment wrapText="1"/>
    </xf>
    <xf numFmtId="4" fontId="33" fillId="0" borderId="1" xfId="0" applyNumberFormat="1" applyFont="1" applyBorder="1"/>
    <xf numFmtId="4" fontId="29" fillId="0" borderId="1" xfId="0" applyNumberFormat="1" applyFont="1" applyBorder="1"/>
    <xf numFmtId="0" fontId="1" fillId="3" borderId="1" xfId="0" applyFont="1" applyFill="1" applyBorder="1" applyAlignment="1">
      <alignment horizontal="right" wrapText="1"/>
    </xf>
    <xf numFmtId="0" fontId="30" fillId="3" borderId="1" xfId="0" applyFont="1" applyFill="1" applyBorder="1" applyAlignment="1">
      <alignment horizontal="right" wrapText="1"/>
    </xf>
    <xf numFmtId="0" fontId="30" fillId="40" borderId="11" xfId="0" applyFont="1" applyFill="1" applyBorder="1" applyAlignment="1">
      <alignment horizontal="center" vertical="center"/>
    </xf>
    <xf numFmtId="0" fontId="45" fillId="0" borderId="1" xfId="0" applyFont="1" applyBorder="1"/>
    <xf numFmtId="0" fontId="30" fillId="40" borderId="12" xfId="0" applyFont="1" applyFill="1" applyBorder="1" applyAlignment="1">
      <alignment horizontal="center" vertical="center"/>
    </xf>
    <xf numFmtId="0" fontId="30" fillId="35" borderId="1" xfId="0" applyFont="1" applyFill="1" applyBorder="1" applyAlignment="1"/>
    <xf numFmtId="0" fontId="30" fillId="0" borderId="1" xfId="0" applyFont="1" applyBorder="1"/>
    <xf numFmtId="0" fontId="45" fillId="0" borderId="0" xfId="0" applyFont="1"/>
    <xf numFmtId="1" fontId="30" fillId="3" borderId="11" xfId="0" applyNumberFormat="1" applyFont="1" applyFill="1" applyBorder="1"/>
    <xf numFmtId="1" fontId="29" fillId="35" borderId="12" xfId="0" applyNumberFormat="1" applyFont="1" applyFill="1" applyBorder="1" applyAlignment="1"/>
    <xf numFmtId="0" fontId="30" fillId="3" borderId="1" xfId="0" applyFont="1" applyFill="1" applyBorder="1" applyAlignment="1">
      <alignment horizontal="right"/>
    </xf>
    <xf numFmtId="1" fontId="30" fillId="3" borderId="1" xfId="0" applyNumberFormat="1" applyFont="1" applyFill="1" applyBorder="1" applyAlignment="1">
      <alignment horizontal="right"/>
    </xf>
    <xf numFmtId="0" fontId="30" fillId="46" borderId="1" xfId="0" applyFont="1" applyFill="1" applyBorder="1" applyAlignment="1">
      <alignment horizontal="right" wrapText="1"/>
    </xf>
    <xf numFmtId="168" fontId="30" fillId="3" borderId="1" xfId="0" applyNumberFormat="1" applyFont="1" applyFill="1" applyBorder="1" applyAlignment="1">
      <alignment horizontal="center" vertical="center" wrapText="1"/>
    </xf>
    <xf numFmtId="0" fontId="30" fillId="0" borderId="0" xfId="0" applyFont="1"/>
    <xf numFmtId="0" fontId="30" fillId="2" borderId="1" xfId="0" applyFont="1" applyFill="1" applyBorder="1"/>
    <xf numFmtId="9" fontId="30" fillId="3" borderId="1" xfId="0" applyNumberFormat="1" applyFont="1" applyFill="1" applyBorder="1" applyAlignment="1">
      <alignment horizontal="right"/>
    </xf>
    <xf numFmtId="0" fontId="30" fillId="3" borderId="0" xfId="0" applyFont="1" applyFill="1" applyBorder="1" applyAlignment="1">
      <alignment horizontal="left" wrapText="1"/>
    </xf>
    <xf numFmtId="0" fontId="30" fillId="3" borderId="11" xfId="0" applyFont="1" applyFill="1" applyBorder="1"/>
    <xf numFmtId="0" fontId="30" fillId="3" borderId="11" xfId="0" applyFont="1" applyFill="1" applyBorder="1" applyAlignment="1">
      <alignment horizontal="right" wrapText="1"/>
    </xf>
    <xf numFmtId="0" fontId="30" fillId="3" borderId="11" xfId="0" applyFont="1" applyFill="1" applyBorder="1" applyAlignment="1">
      <alignment wrapText="1"/>
    </xf>
    <xf numFmtId="1" fontId="30" fillId="3" borderId="1" xfId="0" applyNumberFormat="1" applyFont="1" applyFill="1" applyBorder="1" applyAlignment="1">
      <alignment wrapText="1"/>
    </xf>
    <xf numFmtId="0" fontId="30" fillId="46" borderId="1" xfId="0" applyFont="1" applyFill="1" applyBorder="1"/>
    <xf numFmtId="0" fontId="30" fillId="3" borderId="1" xfId="0" applyFont="1" applyFill="1" applyBorder="1" applyAlignment="1">
      <alignment horizontal="left"/>
    </xf>
    <xf numFmtId="1" fontId="30" fillId="2" borderId="1" xfId="0" applyNumberFormat="1" applyFont="1" applyFill="1" applyBorder="1" applyAlignment="1">
      <alignment horizontal="right"/>
    </xf>
    <xf numFmtId="0" fontId="1" fillId="0" borderId="0" xfId="0" applyFont="1"/>
    <xf numFmtId="1" fontId="1" fillId="3" borderId="1" xfId="0" applyNumberFormat="1" applyFont="1" applyFill="1" applyBorder="1" applyAlignment="1"/>
    <xf numFmtId="168"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right"/>
    </xf>
    <xf numFmtId="1" fontId="1" fillId="3" borderId="1" xfId="0" applyNumberFormat="1" applyFont="1" applyFill="1" applyBorder="1"/>
    <xf numFmtId="0" fontId="1" fillId="3" borderId="11" xfId="0" applyFont="1" applyFill="1" applyBorder="1" applyAlignment="1">
      <alignment wrapText="1"/>
    </xf>
    <xf numFmtId="0" fontId="1" fillId="3" borderId="11" xfId="0" applyFont="1" applyFill="1" applyBorder="1" applyAlignment="1">
      <alignment horizontal="right" wrapText="1"/>
    </xf>
    <xf numFmtId="1" fontId="1" fillId="3" borderId="11" xfId="0" applyNumberFormat="1" applyFont="1" applyFill="1" applyBorder="1"/>
    <xf numFmtId="1" fontId="1" fillId="3" borderId="0" xfId="0" applyNumberFormat="1" applyFont="1" applyFill="1" applyBorder="1" applyAlignment="1">
      <alignment horizontal="right"/>
    </xf>
    <xf numFmtId="0" fontId="1" fillId="3" borderId="0" xfId="0" applyFont="1" applyFill="1"/>
    <xf numFmtId="9" fontId="30" fillId="3" borderId="1" xfId="0" applyNumberFormat="1" applyFont="1" applyFill="1" applyBorder="1"/>
    <xf numFmtId="4" fontId="30" fillId="3" borderId="1" xfId="0" applyNumberFormat="1" applyFont="1" applyFill="1" applyBorder="1" applyAlignment="1">
      <alignment horizontal="center" vertical="center" wrapText="1"/>
    </xf>
    <xf numFmtId="4" fontId="30" fillId="0" borderId="1" xfId="0" applyNumberFormat="1" applyFont="1" applyBorder="1" applyAlignment="1">
      <alignment horizontal="center" vertical="center" wrapText="1"/>
    </xf>
    <xf numFmtId="4" fontId="45" fillId="0" borderId="0" xfId="0" applyNumberFormat="1" applyFont="1" applyBorder="1" applyAlignment="1">
      <alignment horizontal="center" vertical="center" wrapText="1"/>
    </xf>
    <xf numFmtId="4" fontId="30" fillId="3" borderId="13" xfId="0" applyNumberFormat="1" applyFont="1" applyFill="1" applyBorder="1" applyAlignment="1">
      <alignment horizontal="center" vertical="center" wrapText="1"/>
    </xf>
    <xf numFmtId="4" fontId="45" fillId="0" borderId="32" xfId="0" applyNumberFormat="1" applyFont="1" applyBorder="1" applyAlignment="1">
      <alignment horizontal="center" vertical="center" wrapText="1"/>
    </xf>
    <xf numFmtId="4" fontId="45" fillId="0" borderId="19" xfId="0" applyNumberFormat="1" applyFont="1" applyBorder="1" applyAlignment="1">
      <alignment horizontal="center" vertical="center" wrapText="1"/>
    </xf>
    <xf numFmtId="4" fontId="45" fillId="0" borderId="33" xfId="0" applyNumberFormat="1" applyFont="1" applyBorder="1" applyAlignment="1">
      <alignment horizontal="center" vertical="center" wrapText="1"/>
    </xf>
    <xf numFmtId="4" fontId="45" fillId="2" borderId="22" xfId="0" applyNumberFormat="1" applyFont="1" applyFill="1" applyBorder="1" applyAlignment="1">
      <alignment horizontal="center" vertical="center" wrapText="1"/>
    </xf>
    <xf numFmtId="4" fontId="30" fillId="38" borderId="22" xfId="0" applyNumberFormat="1" applyFont="1" applyFill="1" applyBorder="1" applyAlignment="1">
      <alignment horizontal="center" vertical="center" wrapText="1"/>
    </xf>
    <xf numFmtId="4" fontId="30" fillId="38" borderId="33" xfId="0" applyNumberFormat="1" applyFont="1" applyFill="1" applyBorder="1" applyAlignment="1">
      <alignment horizontal="center" vertical="center" wrapText="1"/>
    </xf>
    <xf numFmtId="4" fontId="30" fillId="38" borderId="32" xfId="0" applyNumberFormat="1" applyFont="1" applyFill="1" applyBorder="1" applyAlignment="1">
      <alignment horizontal="center" vertical="center" wrapText="1"/>
    </xf>
    <xf numFmtId="4" fontId="30" fillId="38" borderId="19" xfId="0" applyNumberFormat="1" applyFont="1" applyFill="1" applyBorder="1" applyAlignment="1">
      <alignment horizontal="center" vertical="center" wrapText="1"/>
    </xf>
    <xf numFmtId="4" fontId="30" fillId="38" borderId="29" xfId="0" applyNumberFormat="1" applyFont="1" applyFill="1" applyBorder="1" applyAlignment="1">
      <alignment horizontal="center" vertical="center" wrapText="1"/>
    </xf>
    <xf numFmtId="4" fontId="45" fillId="2" borderId="26" xfId="0" applyNumberFormat="1" applyFont="1" applyFill="1" applyBorder="1" applyAlignment="1">
      <alignment horizontal="center" vertical="center" wrapText="1"/>
    </xf>
    <xf numFmtId="4" fontId="45" fillId="2" borderId="27" xfId="0" applyNumberFormat="1" applyFont="1" applyFill="1" applyBorder="1" applyAlignment="1">
      <alignment horizontal="center" vertical="center" wrapText="1"/>
    </xf>
    <xf numFmtId="4" fontId="45" fillId="2" borderId="28" xfId="0" applyNumberFormat="1" applyFont="1" applyFill="1" applyBorder="1" applyAlignment="1">
      <alignment horizontal="center" vertical="center" wrapText="1"/>
    </xf>
    <xf numFmtId="4" fontId="45" fillId="2" borderId="13" xfId="0" applyNumberFormat="1" applyFont="1" applyFill="1" applyBorder="1" applyAlignment="1">
      <alignment horizontal="center" vertical="center" wrapText="1"/>
    </xf>
    <xf numFmtId="4" fontId="45" fillId="2" borderId="23" xfId="0" applyNumberFormat="1" applyFont="1" applyFill="1" applyBorder="1" applyAlignment="1">
      <alignment horizontal="center" vertical="center" wrapText="1"/>
    </xf>
    <xf numFmtId="4" fontId="30" fillId="39" borderId="22" xfId="0" applyNumberFormat="1" applyFont="1" applyFill="1" applyBorder="1" applyAlignment="1">
      <alignment horizontal="center" vertical="center" wrapText="1"/>
    </xf>
    <xf numFmtId="4" fontId="30" fillId="39" borderId="33" xfId="0" applyNumberFormat="1" applyFont="1" applyFill="1" applyBorder="1" applyAlignment="1">
      <alignment horizontal="center" vertical="center" wrapText="1"/>
    </xf>
    <xf numFmtId="4" fontId="30" fillId="39" borderId="32" xfId="0" applyNumberFormat="1" applyFont="1" applyFill="1" applyBorder="1" applyAlignment="1">
      <alignment horizontal="center" vertical="center" wrapText="1"/>
    </xf>
    <xf numFmtId="4" fontId="30" fillId="39" borderId="19" xfId="0" applyNumberFormat="1" applyFont="1" applyFill="1" applyBorder="1" applyAlignment="1">
      <alignment horizontal="center" vertical="center" wrapText="1"/>
    </xf>
    <xf numFmtId="4" fontId="30" fillId="39" borderId="29" xfId="0" applyNumberFormat="1" applyFont="1" applyFill="1" applyBorder="1" applyAlignment="1">
      <alignment horizontal="center" vertical="center" wrapText="1"/>
    </xf>
    <xf numFmtId="4" fontId="45" fillId="0" borderId="34" xfId="0" applyNumberFormat="1" applyFont="1" applyBorder="1" applyAlignment="1">
      <alignment horizontal="center" vertical="center" wrapText="1"/>
    </xf>
    <xf numFmtId="4" fontId="30" fillId="39" borderId="1" xfId="0" applyNumberFormat="1" applyFont="1" applyFill="1" applyBorder="1" applyAlignment="1">
      <alignment horizontal="center" vertical="center" wrapText="1"/>
    </xf>
    <xf numFmtId="4" fontId="45" fillId="39" borderId="1" xfId="0" applyNumberFormat="1" applyFont="1" applyFill="1" applyBorder="1" applyAlignment="1">
      <alignment horizontal="center" vertical="center" wrapText="1"/>
    </xf>
    <xf numFmtId="4" fontId="30" fillId="38" borderId="1" xfId="0" applyNumberFormat="1" applyFont="1" applyFill="1" applyBorder="1" applyAlignment="1">
      <alignment horizontal="center" vertical="center" wrapText="1"/>
    </xf>
    <xf numFmtId="4" fontId="29" fillId="0" borderId="13" xfId="0" applyNumberFormat="1" applyFont="1" applyBorder="1" applyAlignment="1">
      <alignment horizontal="center" vertical="center" wrapText="1"/>
    </xf>
    <xf numFmtId="4" fontId="33" fillId="3" borderId="22" xfId="0" applyNumberFormat="1" applyFont="1" applyFill="1" applyBorder="1" applyAlignment="1">
      <alignment horizontal="center" vertical="center" wrapText="1"/>
    </xf>
    <xf numFmtId="4" fontId="33" fillId="0" borderId="24" xfId="0" applyNumberFormat="1" applyFont="1" applyBorder="1" applyAlignment="1">
      <alignment horizontal="center" vertical="center" wrapText="1"/>
    </xf>
    <xf numFmtId="4" fontId="33" fillId="0" borderId="25" xfId="0" applyNumberFormat="1" applyFont="1" applyBorder="1" applyAlignment="1">
      <alignment horizontal="center" vertical="center" wrapText="1"/>
    </xf>
    <xf numFmtId="4" fontId="33" fillId="0" borderId="18" xfId="0" applyNumberFormat="1" applyFont="1" applyBorder="1" applyAlignment="1">
      <alignment horizontal="center" vertical="center" wrapText="1"/>
    </xf>
    <xf numFmtId="4" fontId="33" fillId="3" borderId="23" xfId="0" applyNumberFormat="1" applyFont="1" applyFill="1" applyBorder="1" applyAlignment="1">
      <alignment horizontal="center" vertical="center" wrapText="1"/>
    </xf>
    <xf numFmtId="4" fontId="33" fillId="3" borderId="13" xfId="0" applyNumberFormat="1" applyFont="1" applyFill="1" applyBorder="1" applyAlignment="1">
      <alignment horizontal="center" vertical="center" wrapText="1"/>
    </xf>
    <xf numFmtId="4" fontId="29" fillId="3" borderId="13" xfId="0" applyNumberFormat="1" applyFont="1" applyFill="1" applyBorder="1" applyAlignment="1">
      <alignment horizontal="center" vertical="center" wrapText="1"/>
    </xf>
    <xf numFmtId="4" fontId="29" fillId="39" borderId="13" xfId="0" applyNumberFormat="1" applyFont="1" applyFill="1" applyBorder="1" applyAlignment="1">
      <alignment horizontal="center" vertical="center" wrapText="1"/>
    </xf>
    <xf numFmtId="0" fontId="30" fillId="2" borderId="1" xfId="0" applyFont="1" applyFill="1" applyBorder="1" applyAlignment="1">
      <alignment wrapText="1"/>
    </xf>
    <xf numFmtId="1" fontId="30" fillId="2" borderId="1" xfId="0" applyNumberFormat="1" applyFont="1" applyFill="1" applyBorder="1"/>
    <xf numFmtId="0" fontId="30" fillId="38" borderId="1" xfId="0" applyFont="1" applyFill="1" applyBorder="1" applyAlignment="1">
      <alignment horizontal="right"/>
    </xf>
    <xf numFmtId="0" fontId="30" fillId="45" borderId="1" xfId="0" applyFont="1" applyFill="1" applyBorder="1" applyAlignment="1">
      <alignment horizontal="center" vertical="center" wrapText="1"/>
    </xf>
    <xf numFmtId="1" fontId="28" fillId="2" borderId="1" xfId="0" applyNumberFormat="1" applyFont="1" applyFill="1" applyBorder="1"/>
    <xf numFmtId="0" fontId="30" fillId="50" borderId="1" xfId="0" applyFont="1" applyFill="1" applyBorder="1" applyAlignment="1">
      <alignment horizontal="center" vertical="center" wrapText="1"/>
    </xf>
    <xf numFmtId="4" fontId="30" fillId="50" borderId="13" xfId="0" applyNumberFormat="1" applyFont="1" applyFill="1" applyBorder="1" applyAlignment="1">
      <alignment horizontal="center" vertical="center" wrapText="1"/>
    </xf>
    <xf numFmtId="4" fontId="45" fillId="50" borderId="22" xfId="0" applyNumberFormat="1" applyFont="1" applyFill="1" applyBorder="1" applyAlignment="1">
      <alignment horizontal="center" vertical="center" wrapText="1"/>
    </xf>
    <xf numFmtId="4" fontId="45" fillId="50" borderId="23" xfId="0" applyNumberFormat="1" applyFont="1" applyFill="1" applyBorder="1" applyAlignment="1">
      <alignment horizontal="center" vertical="center" wrapText="1"/>
    </xf>
    <xf numFmtId="4" fontId="45" fillId="50" borderId="13" xfId="0" applyNumberFormat="1" applyFont="1" applyFill="1" applyBorder="1" applyAlignment="1">
      <alignment horizontal="center" vertical="center" wrapText="1"/>
    </xf>
    <xf numFmtId="4" fontId="30" fillId="50" borderId="1" xfId="0" applyNumberFormat="1" applyFont="1" applyFill="1" applyBorder="1" applyAlignment="1">
      <alignment horizontal="center" vertical="center" wrapText="1"/>
    </xf>
    <xf numFmtId="4" fontId="30" fillId="45" borderId="13" xfId="0" applyNumberFormat="1" applyFont="1" applyFill="1" applyBorder="1" applyAlignment="1">
      <alignment horizontal="center" vertical="center" wrapText="1"/>
    </xf>
    <xf numFmtId="4" fontId="45" fillId="45" borderId="22" xfId="0" applyNumberFormat="1" applyFont="1" applyFill="1" applyBorder="1" applyAlignment="1">
      <alignment horizontal="center" vertical="center" wrapText="1"/>
    </xf>
    <xf numFmtId="4" fontId="45" fillId="45" borderId="23" xfId="0" applyNumberFormat="1" applyFont="1" applyFill="1" applyBorder="1" applyAlignment="1">
      <alignment horizontal="center" vertical="center" wrapText="1"/>
    </xf>
    <xf numFmtId="4" fontId="45" fillId="45" borderId="13" xfId="0" applyNumberFormat="1" applyFont="1" applyFill="1" applyBorder="1" applyAlignment="1">
      <alignment horizontal="center" vertical="center" wrapText="1"/>
    </xf>
    <xf numFmtId="4" fontId="30" fillId="45" borderId="1" xfId="0" applyNumberFormat="1" applyFont="1" applyFill="1" applyBorder="1" applyAlignment="1">
      <alignment horizontal="center" vertical="center" wrapText="1"/>
    </xf>
    <xf numFmtId="4" fontId="29" fillId="45" borderId="13" xfId="0" applyNumberFormat="1" applyFont="1" applyFill="1" applyBorder="1" applyAlignment="1">
      <alignment horizontal="center" vertical="center" wrapText="1"/>
    </xf>
    <xf numFmtId="4" fontId="45" fillId="50"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4" fontId="45" fillId="2" borderId="0" xfId="0" applyNumberFormat="1" applyFont="1" applyFill="1" applyBorder="1" applyAlignment="1">
      <alignment horizontal="center" vertical="center" wrapText="1"/>
    </xf>
    <xf numFmtId="4" fontId="30" fillId="45" borderId="22" xfId="0" applyNumberFormat="1" applyFont="1" applyFill="1" applyBorder="1" applyAlignment="1">
      <alignment horizontal="center" vertical="center" wrapText="1"/>
    </xf>
    <xf numFmtId="4" fontId="30" fillId="2" borderId="26" xfId="0" applyNumberFormat="1" applyFont="1" applyFill="1" applyBorder="1" applyAlignment="1">
      <alignment horizontal="center" vertical="center" wrapText="1"/>
    </xf>
    <xf numFmtId="4" fontId="30" fillId="2" borderId="27" xfId="0" applyNumberFormat="1" applyFont="1" applyFill="1" applyBorder="1" applyAlignment="1">
      <alignment horizontal="center" vertical="center" wrapText="1"/>
    </xf>
    <xf numFmtId="4" fontId="29" fillId="40" borderId="13" xfId="0" applyNumberFormat="1" applyFont="1" applyFill="1" applyBorder="1" applyAlignment="1">
      <alignment horizontal="center" vertical="center" wrapText="1"/>
    </xf>
    <xf numFmtId="4" fontId="33" fillId="0" borderId="0" xfId="0" applyNumberFormat="1" applyFont="1"/>
    <xf numFmtId="4" fontId="33" fillId="39" borderId="0" xfId="0" applyNumberFormat="1" applyFont="1" applyFill="1"/>
    <xf numFmtId="0" fontId="29" fillId="40" borderId="1" xfId="0" applyFont="1" applyFill="1" applyBorder="1" applyAlignment="1">
      <alignment horizontal="center" vertical="center" wrapText="1"/>
    </xf>
    <xf numFmtId="4" fontId="29" fillId="40" borderId="22" xfId="0" applyNumberFormat="1" applyFont="1" applyFill="1" applyBorder="1" applyAlignment="1">
      <alignment horizontal="center" vertical="center" wrapText="1"/>
    </xf>
    <xf numFmtId="4" fontId="29" fillId="40" borderId="26" xfId="0" applyNumberFormat="1" applyFont="1" applyFill="1" applyBorder="1" applyAlignment="1">
      <alignment horizontal="center" vertical="center" wrapText="1"/>
    </xf>
    <xf numFmtId="4" fontId="29" fillId="40" borderId="27" xfId="0" applyNumberFormat="1" applyFont="1" applyFill="1" applyBorder="1" applyAlignment="1">
      <alignment horizontal="center" vertical="center" wrapText="1"/>
    </xf>
    <xf numFmtId="4" fontId="29" fillId="40" borderId="1" xfId="0" applyNumberFormat="1" applyFont="1" applyFill="1" applyBorder="1" applyAlignment="1">
      <alignment horizontal="center" vertical="center" wrapText="1"/>
    </xf>
    <xf numFmtId="4" fontId="33" fillId="40" borderId="23" xfId="0" applyNumberFormat="1" applyFont="1" applyFill="1" applyBorder="1" applyAlignment="1">
      <alignment horizontal="center" vertical="center" wrapText="1"/>
    </xf>
    <xf numFmtId="4" fontId="33" fillId="40" borderId="1" xfId="0" applyNumberFormat="1" applyFont="1" applyFill="1" applyBorder="1" applyAlignment="1">
      <alignment horizontal="center" vertical="center" wrapText="1"/>
    </xf>
    <xf numFmtId="4" fontId="33" fillId="40" borderId="22" xfId="0" applyNumberFormat="1" applyFont="1" applyFill="1" applyBorder="1" applyAlignment="1">
      <alignment horizontal="center" vertical="center" wrapText="1"/>
    </xf>
    <xf numFmtId="4" fontId="33" fillId="40" borderId="13" xfId="0" applyNumberFormat="1" applyFont="1" applyFill="1" applyBorder="1" applyAlignment="1">
      <alignment horizontal="center" vertical="center" wrapText="1"/>
    </xf>
    <xf numFmtId="1" fontId="1" fillId="0" borderId="13" xfId="0" applyNumberFormat="1" applyFont="1" applyBorder="1" applyAlignment="1">
      <alignment horizontal="center" vertical="center" wrapText="1"/>
    </xf>
    <xf numFmtId="1" fontId="28" fillId="2" borderId="0" xfId="0" applyNumberFormat="1" applyFont="1" applyFill="1"/>
    <xf numFmtId="171" fontId="0" fillId="0" borderId="0" xfId="0" applyNumberFormat="1"/>
    <xf numFmtId="171" fontId="0" fillId="0" borderId="0" xfId="0" applyNumberFormat="1" applyFill="1"/>
    <xf numFmtId="0" fontId="0" fillId="0" borderId="35" xfId="0" applyBorder="1"/>
    <xf numFmtId="171" fontId="0" fillId="0" borderId="35" xfId="0" applyNumberFormat="1" applyBorder="1"/>
    <xf numFmtId="0" fontId="0" fillId="52" borderId="0" xfId="0" applyFill="1"/>
    <xf numFmtId="171" fontId="0" fillId="52" borderId="0" xfId="0" applyNumberFormat="1" applyFill="1"/>
    <xf numFmtId="0" fontId="0" fillId="0" borderId="0" xfId="0" applyFill="1"/>
    <xf numFmtId="0" fontId="0" fillId="0" borderId="35" xfId="0" applyFill="1" applyBorder="1"/>
    <xf numFmtId="171" fontId="0" fillId="0" borderId="35" xfId="0" applyNumberFormat="1" applyFill="1" applyBorder="1"/>
    <xf numFmtId="0" fontId="0" fillId="0" borderId="0" xfId="0" pivotButton="1"/>
    <xf numFmtId="0" fontId="43" fillId="0" borderId="0" xfId="0" applyFont="1"/>
    <xf numFmtId="0" fontId="1" fillId="0" borderId="1" xfId="0" applyFont="1" applyBorder="1"/>
    <xf numFmtId="0" fontId="1" fillId="0" borderId="1" xfId="0" applyFont="1" applyBorder="1" applyAlignment="1">
      <alignment wrapText="1"/>
    </xf>
    <xf numFmtId="0" fontId="0" fillId="0" borderId="13" xfId="0" applyBorder="1"/>
    <xf numFmtId="172" fontId="0" fillId="0" borderId="1" xfId="0" applyNumberFormat="1" applyFont="1" applyFill="1" applyBorder="1" applyAlignment="1">
      <alignment horizontal="right"/>
    </xf>
    <xf numFmtId="172" fontId="0" fillId="0" borderId="1" xfId="0" applyNumberFormat="1" applyBorder="1" applyAlignment="1">
      <alignment horizontal="right"/>
    </xf>
    <xf numFmtId="172" fontId="0" fillId="0" borderId="13" xfId="0" applyNumberFormat="1" applyBorder="1" applyAlignment="1">
      <alignment horizontal="right"/>
    </xf>
    <xf numFmtId="0" fontId="1" fillId="45" borderId="1" xfId="0" applyFont="1" applyFill="1" applyBorder="1"/>
    <xf numFmtId="172" fontId="1" fillId="45" borderId="1" xfId="0" applyNumberFormat="1" applyFont="1" applyFill="1" applyBorder="1" applyAlignment="1">
      <alignment horizontal="right"/>
    </xf>
    <xf numFmtId="172" fontId="1" fillId="45" borderId="13" xfId="0" applyNumberFormat="1" applyFont="1" applyFill="1" applyBorder="1" applyAlignment="1">
      <alignment horizontal="right"/>
    </xf>
    <xf numFmtId="4" fontId="0" fillId="0" borderId="1" xfId="0" applyNumberFormat="1" applyBorder="1"/>
    <xf numFmtId="0" fontId="1" fillId="45" borderId="14" xfId="0" applyFont="1" applyFill="1" applyBorder="1"/>
    <xf numFmtId="172" fontId="1" fillId="45" borderId="1" xfId="0" applyNumberFormat="1" applyFont="1" applyFill="1" applyBorder="1"/>
    <xf numFmtId="0" fontId="1" fillId="2" borderId="1" xfId="0" applyFont="1" applyFill="1" applyBorder="1"/>
    <xf numFmtId="0" fontId="1" fillId="45" borderId="13" xfId="0" applyFont="1" applyFill="1" applyBorder="1"/>
    <xf numFmtId="172" fontId="1" fillId="53" borderId="1" xfId="0" applyNumberFormat="1" applyFont="1" applyFill="1" applyBorder="1" applyAlignment="1">
      <alignment horizontal="right"/>
    </xf>
    <xf numFmtId="172" fontId="0" fillId="53" borderId="13" xfId="0" applyNumberFormat="1" applyFill="1" applyBorder="1" applyAlignment="1">
      <alignment horizontal="right"/>
    </xf>
    <xf numFmtId="172" fontId="1" fillId="0" borderId="1" xfId="0" applyNumberFormat="1" applyFont="1" applyBorder="1" applyAlignment="1">
      <alignment horizontal="right"/>
    </xf>
    <xf numFmtId="172" fontId="1" fillId="0" borderId="13" xfId="0" applyNumberFormat="1" applyFont="1" applyBorder="1" applyAlignment="1">
      <alignment horizontal="right"/>
    </xf>
    <xf numFmtId="4" fontId="1" fillId="45" borderId="1" xfId="0" applyNumberFormat="1" applyFont="1" applyFill="1" applyBorder="1"/>
    <xf numFmtId="4" fontId="1" fillId="45" borderId="13" xfId="0" applyNumberFormat="1" applyFont="1" applyFill="1" applyBorder="1"/>
    <xf numFmtId="0" fontId="0" fillId="0" borderId="1" xfId="0" applyBorder="1" applyAlignment="1">
      <alignment vertical="top" wrapText="1"/>
    </xf>
    <xf numFmtId="172" fontId="0" fillId="0" borderId="1" xfId="0" applyNumberFormat="1" applyBorder="1" applyAlignment="1"/>
    <xf numFmtId="172" fontId="0" fillId="2" borderId="1" xfId="0" applyNumberFormat="1" applyFill="1" applyBorder="1" applyAlignment="1"/>
    <xf numFmtId="4" fontId="1" fillId="0" borderId="1" xfId="0" applyNumberFormat="1" applyFont="1" applyFill="1" applyBorder="1"/>
    <xf numFmtId="4" fontId="0" fillId="2" borderId="1" xfId="0" applyNumberFormat="1" applyFont="1" applyFill="1" applyBorder="1"/>
    <xf numFmtId="0" fontId="1" fillId="0" borderId="13" xfId="0" applyFont="1" applyFill="1" applyBorder="1"/>
    <xf numFmtId="0" fontId="1" fillId="0" borderId="13" xfId="0" applyFont="1" applyBorder="1"/>
    <xf numFmtId="0" fontId="1" fillId="53" borderId="1" xfId="0" applyFont="1" applyFill="1" applyBorder="1"/>
    <xf numFmtId="4" fontId="1" fillId="53" borderId="1" xfId="0" applyNumberFormat="1" applyFont="1" applyFill="1" applyBorder="1"/>
    <xf numFmtId="4" fontId="1" fillId="53" borderId="13" xfId="0" applyNumberFormat="1" applyFont="1" applyFill="1" applyBorder="1"/>
    <xf numFmtId="0" fontId="0" fillId="53" borderId="1" xfId="0" applyFill="1" applyBorder="1" applyAlignment="1">
      <alignment wrapText="1"/>
    </xf>
    <xf numFmtId="0" fontId="0" fillId="53" borderId="1" xfId="0" applyFill="1" applyBorder="1"/>
    <xf numFmtId="0" fontId="1" fillId="53" borderId="13" xfId="0" applyFont="1" applyFill="1" applyBorder="1"/>
    <xf numFmtId="0" fontId="0" fillId="54" borderId="1" xfId="0" applyFill="1" applyBorder="1" applyAlignment="1">
      <alignment wrapText="1"/>
    </xf>
    <xf numFmtId="0" fontId="0" fillId="54" borderId="0" xfId="0" applyFill="1"/>
    <xf numFmtId="4" fontId="0" fillId="54" borderId="0" xfId="0" applyNumberFormat="1" applyFill="1"/>
    <xf numFmtId="172" fontId="1" fillId="0" borderId="1" xfId="0" applyNumberFormat="1" applyFont="1" applyBorder="1"/>
    <xf numFmtId="4" fontId="1" fillId="0" borderId="1" xfId="0" applyNumberFormat="1" applyFont="1" applyBorder="1"/>
    <xf numFmtId="4" fontId="1" fillId="0" borderId="0" xfId="0" applyNumberFormat="1" applyFont="1"/>
    <xf numFmtId="4" fontId="0" fillId="2" borderId="0" xfId="0" applyNumberFormat="1" applyFill="1"/>
    <xf numFmtId="171" fontId="0" fillId="2" borderId="0" xfId="0" applyNumberFormat="1" applyFill="1"/>
    <xf numFmtId="1" fontId="0" fillId="2" borderId="0" xfId="0" applyNumberFormat="1" applyFill="1"/>
    <xf numFmtId="2" fontId="0" fillId="0" borderId="0" xfId="0" applyNumberFormat="1"/>
    <xf numFmtId="0" fontId="36" fillId="40" borderId="0" xfId="0" applyFont="1" applyFill="1"/>
    <xf numFmtId="0" fontId="30" fillId="45" borderId="1" xfId="0" applyFont="1" applyFill="1" applyBorder="1" applyAlignment="1">
      <alignment horizontal="center" vertical="center" wrapText="1"/>
    </xf>
    <xf numFmtId="172" fontId="0" fillId="0" borderId="1" xfId="0" applyNumberFormat="1" applyBorder="1"/>
    <xf numFmtId="172" fontId="0" fillId="39" borderId="1" xfId="0" applyNumberFormat="1" applyFill="1" applyBorder="1"/>
    <xf numFmtId="2" fontId="0" fillId="0" borderId="1" xfId="0" applyNumberFormat="1" applyBorder="1"/>
    <xf numFmtId="172" fontId="0" fillId="53" borderId="1" xfId="0" applyNumberFormat="1" applyFill="1" applyBorder="1" applyAlignment="1">
      <alignment horizontal="right"/>
    </xf>
    <xf numFmtId="172" fontId="0" fillId="3" borderId="1" xfId="0" applyNumberFormat="1" applyFill="1" applyBorder="1" applyAlignment="1">
      <alignment horizontal="right"/>
    </xf>
    <xf numFmtId="4" fontId="0" fillId="0" borderId="1" xfId="0" applyNumberFormat="1" applyFont="1" applyFill="1" applyBorder="1"/>
    <xf numFmtId="0" fontId="1" fillId="0" borderId="1" xfId="0" applyFont="1" applyFill="1" applyBorder="1"/>
    <xf numFmtId="0" fontId="0" fillId="0" borderId="0" xfId="0" applyAlignment="1">
      <alignment horizontal="right"/>
    </xf>
    <xf numFmtId="172" fontId="1" fillId="0" borderId="0" xfId="0" applyNumberFormat="1" applyFont="1"/>
    <xf numFmtId="171" fontId="1" fillId="0" borderId="35" xfId="0" applyNumberFormat="1" applyFont="1" applyBorder="1"/>
    <xf numFmtId="0" fontId="30" fillId="39" borderId="1" xfId="0" applyFont="1" applyFill="1" applyBorder="1" applyAlignment="1">
      <alignment horizontal="center" vertical="center" wrapText="1"/>
    </xf>
    <xf numFmtId="4" fontId="1" fillId="39" borderId="13" xfId="0" applyNumberFormat="1" applyFont="1" applyFill="1" applyBorder="1" applyAlignment="1">
      <alignment horizontal="center" vertical="center" wrapText="1"/>
    </xf>
    <xf numFmtId="171" fontId="27" fillId="0" borderId="35" xfId="0" applyNumberFormat="1" applyFont="1" applyBorder="1"/>
    <xf numFmtId="4" fontId="1" fillId="39" borderId="11" xfId="0" applyNumberFormat="1" applyFont="1" applyFill="1" applyBorder="1" applyAlignment="1">
      <alignment horizontal="center" vertical="center" wrapText="1"/>
    </xf>
    <xf numFmtId="4" fontId="1" fillId="39" borderId="23" xfId="0" applyNumberFormat="1" applyFont="1" applyFill="1" applyBorder="1" applyAlignment="1">
      <alignment horizontal="center" vertical="center" wrapText="1"/>
    </xf>
    <xf numFmtId="4" fontId="1" fillId="39" borderId="12" xfId="0" applyNumberFormat="1" applyFont="1" applyFill="1" applyBorder="1" applyAlignment="1">
      <alignment horizontal="center" vertical="center" wrapText="1"/>
    </xf>
    <xf numFmtId="4" fontId="30" fillId="40" borderId="13" xfId="0" applyNumberFormat="1" applyFont="1" applyFill="1" applyBorder="1" applyAlignment="1">
      <alignment horizontal="center" vertical="center" wrapText="1"/>
    </xf>
    <xf numFmtId="4" fontId="1" fillId="40" borderId="1" xfId="0" applyNumberFormat="1" applyFont="1" applyFill="1" applyBorder="1" applyAlignment="1">
      <alignment horizontal="center" vertical="center" wrapText="1"/>
    </xf>
    <xf numFmtId="4" fontId="27" fillId="55" borderId="1" xfId="0" applyNumberFormat="1" applyFont="1" applyFill="1" applyBorder="1" applyAlignment="1">
      <alignment horizontal="center" vertical="center" wrapText="1"/>
    </xf>
    <xf numFmtId="4" fontId="27" fillId="55" borderId="22" xfId="0" applyNumberFormat="1" applyFont="1" applyFill="1" applyBorder="1" applyAlignment="1">
      <alignment horizontal="center" vertical="center" wrapText="1"/>
    </xf>
    <xf numFmtId="4" fontId="27" fillId="55" borderId="29" xfId="0" applyNumberFormat="1" applyFont="1" applyFill="1" applyBorder="1" applyAlignment="1">
      <alignment vertical="center" wrapText="1"/>
    </xf>
    <xf numFmtId="4" fontId="1" fillId="55" borderId="29" xfId="0" applyNumberFormat="1" applyFont="1" applyFill="1" applyBorder="1" applyAlignment="1">
      <alignment horizontal="center" vertical="center" wrapText="1"/>
    </xf>
    <xf numFmtId="4" fontId="27" fillId="55" borderId="23" xfId="0" applyNumberFormat="1" applyFont="1" applyFill="1" applyBorder="1" applyAlignment="1">
      <alignment vertical="center" wrapText="1"/>
    </xf>
    <xf numFmtId="4" fontId="1" fillId="55" borderId="23" xfId="0" applyNumberFormat="1" applyFont="1" applyFill="1" applyBorder="1" applyAlignment="1">
      <alignment horizontal="center" vertical="center" wrapText="1"/>
    </xf>
    <xf numFmtId="4" fontId="1" fillId="55" borderId="13" xfId="0" applyNumberFormat="1" applyFont="1" applyFill="1" applyBorder="1" applyAlignment="1">
      <alignment horizontal="center" vertical="center" wrapText="1"/>
    </xf>
    <xf numFmtId="0" fontId="30" fillId="39" borderId="11" xfId="0" applyFont="1" applyFill="1" applyBorder="1" applyAlignment="1">
      <alignment horizontal="center" vertical="center" wrapText="1"/>
    </xf>
    <xf numFmtId="4" fontId="30" fillId="39" borderId="12" xfId="0" applyNumberFormat="1" applyFont="1" applyFill="1" applyBorder="1" applyAlignment="1">
      <alignment horizontal="center" vertical="center" wrapText="1"/>
    </xf>
    <xf numFmtId="4" fontId="30" fillId="55" borderId="1" xfId="0" applyNumberFormat="1" applyFont="1" applyFill="1" applyBorder="1" applyAlignment="1">
      <alignment horizontal="center" vertical="center" wrapText="1"/>
    </xf>
    <xf numFmtId="4" fontId="27" fillId="40" borderId="11" xfId="0" applyNumberFormat="1" applyFont="1" applyFill="1" applyBorder="1" applyAlignment="1">
      <alignment horizontal="center" vertical="center" wrapText="1"/>
    </xf>
    <xf numFmtId="0" fontId="27" fillId="55" borderId="1" xfId="0" applyFont="1" applyFill="1" applyBorder="1" applyAlignment="1">
      <alignment horizontal="center" vertical="center" wrapText="1"/>
    </xf>
    <xf numFmtId="4" fontId="27" fillId="40" borderId="37" xfId="0" applyNumberFormat="1" applyFont="1" applyFill="1" applyBorder="1" applyAlignment="1">
      <alignment horizontal="center" vertical="center" wrapText="1"/>
    </xf>
    <xf numFmtId="4" fontId="27" fillId="40" borderId="12" xfId="0" applyNumberFormat="1" applyFont="1" applyFill="1" applyBorder="1" applyAlignment="1">
      <alignment horizontal="center" vertical="center" wrapText="1"/>
    </xf>
    <xf numFmtId="0" fontId="27" fillId="35" borderId="1" xfId="0" applyFont="1" applyFill="1" applyBorder="1" applyAlignment="1">
      <alignment horizontal="center" vertical="center" wrapText="1"/>
    </xf>
    <xf numFmtId="4" fontId="1" fillId="56" borderId="13" xfId="0" applyNumberFormat="1" applyFont="1" applyFill="1" applyBorder="1" applyAlignment="1">
      <alignment horizontal="center" vertical="center" wrapText="1"/>
    </xf>
    <xf numFmtId="4" fontId="30" fillId="56" borderId="1" xfId="0" applyNumberFormat="1" applyFont="1" applyFill="1" applyBorder="1" applyAlignment="1">
      <alignment horizontal="center" vertical="center" wrapText="1"/>
    </xf>
    <xf numFmtId="0" fontId="35" fillId="2" borderId="0" xfId="0" applyFont="1" applyFill="1" applyBorder="1" applyAlignment="1">
      <alignment vertical="center"/>
    </xf>
    <xf numFmtId="0" fontId="0" fillId="3" borderId="1" xfId="0" applyFill="1" applyBorder="1" applyAlignment="1">
      <alignment horizontal="center" vertical="center" wrapText="1"/>
    </xf>
    <xf numFmtId="0" fontId="30" fillId="40" borderId="11" xfId="0" applyFont="1" applyFill="1" applyBorder="1" applyAlignment="1">
      <alignment horizontal="center" vertical="center"/>
    </xf>
    <xf numFmtId="0" fontId="30" fillId="40" borderId="12" xfId="0" applyFont="1" applyFill="1" applyBorder="1" applyAlignment="1">
      <alignment horizontal="center" vertical="center"/>
    </xf>
    <xf numFmtId="4" fontId="27" fillId="55" borderId="11" xfId="0" applyNumberFormat="1" applyFont="1" applyFill="1" applyBorder="1" applyAlignment="1">
      <alignment horizontal="center" vertical="center" wrapText="1"/>
    </xf>
    <xf numFmtId="0" fontId="0" fillId="0" borderId="0" xfId="0" applyBorder="1"/>
    <xf numFmtId="4" fontId="0" fillId="0" borderId="0" xfId="0" applyNumberFormat="1" applyBorder="1"/>
    <xf numFmtId="4" fontId="1" fillId="55" borderId="1" xfId="0" applyNumberFormat="1" applyFont="1" applyFill="1" applyBorder="1" applyAlignment="1">
      <alignment horizontal="center" vertical="center" wrapText="1"/>
    </xf>
    <xf numFmtId="4" fontId="27" fillId="55" borderId="23" xfId="0" applyNumberFormat="1" applyFont="1" applyFill="1" applyBorder="1" applyAlignment="1">
      <alignment horizontal="center" vertical="center" wrapText="1"/>
    </xf>
    <xf numFmtId="4" fontId="27" fillId="55" borderId="13" xfId="0"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4" fontId="29" fillId="40" borderId="0" xfId="0" applyNumberFormat="1" applyFont="1" applyFill="1" applyBorder="1" applyAlignment="1">
      <alignment horizontal="center" vertical="center" wrapText="1"/>
    </xf>
    <xf numFmtId="4" fontId="30" fillId="38" borderId="0" xfId="0" applyNumberFormat="1" applyFont="1" applyFill="1" applyBorder="1" applyAlignment="1">
      <alignment horizontal="center" vertical="center" wrapText="1"/>
    </xf>
    <xf numFmtId="4" fontId="30" fillId="39" borderId="0" xfId="0" applyNumberFormat="1" applyFont="1" applyFill="1" applyBorder="1" applyAlignment="1">
      <alignment horizontal="center" vertical="center" wrapText="1"/>
    </xf>
    <xf numFmtId="4" fontId="33" fillId="0" borderId="0" xfId="0" applyNumberFormat="1" applyFont="1" applyBorder="1" applyAlignment="1">
      <alignment horizontal="center" vertical="center" wrapText="1"/>
    </xf>
    <xf numFmtId="0" fontId="30" fillId="2" borderId="1" xfId="0" applyFont="1" applyFill="1" applyBorder="1" applyAlignment="1">
      <alignment horizontal="right" wrapText="1"/>
    </xf>
    <xf numFmtId="1" fontId="30" fillId="2" borderId="1" xfId="0" applyNumberFormat="1" applyFont="1" applyFill="1" applyBorder="1" applyAlignment="1">
      <alignment horizontal="right" wrapText="1"/>
    </xf>
    <xf numFmtId="4" fontId="27" fillId="40" borderId="1" xfId="0" applyNumberFormat="1" applyFont="1" applyFill="1" applyBorder="1" applyAlignment="1">
      <alignment horizontal="center" vertical="center" wrapText="1"/>
    </xf>
    <xf numFmtId="4" fontId="30" fillId="40" borderId="26" xfId="0" applyNumberFormat="1" applyFont="1" applyFill="1" applyBorder="1" applyAlignment="1">
      <alignment horizontal="center" vertical="center" wrapText="1"/>
    </xf>
    <xf numFmtId="4" fontId="30" fillId="35" borderId="27" xfId="0" applyNumberFormat="1" applyFont="1" applyFill="1" applyBorder="1" applyAlignment="1">
      <alignment horizontal="center" vertical="center" wrapText="1"/>
    </xf>
    <xf numFmtId="4" fontId="30" fillId="40" borderId="27" xfId="0" applyNumberFormat="1" applyFont="1" applyFill="1" applyBorder="1" applyAlignment="1">
      <alignment horizontal="center" vertical="center" wrapText="1"/>
    </xf>
    <xf numFmtId="4" fontId="29" fillId="57" borderId="1" xfId="0" applyNumberFormat="1" applyFont="1" applyFill="1" applyBorder="1" applyAlignment="1">
      <alignment horizontal="center" vertical="center" wrapText="1"/>
    </xf>
    <xf numFmtId="4" fontId="27" fillId="40" borderId="13" xfId="0" applyNumberFormat="1" applyFont="1" applyFill="1" applyBorder="1" applyAlignment="1">
      <alignment horizontal="center" vertical="center" wrapText="1"/>
    </xf>
    <xf numFmtId="4" fontId="35" fillId="0" borderId="0" xfId="0" applyNumberFormat="1" applyFont="1" applyBorder="1" applyAlignment="1">
      <alignment vertical="center"/>
    </xf>
    <xf numFmtId="0" fontId="30" fillId="58" borderId="1" xfId="0" applyFont="1" applyFill="1" applyBorder="1" applyAlignment="1">
      <alignment horizontal="center" vertical="center" wrapText="1"/>
    </xf>
    <xf numFmtId="4" fontId="30" fillId="58" borderId="13" xfId="0" applyNumberFormat="1" applyFont="1" applyFill="1" applyBorder="1" applyAlignment="1">
      <alignment horizontal="center" vertical="center" wrapText="1"/>
    </xf>
    <xf numFmtId="4" fontId="27" fillId="58" borderId="13" xfId="0" applyNumberFormat="1" applyFont="1" applyFill="1" applyBorder="1" applyAlignment="1">
      <alignment horizontal="center" vertical="center" wrapText="1"/>
    </xf>
    <xf numFmtId="0" fontId="30" fillId="39" borderId="13" xfId="0" applyFont="1" applyFill="1" applyBorder="1" applyAlignment="1">
      <alignment vertical="center" wrapText="1"/>
    </xf>
    <xf numFmtId="0" fontId="30" fillId="39" borderId="15" xfId="0" applyFont="1" applyFill="1" applyBorder="1" applyAlignment="1">
      <alignment vertical="center" wrapText="1"/>
    </xf>
    <xf numFmtId="0" fontId="30" fillId="39" borderId="14" xfId="0" applyFont="1" applyFill="1" applyBorder="1" applyAlignment="1">
      <alignment vertical="center" wrapText="1"/>
    </xf>
    <xf numFmtId="1" fontId="30" fillId="3" borderId="12" xfId="0" applyNumberFormat="1" applyFont="1" applyFill="1" applyBorder="1"/>
    <xf numFmtId="0" fontId="30" fillId="3" borderId="12" xfId="0" applyFont="1" applyFill="1" applyBorder="1" applyAlignment="1">
      <alignment wrapText="1"/>
    </xf>
    <xf numFmtId="0" fontId="30" fillId="3" borderId="0" xfId="0" applyFont="1" applyFill="1" applyBorder="1" applyAlignment="1">
      <alignment horizontal="right" wrapText="1"/>
    </xf>
    <xf numFmtId="0" fontId="30" fillId="0" borderId="0" xfId="0" applyFont="1" applyBorder="1"/>
    <xf numFmtId="4" fontId="35" fillId="2" borderId="0" xfId="0" applyNumberFormat="1" applyFont="1" applyFill="1" applyBorder="1" applyAlignment="1">
      <alignment vertical="center"/>
    </xf>
    <xf numFmtId="4" fontId="30" fillId="58" borderId="22" xfId="0" applyNumberFormat="1" applyFont="1" applyFill="1" applyBorder="1" applyAlignment="1">
      <alignment horizontal="center" vertical="center" wrapText="1"/>
    </xf>
    <xf numFmtId="4" fontId="30" fillId="58" borderId="23" xfId="0" applyNumberFormat="1" applyFont="1" applyFill="1" applyBorder="1" applyAlignment="1">
      <alignment horizontal="center" vertical="center" wrapText="1"/>
    </xf>
    <xf numFmtId="4" fontId="30" fillId="58" borderId="26" xfId="0" applyNumberFormat="1" applyFont="1" applyFill="1" applyBorder="1" applyAlignment="1">
      <alignment horizontal="center" vertical="center" wrapText="1"/>
    </xf>
    <xf numFmtId="4" fontId="30" fillId="58" borderId="27" xfId="0" applyNumberFormat="1" applyFont="1" applyFill="1" applyBorder="1" applyAlignment="1">
      <alignment horizontal="center" vertical="center" wrapText="1"/>
    </xf>
    <xf numFmtId="4" fontId="30" fillId="58" borderId="28" xfId="0" applyNumberFormat="1" applyFont="1" applyFill="1" applyBorder="1" applyAlignment="1">
      <alignment horizontal="center" vertical="center" wrapText="1"/>
    </xf>
    <xf numFmtId="4" fontId="27" fillId="58" borderId="22" xfId="0" applyNumberFormat="1" applyFont="1" applyFill="1" applyBorder="1" applyAlignment="1">
      <alignment horizontal="center" vertical="center" wrapText="1"/>
    </xf>
    <xf numFmtId="4" fontId="27" fillId="58" borderId="23" xfId="0" applyNumberFormat="1" applyFont="1" applyFill="1" applyBorder="1" applyAlignment="1">
      <alignment horizontal="center" vertical="center" wrapText="1"/>
    </xf>
    <xf numFmtId="4" fontId="27" fillId="58" borderId="24" xfId="0" applyNumberFormat="1" applyFont="1" applyFill="1" applyBorder="1" applyAlignment="1">
      <alignment horizontal="center" vertical="center" wrapText="1"/>
    </xf>
    <xf numFmtId="4" fontId="27" fillId="58" borderId="25" xfId="0" applyNumberFormat="1" applyFont="1" applyFill="1" applyBorder="1" applyAlignment="1">
      <alignment horizontal="center" vertical="center" wrapText="1"/>
    </xf>
    <xf numFmtId="4" fontId="27" fillId="58" borderId="18" xfId="0" applyNumberFormat="1" applyFont="1" applyFill="1" applyBorder="1" applyAlignment="1">
      <alignment horizontal="center" vertical="center" wrapText="1"/>
    </xf>
    <xf numFmtId="4" fontId="30" fillId="58" borderId="1" xfId="0" applyNumberFormat="1" applyFont="1" applyFill="1" applyBorder="1" applyAlignment="1">
      <alignment horizontal="center" vertical="center" wrapText="1"/>
    </xf>
    <xf numFmtId="4" fontId="29" fillId="58" borderId="13" xfId="0" applyNumberFormat="1" applyFont="1" applyFill="1" applyBorder="1" applyAlignment="1">
      <alignment horizontal="center" vertical="center" wrapText="1"/>
    </xf>
    <xf numFmtId="4" fontId="29" fillId="58" borderId="1" xfId="0" applyNumberFormat="1" applyFont="1" applyFill="1" applyBorder="1" applyAlignment="1">
      <alignment horizontal="center" vertical="center" wrapText="1"/>
    </xf>
    <xf numFmtId="4" fontId="28" fillId="58" borderId="13" xfId="0" applyNumberFormat="1" applyFont="1" applyFill="1" applyBorder="1" applyAlignment="1">
      <alignment horizontal="center" vertical="center" wrapText="1"/>
    </xf>
    <xf numFmtId="0" fontId="30" fillId="41" borderId="1" xfId="0" applyFont="1" applyFill="1" applyBorder="1" applyAlignment="1">
      <alignment horizontal="center" vertical="center" wrapText="1"/>
    </xf>
    <xf numFmtId="4" fontId="1" fillId="55" borderId="22" xfId="0" applyNumberFormat="1" applyFont="1" applyFill="1" applyBorder="1" applyAlignment="1">
      <alignment horizontal="center" vertical="center" wrapText="1"/>
    </xf>
    <xf numFmtId="4" fontId="27" fillId="41"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xf>
    <xf numFmtId="0" fontId="29" fillId="35" borderId="1" xfId="0" applyFont="1" applyFill="1" applyBorder="1" applyAlignment="1">
      <alignment horizontal="left"/>
    </xf>
    <xf numFmtId="0" fontId="27" fillId="3" borderId="1" xfId="0" applyFont="1" applyFill="1" applyBorder="1" applyAlignment="1">
      <alignment horizontal="center" vertical="center"/>
    </xf>
    <xf numFmtId="0" fontId="0" fillId="3" borderId="1" xfId="0" applyFill="1" applyBorder="1" applyAlignment="1">
      <alignment horizontal="center" vertical="center"/>
    </xf>
    <xf numFmtId="1" fontId="29" fillId="35" borderId="1" xfId="0" applyNumberFormat="1" applyFont="1" applyFill="1" applyBorder="1" applyAlignment="1">
      <alignment horizontal="left"/>
    </xf>
    <xf numFmtId="0" fontId="2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49" fontId="4" fillId="3" borderId="11" xfId="0" applyNumberFormat="1" applyFont="1" applyFill="1" applyBorder="1" applyAlignment="1" applyProtection="1">
      <alignment horizontal="left" vertical="center" wrapText="1"/>
      <protection locked="0"/>
    </xf>
    <xf numFmtId="49" fontId="4" fillId="3" borderId="12" xfId="0" applyNumberFormat="1" applyFont="1" applyFill="1" applyBorder="1" applyAlignment="1" applyProtection="1">
      <alignment horizontal="left" vertical="center" wrapText="1"/>
      <protection locked="0"/>
    </xf>
    <xf numFmtId="0" fontId="27" fillId="39" borderId="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45" fillId="0" borderId="11" xfId="0" applyFont="1" applyBorder="1" applyAlignment="1">
      <alignment horizontal="center"/>
    </xf>
    <xf numFmtId="0" fontId="45" fillId="0" borderId="12" xfId="0" applyFont="1" applyBorder="1" applyAlignment="1">
      <alignment horizontal="center"/>
    </xf>
    <xf numFmtId="0" fontId="30" fillId="0" borderId="22" xfId="0" applyFont="1" applyBorder="1" applyAlignment="1">
      <alignment horizontal="center" wrapText="1"/>
    </xf>
    <xf numFmtId="0" fontId="30" fillId="0" borderId="30" xfId="0" applyFont="1" applyBorder="1" applyAlignment="1">
      <alignment horizontal="center" wrapText="1"/>
    </xf>
    <xf numFmtId="0" fontId="30" fillId="0" borderId="23" xfId="0" applyFont="1" applyBorder="1" applyAlignment="1">
      <alignment horizontal="center" wrapText="1"/>
    </xf>
    <xf numFmtId="0" fontId="30" fillId="0" borderId="31" xfId="0" applyFont="1" applyBorder="1" applyAlignment="1">
      <alignment horizontal="center" wrapText="1"/>
    </xf>
    <xf numFmtId="0" fontId="30" fillId="40" borderId="11" xfId="0" applyFont="1" applyFill="1" applyBorder="1" applyAlignment="1">
      <alignment horizontal="center" vertical="center"/>
    </xf>
    <xf numFmtId="0" fontId="30" fillId="40" borderId="12" xfId="0" applyFont="1" applyFill="1" applyBorder="1" applyAlignment="1">
      <alignment horizontal="center" vertical="center"/>
    </xf>
    <xf numFmtId="0" fontId="30" fillId="3" borderId="1" xfId="0" applyFont="1" applyFill="1" applyBorder="1" applyAlignment="1">
      <alignment horizontal="center" vertical="center"/>
    </xf>
    <xf numFmtId="0" fontId="30" fillId="45" borderId="1" xfId="0" applyFont="1" applyFill="1" applyBorder="1" applyAlignment="1">
      <alignment horizontal="center" vertical="center" wrapText="1"/>
    </xf>
    <xf numFmtId="0" fontId="30" fillId="46"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45" borderId="11" xfId="0" applyFont="1" applyFill="1" applyBorder="1" applyAlignment="1">
      <alignment horizontal="center" vertical="center" wrapText="1"/>
    </xf>
    <xf numFmtId="0" fontId="30" fillId="45" borderId="12" xfId="0" applyFont="1" applyFill="1" applyBorder="1" applyAlignment="1">
      <alignment horizontal="center" vertical="center" wrapText="1"/>
    </xf>
    <xf numFmtId="0" fontId="30" fillId="46" borderId="11" xfId="0" applyFont="1" applyFill="1" applyBorder="1" applyAlignment="1">
      <alignment horizontal="center" vertical="center" wrapText="1"/>
    </xf>
    <xf numFmtId="0" fontId="30" fillId="46" borderId="12" xfId="0" applyFont="1" applyFill="1" applyBorder="1" applyAlignment="1">
      <alignment horizontal="center" vertical="center" wrapText="1"/>
    </xf>
    <xf numFmtId="0" fontId="1" fillId="53" borderId="13" xfId="0" applyFont="1" applyFill="1" applyBorder="1" applyAlignment="1"/>
    <xf numFmtId="0" fontId="0" fillId="53" borderId="15" xfId="0" applyFill="1" applyBorder="1" applyAlignment="1"/>
    <xf numFmtId="172" fontId="1" fillId="53" borderId="13" xfId="0" applyNumberFormat="1" applyFont="1" applyFill="1" applyBorder="1" applyAlignment="1">
      <alignment horizontal="left"/>
    </xf>
    <xf numFmtId="0" fontId="1" fillId="53" borderId="14" xfId="0" applyFont="1" applyFill="1" applyBorder="1" applyAlignment="1"/>
    <xf numFmtId="0" fontId="0" fillId="0" borderId="36" xfId="0" applyBorder="1" applyAlignment="1">
      <alignment horizontal="center"/>
    </xf>
    <xf numFmtId="0" fontId="0" fillId="53" borderId="14" xfId="0" applyFill="1" applyBorder="1" applyAlignment="1"/>
    <xf numFmtId="0" fontId="1" fillId="53" borderId="1" xfId="0" applyFont="1" applyFill="1" applyBorder="1" applyAlignment="1"/>
    <xf numFmtId="0" fontId="0" fillId="53" borderId="1" xfId="0" applyFill="1" applyBorder="1" applyAlignment="1"/>
    <xf numFmtId="0" fontId="0" fillId="2" borderId="1" xfId="0" applyFill="1" applyBorder="1" applyAlignment="1">
      <alignment horizontal="center"/>
    </xf>
    <xf numFmtId="0" fontId="30" fillId="39" borderId="13" xfId="0" applyFont="1" applyFill="1" applyBorder="1" applyAlignment="1">
      <alignment horizontal="center" vertical="center" wrapText="1"/>
    </xf>
    <xf numFmtId="0" fontId="30" fillId="39" borderId="15" xfId="0" applyFont="1" applyFill="1" applyBorder="1" applyAlignment="1">
      <alignment horizontal="center" vertical="center" wrapText="1"/>
    </xf>
    <xf numFmtId="0" fontId="30" fillId="39" borderId="14" xfId="0" applyFont="1" applyFill="1" applyBorder="1" applyAlignment="1">
      <alignment horizontal="center" vertical="center" wrapText="1"/>
    </xf>
  </cellXfs>
  <cellStyles count="114">
    <cellStyle name="20% - Accent1 2" xfId="11"/>
    <cellStyle name="20% - Accent1 2 2" xfId="12"/>
    <cellStyle name="20% - Accent1 2 2 2" xfId="13"/>
    <cellStyle name="20% - Accent1 2 3" xfId="14"/>
    <cellStyle name="20% - Accent2 2" xfId="15"/>
    <cellStyle name="20% - Accent2 2 2" xfId="16"/>
    <cellStyle name="20% - Accent2 2 2 2" xfId="17"/>
    <cellStyle name="20% - Accent2 2 3" xfId="18"/>
    <cellStyle name="20% - Accent3 2" xfId="19"/>
    <cellStyle name="20% - Accent3 2 2" xfId="20"/>
    <cellStyle name="20% - Accent3 2 2 2" xfId="21"/>
    <cellStyle name="20% - Accent3 2 3" xfId="22"/>
    <cellStyle name="20% - Accent4 2" xfId="23"/>
    <cellStyle name="20% - Accent4 2 2" xfId="24"/>
    <cellStyle name="20% - Accent4 2 2 2" xfId="25"/>
    <cellStyle name="20% - Accent4 2 3" xfId="26"/>
    <cellStyle name="20% - Accent5 2" xfId="27"/>
    <cellStyle name="20% - Accent5 2 2" xfId="28"/>
    <cellStyle name="20% - Accent5 2 2 2" xfId="29"/>
    <cellStyle name="20% - Accent5 2 3" xfId="30"/>
    <cellStyle name="20% - Accent6 2" xfId="31"/>
    <cellStyle name="20% - Accent6 2 2" xfId="32"/>
    <cellStyle name="20% - Accent6 2 2 2" xfId="33"/>
    <cellStyle name="20% - Accent6 2 3" xfId="34"/>
    <cellStyle name="40% - Accent1 2" xfId="35"/>
    <cellStyle name="40% - Accent1 2 2" xfId="36"/>
    <cellStyle name="40% - Accent1 2 2 2" xfId="37"/>
    <cellStyle name="40% - Accent1 2 3" xfId="38"/>
    <cellStyle name="40% - Accent2 2" xfId="39"/>
    <cellStyle name="40% - Accent2 2 2" xfId="40"/>
    <cellStyle name="40% - Accent2 2 2 2" xfId="41"/>
    <cellStyle name="40% - Accent2 2 3" xfId="42"/>
    <cellStyle name="40% - Accent3 2" xfId="43"/>
    <cellStyle name="40% - Accent3 2 2" xfId="44"/>
    <cellStyle name="40% - Accent3 2 2 2" xfId="45"/>
    <cellStyle name="40% - Accent3 2 3" xfId="46"/>
    <cellStyle name="40% - Accent4 2" xfId="47"/>
    <cellStyle name="40% - Accent4 2 2" xfId="48"/>
    <cellStyle name="40% - Accent4 2 2 2" xfId="49"/>
    <cellStyle name="40% - Accent4 2 3" xfId="50"/>
    <cellStyle name="40% - Accent5 2" xfId="51"/>
    <cellStyle name="40% - Accent5 2 2" xfId="52"/>
    <cellStyle name="40% - Accent5 2 2 2" xfId="53"/>
    <cellStyle name="40% - Accent5 2 3" xfId="54"/>
    <cellStyle name="40% - Accent6 2" xfId="55"/>
    <cellStyle name="40% - Accent6 2 2" xfId="56"/>
    <cellStyle name="40% - Accent6 2 2 2" xfId="57"/>
    <cellStyle name="40% - Accent6 2 3" xfId="58"/>
    <cellStyle name="60% - Accent1 2" xfId="59"/>
    <cellStyle name="60% - Accent2 2" xfId="60"/>
    <cellStyle name="60% - Accent3 2" xfId="61"/>
    <cellStyle name="60% - Accent4 2" xfId="62"/>
    <cellStyle name="60% - Accent5 2" xfId="63"/>
    <cellStyle name="60% - Accent6 2" xfId="64"/>
    <cellStyle name="Accent1 2" xfId="65"/>
    <cellStyle name="Accent2 2" xfId="66"/>
    <cellStyle name="Accent3 2" xfId="67"/>
    <cellStyle name="Accent4 2" xfId="68"/>
    <cellStyle name="Accent5 2" xfId="69"/>
    <cellStyle name="Accent6 2" xfId="70"/>
    <cellStyle name="Bad 2" xfId="71"/>
    <cellStyle name="Calculation 2" xfId="72"/>
    <cellStyle name="Check Cell 2" xfId="73"/>
    <cellStyle name="Comma 2" xfId="74"/>
    <cellStyle name="Comma 2 2" xfId="75"/>
    <cellStyle name="Currency 2" xfId="76"/>
    <cellStyle name="Explanatory Text 2" xfId="77"/>
    <cellStyle name="Good 2" xfId="78"/>
    <cellStyle name="Heading 1 2" xfId="79"/>
    <cellStyle name="Heading 2 2" xfId="80"/>
    <cellStyle name="Heading 3 2" xfId="81"/>
    <cellStyle name="Heading 4 2" xfId="82"/>
    <cellStyle name="Input 2" xfId="83"/>
    <cellStyle name="Įprastas 2" xfId="6"/>
    <cellStyle name="Linked Cell 2" xfId="84"/>
    <cellStyle name="Neutral 2" xfId="85"/>
    <cellStyle name="Normal" xfId="0" builtinId="0"/>
    <cellStyle name="Normal 10" xfId="7"/>
    <cellStyle name="Normal 17" xfId="102"/>
    <cellStyle name="Normal 2" xfId="86"/>
    <cellStyle name="Normal 2 2" xfId="87"/>
    <cellStyle name="Normal 3" xfId="98"/>
    <cellStyle name="Normal 4" xfId="8"/>
    <cellStyle name="Normal 4 2" xfId="100"/>
    <cellStyle name="Normal 4 2 2" xfId="101"/>
    <cellStyle name="Normal 4 3" xfId="99"/>
    <cellStyle name="Normal 4 4" xfId="103"/>
    <cellStyle name="Normal 5" xfId="10"/>
    <cellStyle name="Normal 6" xfId="9"/>
    <cellStyle name="Note 2" xfId="88"/>
    <cellStyle name="Note 2 2" xfId="89"/>
    <cellStyle name="Note 2 2 2" xfId="90"/>
    <cellStyle name="Note 2 3" xfId="91"/>
    <cellStyle name="Output 2" xfId="92"/>
    <cellStyle name="Percent" xfId="110" builtinId="5"/>
    <cellStyle name="Percent 2" xfId="94"/>
    <cellStyle name="Percent 3" xfId="93"/>
    <cellStyle name="Title 2" xfId="95"/>
    <cellStyle name="Total 2" xfId="96"/>
    <cellStyle name="Warning Text 2" xfId="97"/>
    <cellStyle name="Денежный 2" xfId="5"/>
    <cellStyle name="Обычный 12" xfId="105"/>
    <cellStyle name="Обычный 2" xfId="1"/>
    <cellStyle name="Обычный 2 2" xfId="104"/>
    <cellStyle name="Обычный 2 2 2" xfId="106"/>
    <cellStyle name="Обычный 2 3" xfId="3"/>
    <cellStyle name="Обычный 3" xfId="107"/>
    <cellStyle name="Процентный 2" xfId="111"/>
    <cellStyle name="Финансовый 2" xfId="4"/>
    <cellStyle name="Финансовый 2 2" xfId="109"/>
    <cellStyle name="Финансовый 3" xfId="2"/>
    <cellStyle name="Финансовый 3 2" xfId="108"/>
    <cellStyle name="Финансовый 4" xfId="112"/>
    <cellStyle name="Финансовый 5" xfId="113"/>
  </cellStyles>
  <dxfs count="62">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numFmt numFmtId="171" formatCode="_-* #,##0.00\ _₽_-;\-* #,##0.00\ _₽_-;_-* &quot;-&quot;??\ _₽_-;_-@_-"/>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numFmt numFmtId="171" formatCode="_-* #,##0.00\ _₽_-;\-* #,##0.00\ _₽_-;_-* &quot;-&quot;??\ _₽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Finance%20Manager\AppData\Local\Microsoft\Windows\Temporary%20Internet%20Files\Content.Outlook\OXPF39C4\Documents%20and%20Settings\Marina\Local%20Settings\Temporary%20Internet%20Files\OLK5\Disease_specific_PF_template_dropdown_3+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B_Financial%20Report%20Y1%20EFR%20guidelines%20Updated%2011.02.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katkalova/Desktop/GF%20grant%202018-2020/&#1087;&#1072;&#1082;&#1077;&#1090;%20&#1092;&#1080;&#1085;&#1072;&#1083;/&#1085;&#1072;%202,5%20&#1075;&#1086;&#1076;&#1072;/DB_July_2018_December_20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KGZ%20tb_budgeting_templat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nex%208.%20SLD%20request%20KG%202007-2012_2nd%20line%20T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sers\Finance%20Manager\AppData\Local\Microsoft\Windows\Temporary%20Internet%20Files\Content.Outlook\OXPF39C4\Users\&#1090;&#1091;&#1073;&#1077;&#1088;&#1082;&#1091;&#1083;&#1077;&#1079;\AppData\Roaming\Microsoft\Excel\MDA%20tb%20budgeting%20template%20v3%20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odatta/AppData/Local/Temp/X-Author%20for%20Excel/eb671b60-394c-4ac3-8f59-cccbd2a36357/Detailed%20Budget-9%20Nov-Runtime.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nd9-Budget-12.04.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Users\Finance%20Manager\AppData\Local\Microsoft\Windows\Temporary%20Internet%20Files\Content.Outlook\OXPF39C4\Users\&#1090;&#1091;&#1073;&#1077;&#1088;&#1082;&#1091;&#1083;&#1077;&#1079;\Desktop\Turmenistan%20mission%20Jun%202-11\SSF%20Belarus%20docs\Phase%20II%20Final\Disease_specific_PF_template_dropdown_3+4.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10_PerformanceFramework_ru_020810_13-00%20%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Users\Finance%20Manager\AppData\Local\Microsoft\Windows\Temporary%20Internet%20Files\Content.Outlook\OXPF39C4\Users\&#1090;&#1091;&#1073;&#1077;&#1088;&#1082;&#1091;&#1083;&#1077;&#1079;\AppData\Roaming\Microsoft\Excel\TKM%20TB%20R9.%20PF%20v04%2021%20May%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7063\yulia\Alina\2%20&#1092;&#1072;&#1079;&#1072;-1\Template%20for%20Summary%20budgets%20Generic%201.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harma%20CI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tgf/sites/Operations/EasternEurope/PrivateZone/Belarus/Monitoring%20and%20Evaluation/R6%20TB/Attachment%20Negotiations/BLR_Rd6_Att1_GF%20Review%20_20Apr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Users\Finance%20Manager\AppData\Local\Microsoft\Windows\Temporary%20Internet%20Files\Content.Outlook\OXPF39C4\Users\&#1090;&#1091;&#1073;&#1077;&#1088;&#1082;&#1091;&#1083;&#1077;&#1079;\Desktop\Grants%20work%20June%201%202010\USB%20contents\Phase%20II%20Final\Disease_specific_PF_template_dropdown_3+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o.katkalova/Desktop/GF%20grant%202018-2020/Sem%201%202018/&#1087;&#1077;&#1088;&#1077;&#1088;&#1072;&#1089;&#1095;&#1077;&#1090;%20&#1085;&#1072;%204,5%20&#1080;%203,5%20&#1084;&#1083;&#1085;/final%20update/Budgets_SRs_extension_6%20monthes_2018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ormance Framework 3&amp;4"/>
      <sheetName val="HIV"/>
      <sheetName val="TB"/>
      <sheetName val="Malaria"/>
      <sheetName val="OVER"/>
    </sheetNames>
    <sheetDataSet>
      <sheetData sheetId="0" refreshError="1"/>
      <sheetData sheetId="1" refreshError="1"/>
      <sheetData sheetId="2">
        <row r="2">
          <cell r="A2" t="str">
            <v>Please select…</v>
          </cell>
          <cell r="D2" t="str">
            <v>Please select…</v>
          </cell>
        </row>
        <row r="3">
          <cell r="A3" t="str">
            <v>BCC - Mass media</v>
          </cell>
          <cell r="D3" t="str">
            <v xml:space="preserve">% of women and men aged 15-49 who have had sexual intercourse with more than one partner in the last 12 months </v>
          </cell>
        </row>
        <row r="4">
          <cell r="A4" t="str">
            <v>BCC - community outreach and schools</v>
          </cell>
          <cell r="D4" t="str">
            <v>% of never married young men and women aged 15-24 who have never had sex</v>
          </cell>
        </row>
        <row r="5">
          <cell r="A5" t="str">
            <v xml:space="preserve">Condom </v>
          </cell>
          <cell r="D5" t="str">
            <v xml:space="preserve">% of young women and men aged 15-24 who have had sexual intercourse before the age of 15 </v>
          </cell>
          <cell r="F5" t="str">
            <v>Please enter a SDA here…</v>
          </cell>
        </row>
        <row r="6">
          <cell r="A6" t="str">
            <v>Testing and Counseling</v>
          </cell>
          <cell r="D6" t="str">
            <v xml:space="preserve">% of injecting drug users reporting the use of sterile injecting equipment the last time they injected </v>
          </cell>
        </row>
        <row r="7">
          <cell r="A7" t="str">
            <v>PMTCT</v>
          </cell>
          <cell r="D7" t="str">
            <v xml:space="preserve">% of injecting drug users reporting the use of a condom the last time they had sexual intercourse </v>
          </cell>
        </row>
        <row r="8">
          <cell r="A8" t="str">
            <v>Post-exposure prophylaxis (PEP)</v>
          </cell>
          <cell r="D8" t="str">
            <v>Current school attendance among orphans and non-orphans</v>
          </cell>
        </row>
        <row r="9">
          <cell r="A9" t="str">
            <v>STI diagnosis and treatment</v>
          </cell>
          <cell r="D9" t="str">
            <v>% of women and men aged 15-49 who have had more than one sexual partner in the past 12 months reporting the use of a condom during their last sexual intercourse</v>
          </cell>
        </row>
        <row r="10">
          <cell r="A10" t="str">
            <v>Blood safety and universal precaution</v>
          </cell>
          <cell r="D10" t="str">
            <v xml:space="preserve">% of women and men aged 15-49 expressing accepting attitudes towards people with HIV </v>
          </cell>
        </row>
        <row r="11">
          <cell r="A11" t="str">
            <v>Antiretroviral treatment (ARV) and monitoring</v>
          </cell>
          <cell r="D11" t="str">
            <v xml:space="preserve">% of female and male sex workers reporting the use of a condom with their most recent client </v>
          </cell>
        </row>
        <row r="12">
          <cell r="A12" t="str">
            <v>Prophylaxis and treatment for opportunistic infections</v>
          </cell>
          <cell r="D12" t="str">
            <v xml:space="preserve">% of men aged 15-49 reporting sex with a sex worker in the last 12 months who used a condom during last paid intercourse </v>
          </cell>
        </row>
        <row r="13">
          <cell r="A13" t="str">
            <v>Care and support for the chronically ill</v>
          </cell>
          <cell r="D13" t="str">
            <v xml:space="preserve">% of men reporting the use of condom the last time they had anal sex with a male partner </v>
          </cell>
        </row>
        <row r="14">
          <cell r="A14" t="str">
            <v>Support for orphans and vulnerable children</v>
          </cell>
        </row>
        <row r="15">
          <cell r="A15" t="str">
            <v>TB/HIV</v>
          </cell>
        </row>
        <row r="16">
          <cell r="A16" t="str">
            <v>Policy development including workplace policy</v>
          </cell>
        </row>
        <row r="17">
          <cell r="A17" t="str">
            <v xml:space="preserve">Strengthening of civil society and institutional capacity building </v>
          </cell>
        </row>
        <row r="18">
          <cell r="A18" t="str">
            <v>Stigma reduction in all settings</v>
          </cell>
        </row>
        <row r="19">
          <cell r="A19" t="str">
            <v>HSS: Service delivery</v>
          </cell>
        </row>
        <row r="20">
          <cell r="A20" t="str">
            <v>HSS: Health Workforce</v>
          </cell>
        </row>
        <row r="21">
          <cell r="A21" t="str">
            <v>HSS: Medical Products, vaccines and technology</v>
          </cell>
        </row>
        <row r="22">
          <cell r="A22" t="str">
            <v>HSS: Financing</v>
          </cell>
        </row>
        <row r="23">
          <cell r="A23" t="str">
            <v>HSS: Leadership and Governance</v>
          </cell>
        </row>
        <row r="24">
          <cell r="A24" t="str">
            <v xml:space="preserve">HSS: Information system </v>
          </cell>
        </row>
      </sheetData>
      <sheetData sheetId="3">
        <row r="2">
          <cell r="B2" t="str">
            <v>please select…</v>
          </cell>
          <cell r="D2" t="str">
            <v>please select…</v>
          </cell>
        </row>
        <row r="3">
          <cell r="B3" t="str">
            <v>TB prevalence rate</v>
          </cell>
          <cell r="D3" t="str">
            <v>Case detection rate: new smear positive TB cases</v>
          </cell>
        </row>
        <row r="4">
          <cell r="B4" t="str">
            <v>TB incidence rate</v>
          </cell>
          <cell r="D4" t="str">
            <v>Treatment success rate: new smear positive TB cases</v>
          </cell>
        </row>
        <row r="5">
          <cell r="B5" t="str">
            <v>TB mortality rate</v>
          </cell>
        </row>
      </sheetData>
      <sheetData sheetId="4">
        <row r="2">
          <cell r="A2" t="str">
            <v>please select…</v>
          </cell>
          <cell r="E2" t="str">
            <v>please select…</v>
          </cell>
        </row>
        <row r="3">
          <cell r="A3" t="str">
            <v>BCC - Mass media</v>
          </cell>
          <cell r="E3" t="str">
            <v>DHS/DHS+ (Demographic and Health Survey)</v>
          </cell>
        </row>
        <row r="4">
          <cell r="A4" t="str">
            <v>BCC - community outreach</v>
          </cell>
          <cell r="E4" t="str">
            <v>MIS (Malaria Indicator Survey)</v>
          </cell>
        </row>
        <row r="5">
          <cell r="A5" t="str">
            <v>Insecticide-treated nets (ITNs)</v>
          </cell>
          <cell r="E5" t="str">
            <v>MICS (Multiple Indicator Cluster Survey)</v>
          </cell>
        </row>
        <row r="6">
          <cell r="A6" t="str">
            <v>Malaria prevention during pregnancy</v>
          </cell>
          <cell r="E6" t="str">
            <v>Situation Analysis</v>
          </cell>
        </row>
        <row r="7">
          <cell r="A7" t="str">
            <v>Indoor Residual Spraying</v>
          </cell>
          <cell r="E7" t="str">
            <v>HMIS</v>
          </cell>
        </row>
        <row r="8">
          <cell r="A8" t="str">
            <v>Prompt, effective anti-malarial treatment</v>
          </cell>
          <cell r="E8" t="str">
            <v>Health Facility survey</v>
          </cell>
        </row>
        <row r="9">
          <cell r="A9" t="str">
            <v>Home based management of malaria</v>
          </cell>
          <cell r="E9" t="str">
            <v>Health Provider survey</v>
          </cell>
        </row>
        <row r="10">
          <cell r="A10" t="str">
            <v>Diagnosis</v>
          </cell>
          <cell r="E10" t="str">
            <v>Key informant survey</v>
          </cell>
        </row>
        <row r="11">
          <cell r="A11" t="str">
            <v>Monitoring drug resistance</v>
          </cell>
          <cell r="E11" t="str">
            <v>Households survey</v>
          </cell>
        </row>
        <row r="12">
          <cell r="A12" t="str">
            <v>Monitoring insecticide resistance</v>
          </cell>
          <cell r="E12" t="str">
            <v>Vital registration systems</v>
          </cell>
        </row>
        <row r="13">
          <cell r="A13" t="str">
            <v>Coordination and partnership development (national, community, public-private)</v>
          </cell>
          <cell r="E13" t="str">
            <v>Training records</v>
          </cell>
        </row>
        <row r="14">
          <cell r="A14" t="str">
            <v>HSS: Service delivery</v>
          </cell>
          <cell r="E14" t="str">
            <v>Patients records</v>
          </cell>
        </row>
        <row r="15">
          <cell r="A15" t="str">
            <v xml:space="preserve">HSS: Health Workforce </v>
          </cell>
          <cell r="E15" t="str">
            <v>Surveillance systems</v>
          </cell>
        </row>
        <row r="16">
          <cell r="A16" t="str">
            <v xml:space="preserve">HSS: Medical Products, Vaccines and Technology </v>
          </cell>
          <cell r="E16" t="str">
            <v>Other report, specify</v>
          </cell>
        </row>
        <row r="17">
          <cell r="A17" t="str">
            <v xml:space="preserve">HSS: Information system </v>
          </cell>
          <cell r="E17" t="str">
            <v>National Health Account</v>
          </cell>
        </row>
        <row r="18">
          <cell r="A18" t="str">
            <v xml:space="preserve">HSS: Financing </v>
          </cell>
          <cell r="E18" t="str">
            <v>SAMS (Service Availability Mapping Survey)</v>
          </cell>
        </row>
        <row r="19">
          <cell r="A19" t="str">
            <v xml:space="preserve">HSS: Leadership and Goverance </v>
          </cell>
          <cell r="E19" t="str">
            <v>Other survey, specify</v>
          </cell>
        </row>
        <row r="20">
          <cell r="E20" t="str">
            <v>Administrative records</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Financial Data"/>
      <sheetName val="BUDGET Y1 GF"/>
      <sheetName val="Budget Y1 New line Categories"/>
      <sheetName val="Macro-categ_Budget"/>
      <sheetName val="Budget Implem. agent"/>
      <sheetName val="Budget sub-recipients work tab "/>
      <sheetName val="ATLAS GF "/>
      <sheetName val="Expenditures by Categ."/>
      <sheetName val="Expenditures GF Macro-categ "/>
      <sheetName val="Expenditures Impl. party"/>
      <sheetName val="Definitions"/>
      <sheetName val="Sheet1"/>
      <sheetName val="HIV"/>
      <sheetName val="Malaria"/>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Summary by Cost Input"/>
      <sheetName val="AdditionalFundingRequestInfo"/>
      <sheetName val="Assumptions HR"/>
      <sheetName val="Assumptions TRC"/>
      <sheetName val="Assumptions Other"/>
      <sheetName val="Free sheet-enter what you need"/>
      <sheetName val="Free pivot table"/>
      <sheetName val="Financial Triggers - Budget"/>
      <sheetName val="apttusmetadata"/>
      <sheetName val="DB_July_2018_December_2020"/>
    </sheetNames>
    <sheetDataSet>
      <sheetData sheetId="0">
        <row r="2">
          <cell r="J2" t="str">
            <v>English</v>
          </cell>
        </row>
        <row r="4">
          <cell r="C4" t="str">
            <v>Kyrgyzstan</v>
          </cell>
        </row>
        <row r="6">
          <cell r="C6">
            <v>43282</v>
          </cell>
        </row>
        <row r="13">
          <cell r="A13" t="str">
            <v>HIV/AIDS</v>
          </cell>
        </row>
        <row r="14">
          <cell r="A14" t="str">
            <v>Tuberculosis</v>
          </cell>
        </row>
        <row r="31">
          <cell r="C31" t="str">
            <v>EUR</v>
          </cell>
        </row>
        <row r="32">
          <cell r="C32" t="str">
            <v>KGS</v>
          </cell>
        </row>
        <row r="33">
          <cell r="C33" t="str">
            <v>USD</v>
          </cell>
        </row>
        <row r="45">
          <cell r="K45" t="str">
            <v>United Nations Development Programme</v>
          </cell>
        </row>
        <row r="46">
          <cell r="K46" t="str">
            <v/>
          </cell>
        </row>
        <row r="47">
          <cell r="K47" t="str">
            <v/>
          </cell>
        </row>
        <row r="48">
          <cell r="K48" t="str">
            <v/>
          </cell>
        </row>
        <row r="49">
          <cell r="K49" t="str">
            <v/>
          </cell>
        </row>
        <row r="50">
          <cell r="K50" t="str">
            <v/>
          </cell>
        </row>
        <row r="51">
          <cell r="K51" t="str">
            <v/>
          </cell>
        </row>
        <row r="52">
          <cell r="K52" t="str">
            <v/>
          </cell>
        </row>
        <row r="53">
          <cell r="K53" t="str">
            <v/>
          </cell>
        </row>
        <row r="54">
          <cell r="K54" t="str">
            <v/>
          </cell>
        </row>
        <row r="55">
          <cell r="K55" t="str">
            <v/>
          </cell>
        </row>
        <row r="56">
          <cell r="K56" t="str">
            <v/>
          </cell>
        </row>
        <row r="57">
          <cell r="K57" t="str">
            <v/>
          </cell>
        </row>
        <row r="58">
          <cell r="K58" t="str">
            <v/>
          </cell>
        </row>
        <row r="59">
          <cell r="K59" t="str">
            <v/>
          </cell>
        </row>
        <row r="60">
          <cell r="K60" t="str">
            <v/>
          </cell>
        </row>
        <row r="61">
          <cell r="K61" t="str">
            <v/>
          </cell>
        </row>
        <row r="62">
          <cell r="K62" t="str">
            <v/>
          </cell>
        </row>
        <row r="63">
          <cell r="K63" t="str">
            <v/>
          </cell>
        </row>
        <row r="64">
          <cell r="K64" t="str">
            <v/>
          </cell>
        </row>
        <row r="65">
          <cell r="K65" t="str">
            <v/>
          </cell>
        </row>
        <row r="66">
          <cell r="K66" t="str">
            <v/>
          </cell>
        </row>
        <row r="67">
          <cell r="K67" t="str">
            <v/>
          </cell>
        </row>
        <row r="68">
          <cell r="K68" t="str">
            <v/>
          </cell>
        </row>
        <row r="69">
          <cell r="K69" t="str">
            <v/>
          </cell>
        </row>
        <row r="70">
          <cell r="K70" t="str">
            <v/>
          </cell>
        </row>
        <row r="71">
          <cell r="K71" t="str">
            <v/>
          </cell>
        </row>
      </sheetData>
      <sheetData sheetId="1">
        <row r="5">
          <cell r="D5" t="str">
            <v>a1O36000001EGFCEA4</v>
          </cell>
          <cell r="F5" t="str">
            <v>a1O36000001EGGbEAO</v>
          </cell>
          <cell r="L5">
            <v>5.4</v>
          </cell>
        </row>
        <row r="6">
          <cell r="D6" t="str">
            <v>a1O36000001EGFCEA4</v>
          </cell>
          <cell r="F6" t="str">
            <v>a1O36000001EGGbEAO</v>
          </cell>
          <cell r="L6">
            <v>5.8</v>
          </cell>
        </row>
        <row r="7">
          <cell r="D7" t="str">
            <v>a1O36000001EGFCEA4</v>
          </cell>
          <cell r="F7" t="str">
            <v>a1O36000001EGGbEAO</v>
          </cell>
          <cell r="L7">
            <v>7.7</v>
          </cell>
        </row>
        <row r="8">
          <cell r="D8" t="str">
            <v>a1O36000001EGFDEA4</v>
          </cell>
          <cell r="F8" t="str">
            <v>a1O36000001EGGhEAO</v>
          </cell>
          <cell r="L8">
            <v>5.4</v>
          </cell>
        </row>
        <row r="9">
          <cell r="D9" t="str">
            <v>a1O36000001EGFDEA4</v>
          </cell>
          <cell r="F9" t="str">
            <v>a1O36000001EGGhEAO</v>
          </cell>
          <cell r="L9">
            <v>5.8</v>
          </cell>
        </row>
        <row r="10">
          <cell r="D10" t="str">
            <v>a1O36000001EGFDEA4</v>
          </cell>
          <cell r="F10" t="str">
            <v>a1O36000001EGGhEAO</v>
          </cell>
          <cell r="L10">
            <v>7.7</v>
          </cell>
        </row>
        <row r="11">
          <cell r="D11" t="str">
            <v>a1O36000001EGFDEA4</v>
          </cell>
          <cell r="F11" t="str">
            <v>a1O36000001EGGjEAO</v>
          </cell>
          <cell r="L11">
            <v>5.7</v>
          </cell>
        </row>
        <row r="12">
          <cell r="D12" t="str">
            <v>a1O36000001EGFDEA4</v>
          </cell>
          <cell r="F12" t="str">
            <v>a1O36000001EGGjEAO</v>
          </cell>
          <cell r="L12">
            <v>5.8</v>
          </cell>
        </row>
        <row r="13">
          <cell r="D13" t="str">
            <v>a1O36000001EGFDEA4</v>
          </cell>
          <cell r="F13" t="str">
            <v>a1O36000001EGGjEAO</v>
          </cell>
          <cell r="L13">
            <v>7.7</v>
          </cell>
        </row>
        <row r="14">
          <cell r="D14" t="str">
            <v>a1O36000001EGFDEA4</v>
          </cell>
          <cell r="F14" t="str">
            <v>a1O36000001EGGkEAO</v>
          </cell>
          <cell r="L14">
            <v>4.4000000000000004</v>
          </cell>
        </row>
        <row r="15">
          <cell r="D15" t="str">
            <v>a1O36000001EGFDEA4</v>
          </cell>
          <cell r="F15" t="str">
            <v>a1O36000001EGGkEAO</v>
          </cell>
          <cell r="L15">
            <v>5.8</v>
          </cell>
        </row>
        <row r="16">
          <cell r="D16" t="str">
            <v>a1O36000001EGFDEA4</v>
          </cell>
          <cell r="F16" t="str">
            <v>a1O36000001EGGkEAO</v>
          </cell>
          <cell r="L16">
            <v>7.7</v>
          </cell>
        </row>
        <row r="17">
          <cell r="D17" t="str">
            <v>a1O36000001EGFDEA4</v>
          </cell>
          <cell r="F17" t="str">
            <v>a1O36000001qZ8BEAU</v>
          </cell>
          <cell r="L17">
            <v>4.7</v>
          </cell>
        </row>
        <row r="18">
          <cell r="D18" t="str">
            <v>a1O36000001EGFDEA4</v>
          </cell>
          <cell r="F18" t="str">
            <v>a1O36000001qZ8BEAU</v>
          </cell>
          <cell r="L18">
            <v>7.7</v>
          </cell>
        </row>
        <row r="19">
          <cell r="D19" t="str">
            <v>a1O36000001EGFGEA4</v>
          </cell>
          <cell r="F19" t="str">
            <v>a1O36000001EGH1EAO</v>
          </cell>
          <cell r="L19">
            <v>4.0999999999999996</v>
          </cell>
        </row>
        <row r="20">
          <cell r="D20" t="str">
            <v>a1O36000001EGFGEA4</v>
          </cell>
          <cell r="F20" t="str">
            <v>a1O36000001EGH1EAO</v>
          </cell>
          <cell r="L20">
            <v>7.7</v>
          </cell>
        </row>
        <row r="21">
          <cell r="D21" t="str">
            <v>a1O36000001EGFHEA4</v>
          </cell>
          <cell r="F21" t="str">
            <v>a1O36000001EGH4EAO</v>
          </cell>
          <cell r="L21">
            <v>4.0999999999999996</v>
          </cell>
        </row>
        <row r="22">
          <cell r="D22" t="str">
            <v>a1O36000001EGFHEA4</v>
          </cell>
          <cell r="F22" t="str">
            <v>a1O36000001EGH4EAO</v>
          </cell>
          <cell r="L22">
            <v>7.7</v>
          </cell>
        </row>
        <row r="23">
          <cell r="D23" t="str">
            <v>a1O36000001EGFHEA4</v>
          </cell>
          <cell r="F23" t="str">
            <v>a1O36000001qZ8fEAE</v>
          </cell>
          <cell r="L23">
            <v>6.1</v>
          </cell>
        </row>
        <row r="24">
          <cell r="D24" t="str">
            <v>a1O36000001EGFHEA4</v>
          </cell>
          <cell r="F24" t="str">
            <v>a1O36000001qZ8fEAE</v>
          </cell>
          <cell r="L24">
            <v>6.2</v>
          </cell>
        </row>
        <row r="25">
          <cell r="D25" t="str">
            <v>a1O36000001EGFHEA4</v>
          </cell>
          <cell r="F25" t="str">
            <v>a1O36000001qZ8fEAE</v>
          </cell>
          <cell r="L25">
            <v>7.7</v>
          </cell>
        </row>
        <row r="26">
          <cell r="D26" t="str">
            <v>a1O36000001EGFJEA4</v>
          </cell>
          <cell r="F26" t="str">
            <v>a1O36000001EGHKEA4</v>
          </cell>
          <cell r="L26">
            <v>4.7</v>
          </cell>
        </row>
        <row r="27">
          <cell r="D27" t="str">
            <v>a1O36000001EGFJEA4</v>
          </cell>
          <cell r="F27" t="str">
            <v>a1O36000001EGHKEA4</v>
          </cell>
          <cell r="L27">
            <v>7.7</v>
          </cell>
        </row>
        <row r="28">
          <cell r="D28" t="str">
            <v>a1O36000001qZ7tEAE</v>
          </cell>
          <cell r="F28" t="str">
            <v>a1O36000001qZ8UEAU</v>
          </cell>
          <cell r="L28">
            <v>5.4</v>
          </cell>
        </row>
        <row r="29">
          <cell r="D29" t="str">
            <v>a1O36000001qZ7tEAE</v>
          </cell>
          <cell r="F29" t="str">
            <v>a1O36000001qZ8UEAU</v>
          </cell>
          <cell r="L29">
            <v>5.8</v>
          </cell>
        </row>
        <row r="30">
          <cell r="D30" t="str">
            <v>a1O36000001qZ7tEAE</v>
          </cell>
          <cell r="F30" t="str">
            <v>a1O36000001qZ8UEAU</v>
          </cell>
          <cell r="L30">
            <v>7.7</v>
          </cell>
        </row>
        <row r="31">
          <cell r="D31" t="str">
            <v>a1O36000001qZ7vEAE</v>
          </cell>
          <cell r="F31" t="str">
            <v>a1O36000001qZ96EAE</v>
          </cell>
          <cell r="L31">
            <v>5.4</v>
          </cell>
        </row>
        <row r="32">
          <cell r="D32" t="str">
            <v>a1O36000001qZ7vEAE</v>
          </cell>
          <cell r="F32" t="str">
            <v>a1O36000001qZ96EAE</v>
          </cell>
          <cell r="L32">
            <v>5.8</v>
          </cell>
        </row>
        <row r="33">
          <cell r="D33" t="str">
            <v>a1O36000001qZ7vEAE</v>
          </cell>
          <cell r="F33" t="str">
            <v>a1O36000001qZ96EAE</v>
          </cell>
          <cell r="L33">
            <v>7.7</v>
          </cell>
        </row>
        <row r="34">
          <cell r="D34" t="str">
            <v>a1O36000001EGFKEA4</v>
          </cell>
          <cell r="F34" t="str">
            <v>a1O36000001EGHREA4</v>
          </cell>
          <cell r="L34">
            <v>4.2</v>
          </cell>
        </row>
        <row r="35">
          <cell r="D35" t="str">
            <v>a1O36000001EGFKEA4</v>
          </cell>
          <cell r="F35" t="str">
            <v>a1O36000001EGHQEA4</v>
          </cell>
          <cell r="L35">
            <v>5.4</v>
          </cell>
        </row>
        <row r="36">
          <cell r="D36" t="str">
            <v>a1O36000001EGFKEA4</v>
          </cell>
          <cell r="F36" t="str">
            <v>a1O36000001EGHQEA4</v>
          </cell>
          <cell r="L36">
            <v>6.4</v>
          </cell>
        </row>
        <row r="37">
          <cell r="D37" t="str">
            <v>a1O36000001EGFKEA4</v>
          </cell>
          <cell r="F37" t="str">
            <v>a1O36000001EGHQEA4</v>
          </cell>
          <cell r="L37">
            <v>5.6</v>
          </cell>
        </row>
        <row r="38">
          <cell r="D38" t="str">
            <v>a1O36000001EGFKEA4</v>
          </cell>
          <cell r="F38" t="str">
            <v>a1O36000001EGHQEA4</v>
          </cell>
          <cell r="L38">
            <v>6.6</v>
          </cell>
        </row>
        <row r="39">
          <cell r="D39" t="str">
            <v>a1O36000001EGFKEA4</v>
          </cell>
          <cell r="F39" t="str">
            <v>a1O36000001EGHQEA4</v>
          </cell>
          <cell r="L39">
            <v>7.7</v>
          </cell>
        </row>
        <row r="40">
          <cell r="D40" t="str">
            <v>a1O36000001EGFKEA4</v>
          </cell>
          <cell r="F40" t="str">
            <v>a1O36000001EGHREA4</v>
          </cell>
          <cell r="L40">
            <v>5.7</v>
          </cell>
        </row>
        <row r="41">
          <cell r="D41" t="str">
            <v>a1O36000001EGFKEA4</v>
          </cell>
          <cell r="F41" t="str">
            <v>a1O36000001EGHREA4</v>
          </cell>
          <cell r="L41">
            <v>7.7</v>
          </cell>
        </row>
        <row r="42">
          <cell r="D42" t="str">
            <v>a1O36000001EGFKEA4</v>
          </cell>
          <cell r="F42" t="str">
            <v>a1O36000001EGHQEA4</v>
          </cell>
          <cell r="L42">
            <v>5.8</v>
          </cell>
        </row>
        <row r="43">
          <cell r="D43" t="str">
            <v/>
          </cell>
          <cell r="F43" t="str">
            <v/>
          </cell>
          <cell r="L43" t="str">
            <v/>
          </cell>
        </row>
        <row r="44">
          <cell r="D44" t="str">
            <v/>
          </cell>
          <cell r="F44" t="str">
            <v/>
          </cell>
          <cell r="L44" t="str">
            <v/>
          </cell>
        </row>
        <row r="45">
          <cell r="D45" t="str">
            <v/>
          </cell>
          <cell r="F45" t="str">
            <v/>
          </cell>
          <cell r="L45" t="str">
            <v/>
          </cell>
        </row>
        <row r="46">
          <cell r="D46" t="str">
            <v/>
          </cell>
          <cell r="F46" t="str">
            <v/>
          </cell>
          <cell r="L46" t="str">
            <v/>
          </cell>
        </row>
        <row r="47">
          <cell r="D47" t="str">
            <v/>
          </cell>
          <cell r="F47" t="str">
            <v/>
          </cell>
          <cell r="L47" t="str">
            <v/>
          </cell>
        </row>
        <row r="48">
          <cell r="D48" t="str">
            <v/>
          </cell>
          <cell r="F48" t="str">
            <v/>
          </cell>
          <cell r="L48" t="str">
            <v/>
          </cell>
        </row>
        <row r="49">
          <cell r="D49" t="str">
            <v/>
          </cell>
          <cell r="F49" t="str">
            <v/>
          </cell>
          <cell r="L49" t="str">
            <v/>
          </cell>
        </row>
        <row r="50">
          <cell r="D50" t="str">
            <v/>
          </cell>
          <cell r="F50" t="str">
            <v/>
          </cell>
          <cell r="L50" t="str">
            <v/>
          </cell>
        </row>
        <row r="51">
          <cell r="D51" t="str">
            <v/>
          </cell>
          <cell r="F51" t="str">
            <v/>
          </cell>
          <cell r="L51" t="str">
            <v/>
          </cell>
        </row>
        <row r="52">
          <cell r="D52" t="str">
            <v/>
          </cell>
          <cell r="F52" t="str">
            <v/>
          </cell>
          <cell r="L52" t="str">
            <v/>
          </cell>
        </row>
        <row r="53">
          <cell r="D53" t="str">
            <v/>
          </cell>
          <cell r="F53" t="str">
            <v/>
          </cell>
          <cell r="L53" t="str">
            <v/>
          </cell>
        </row>
        <row r="54">
          <cell r="D54" t="str">
            <v/>
          </cell>
          <cell r="F54" t="str">
            <v/>
          </cell>
          <cell r="L54" t="str">
            <v/>
          </cell>
        </row>
        <row r="55">
          <cell r="D55" t="str">
            <v/>
          </cell>
          <cell r="F55" t="str">
            <v/>
          </cell>
          <cell r="L55" t="str">
            <v/>
          </cell>
        </row>
        <row r="56">
          <cell r="D56" t="str">
            <v/>
          </cell>
          <cell r="F56" t="str">
            <v/>
          </cell>
          <cell r="L56" t="str">
            <v/>
          </cell>
        </row>
        <row r="57">
          <cell r="D57" t="str">
            <v/>
          </cell>
          <cell r="F57" t="str">
            <v/>
          </cell>
          <cell r="L57" t="str">
            <v/>
          </cell>
        </row>
        <row r="58">
          <cell r="D58" t="str">
            <v/>
          </cell>
          <cell r="F58" t="str">
            <v/>
          </cell>
          <cell r="L58" t="str">
            <v/>
          </cell>
        </row>
        <row r="59">
          <cell r="D59" t="str">
            <v/>
          </cell>
          <cell r="F59" t="str">
            <v/>
          </cell>
          <cell r="L59" t="str">
            <v/>
          </cell>
        </row>
        <row r="60">
          <cell r="D60" t="str">
            <v/>
          </cell>
          <cell r="F60" t="str">
            <v/>
          </cell>
          <cell r="L60" t="str">
            <v/>
          </cell>
        </row>
        <row r="61">
          <cell r="D61" t="str">
            <v/>
          </cell>
          <cell r="F61" t="str">
            <v/>
          </cell>
          <cell r="L61" t="str">
            <v/>
          </cell>
        </row>
        <row r="62">
          <cell r="D62" t="str">
            <v/>
          </cell>
          <cell r="F62" t="str">
            <v/>
          </cell>
          <cell r="L62" t="str">
            <v/>
          </cell>
        </row>
        <row r="63">
          <cell r="D63" t="str">
            <v/>
          </cell>
          <cell r="F63" t="str">
            <v/>
          </cell>
          <cell r="L63" t="str">
            <v/>
          </cell>
        </row>
        <row r="64">
          <cell r="D64" t="str">
            <v/>
          </cell>
          <cell r="F64" t="str">
            <v/>
          </cell>
          <cell r="L64" t="str">
            <v/>
          </cell>
        </row>
        <row r="65">
          <cell r="D65" t="str">
            <v/>
          </cell>
          <cell r="F65" t="str">
            <v/>
          </cell>
          <cell r="L65" t="str">
            <v/>
          </cell>
        </row>
        <row r="66">
          <cell r="D66" t="str">
            <v/>
          </cell>
          <cell r="F66" t="str">
            <v/>
          </cell>
          <cell r="L66" t="str">
            <v/>
          </cell>
        </row>
        <row r="67">
          <cell r="D67" t="str">
            <v/>
          </cell>
          <cell r="F67" t="str">
            <v/>
          </cell>
          <cell r="L67" t="str">
            <v/>
          </cell>
        </row>
        <row r="68">
          <cell r="D68" t="str">
            <v/>
          </cell>
          <cell r="F68" t="str">
            <v/>
          </cell>
          <cell r="L68" t="str">
            <v/>
          </cell>
        </row>
        <row r="69">
          <cell r="D69" t="str">
            <v/>
          </cell>
          <cell r="F69" t="str">
            <v/>
          </cell>
          <cell r="L69" t="str">
            <v/>
          </cell>
        </row>
        <row r="70">
          <cell r="D70" t="str">
            <v/>
          </cell>
          <cell r="F70" t="str">
            <v/>
          </cell>
          <cell r="L70" t="str">
            <v/>
          </cell>
        </row>
        <row r="71">
          <cell r="D71" t="str">
            <v/>
          </cell>
          <cell r="F71" t="str">
            <v/>
          </cell>
          <cell r="L71" t="str">
            <v/>
          </cell>
        </row>
        <row r="72">
          <cell r="D72" t="str">
            <v/>
          </cell>
          <cell r="F72" t="str">
            <v/>
          </cell>
          <cell r="L72" t="str">
            <v/>
          </cell>
        </row>
        <row r="73">
          <cell r="D73" t="str">
            <v/>
          </cell>
          <cell r="F73" t="str">
            <v/>
          </cell>
          <cell r="L73" t="str">
            <v/>
          </cell>
        </row>
        <row r="74">
          <cell r="D74" t="str">
            <v/>
          </cell>
          <cell r="F74" t="str">
            <v/>
          </cell>
          <cell r="L74" t="str">
            <v/>
          </cell>
        </row>
        <row r="75">
          <cell r="D75" t="str">
            <v/>
          </cell>
          <cell r="F75" t="str">
            <v/>
          </cell>
          <cell r="L75" t="str">
            <v/>
          </cell>
        </row>
        <row r="76">
          <cell r="D76" t="str">
            <v/>
          </cell>
          <cell r="F76" t="str">
            <v/>
          </cell>
          <cell r="L76" t="str">
            <v/>
          </cell>
        </row>
        <row r="77">
          <cell r="D77" t="str">
            <v/>
          </cell>
          <cell r="F77" t="str">
            <v/>
          </cell>
          <cell r="L77" t="str">
            <v/>
          </cell>
        </row>
        <row r="78">
          <cell r="D78" t="str">
            <v/>
          </cell>
          <cell r="F78" t="str">
            <v/>
          </cell>
          <cell r="L78" t="str">
            <v/>
          </cell>
        </row>
        <row r="79">
          <cell r="D79" t="str">
            <v/>
          </cell>
          <cell r="F79" t="str">
            <v/>
          </cell>
          <cell r="L79" t="str">
            <v/>
          </cell>
        </row>
        <row r="80">
          <cell r="D80" t="str">
            <v/>
          </cell>
          <cell r="F80" t="str">
            <v/>
          </cell>
          <cell r="L80" t="str">
            <v/>
          </cell>
        </row>
        <row r="81">
          <cell r="D81" t="str">
            <v/>
          </cell>
          <cell r="F81" t="str">
            <v/>
          </cell>
          <cell r="L81" t="str">
            <v/>
          </cell>
        </row>
        <row r="82">
          <cell r="D82" t="str">
            <v/>
          </cell>
          <cell r="F82" t="str">
            <v/>
          </cell>
          <cell r="L82" t="str">
            <v/>
          </cell>
        </row>
        <row r="83">
          <cell r="D83" t="str">
            <v/>
          </cell>
          <cell r="F83" t="str">
            <v/>
          </cell>
          <cell r="L83" t="str">
            <v/>
          </cell>
        </row>
        <row r="84">
          <cell r="D84" t="str">
            <v/>
          </cell>
          <cell r="F84" t="str">
            <v/>
          </cell>
          <cell r="L84" t="str">
            <v/>
          </cell>
        </row>
        <row r="85">
          <cell r="D85" t="str">
            <v/>
          </cell>
          <cell r="F85" t="str">
            <v/>
          </cell>
          <cell r="L85" t="str">
            <v/>
          </cell>
        </row>
        <row r="86">
          <cell r="D86" t="str">
            <v/>
          </cell>
          <cell r="F86" t="str">
            <v/>
          </cell>
          <cell r="L86" t="str">
            <v/>
          </cell>
        </row>
        <row r="87">
          <cell r="D87" t="str">
            <v/>
          </cell>
          <cell r="F87" t="str">
            <v/>
          </cell>
          <cell r="L87" t="str">
            <v/>
          </cell>
        </row>
        <row r="88">
          <cell r="D88" t="str">
            <v/>
          </cell>
          <cell r="F88" t="str">
            <v/>
          </cell>
          <cell r="L88" t="str">
            <v/>
          </cell>
        </row>
        <row r="89">
          <cell r="D89" t="str">
            <v/>
          </cell>
          <cell r="F89" t="str">
            <v/>
          </cell>
          <cell r="L89" t="str">
            <v/>
          </cell>
        </row>
        <row r="90">
          <cell r="D90" t="str">
            <v/>
          </cell>
          <cell r="F90" t="str">
            <v/>
          </cell>
          <cell r="L90" t="str">
            <v/>
          </cell>
        </row>
        <row r="91">
          <cell r="D91" t="str">
            <v/>
          </cell>
          <cell r="F91" t="str">
            <v/>
          </cell>
          <cell r="L91" t="str">
            <v/>
          </cell>
        </row>
        <row r="92">
          <cell r="D92" t="str">
            <v/>
          </cell>
          <cell r="F92" t="str">
            <v/>
          </cell>
          <cell r="L92" t="str">
            <v/>
          </cell>
        </row>
        <row r="93">
          <cell r="D93" t="str">
            <v/>
          </cell>
          <cell r="F93" t="str">
            <v/>
          </cell>
          <cell r="L93" t="str">
            <v/>
          </cell>
        </row>
        <row r="94">
          <cell r="D94" t="str">
            <v/>
          </cell>
          <cell r="F94" t="str">
            <v/>
          </cell>
          <cell r="L94" t="str">
            <v/>
          </cell>
        </row>
        <row r="95">
          <cell r="D95" t="str">
            <v/>
          </cell>
          <cell r="F95" t="str">
            <v/>
          </cell>
          <cell r="L95" t="str">
            <v/>
          </cell>
        </row>
        <row r="96">
          <cell r="D96" t="str">
            <v/>
          </cell>
          <cell r="F96" t="str">
            <v/>
          </cell>
          <cell r="L96" t="str">
            <v/>
          </cell>
        </row>
        <row r="97">
          <cell r="D97" t="str">
            <v/>
          </cell>
          <cell r="F97" t="str">
            <v/>
          </cell>
          <cell r="L97" t="str">
            <v/>
          </cell>
        </row>
        <row r="98">
          <cell r="D98" t="str">
            <v/>
          </cell>
          <cell r="F98" t="str">
            <v/>
          </cell>
          <cell r="L98" t="str">
            <v/>
          </cell>
        </row>
        <row r="99">
          <cell r="D99" t="str">
            <v/>
          </cell>
          <cell r="F99" t="str">
            <v/>
          </cell>
          <cell r="L99" t="str">
            <v/>
          </cell>
        </row>
        <row r="100">
          <cell r="D100" t="str">
            <v/>
          </cell>
          <cell r="F100" t="str">
            <v/>
          </cell>
          <cell r="L100" t="str">
            <v/>
          </cell>
        </row>
        <row r="101">
          <cell r="D101" t="str">
            <v/>
          </cell>
          <cell r="F101" t="str">
            <v/>
          </cell>
          <cell r="L101" t="str">
            <v/>
          </cell>
        </row>
        <row r="102">
          <cell r="D102" t="str">
            <v/>
          </cell>
          <cell r="F102" t="str">
            <v/>
          </cell>
          <cell r="L102" t="str">
            <v/>
          </cell>
        </row>
        <row r="103">
          <cell r="D103" t="str">
            <v/>
          </cell>
          <cell r="F103" t="str">
            <v/>
          </cell>
          <cell r="L103" t="str">
            <v/>
          </cell>
        </row>
        <row r="104">
          <cell r="D104" t="str">
            <v/>
          </cell>
          <cell r="F104" t="str">
            <v/>
          </cell>
          <cell r="L104" t="str">
            <v/>
          </cell>
        </row>
        <row r="105">
          <cell r="D105" t="str">
            <v/>
          </cell>
          <cell r="F105" t="str">
            <v/>
          </cell>
          <cell r="L105" t="str">
            <v/>
          </cell>
        </row>
        <row r="106">
          <cell r="D106" t="str">
            <v/>
          </cell>
          <cell r="F106" t="str">
            <v/>
          </cell>
          <cell r="L106" t="str">
            <v/>
          </cell>
        </row>
        <row r="107">
          <cell r="D107" t="str">
            <v/>
          </cell>
          <cell r="F107" t="str">
            <v/>
          </cell>
          <cell r="L107" t="str">
            <v/>
          </cell>
        </row>
        <row r="108">
          <cell r="D108" t="str">
            <v/>
          </cell>
          <cell r="F108" t="str">
            <v/>
          </cell>
          <cell r="L108" t="str">
            <v/>
          </cell>
        </row>
        <row r="109">
          <cell r="D109" t="str">
            <v/>
          </cell>
          <cell r="F109" t="str">
            <v/>
          </cell>
          <cell r="L109" t="str">
            <v/>
          </cell>
        </row>
        <row r="110">
          <cell r="D110" t="str">
            <v/>
          </cell>
          <cell r="F110" t="str">
            <v/>
          </cell>
          <cell r="L110" t="str">
            <v/>
          </cell>
        </row>
        <row r="111">
          <cell r="D111" t="str">
            <v/>
          </cell>
          <cell r="F111" t="str">
            <v/>
          </cell>
          <cell r="L111" t="str">
            <v/>
          </cell>
        </row>
        <row r="112">
          <cell r="D112" t="str">
            <v/>
          </cell>
          <cell r="F112" t="str">
            <v/>
          </cell>
          <cell r="L112" t="str">
            <v/>
          </cell>
        </row>
        <row r="113">
          <cell r="D113" t="str">
            <v/>
          </cell>
          <cell r="F113" t="str">
            <v/>
          </cell>
          <cell r="L113" t="str">
            <v/>
          </cell>
        </row>
        <row r="114">
          <cell r="D114" t="str">
            <v/>
          </cell>
          <cell r="F114" t="str">
            <v/>
          </cell>
          <cell r="L114" t="str">
            <v/>
          </cell>
        </row>
        <row r="115">
          <cell r="D115" t="str">
            <v/>
          </cell>
          <cell r="F115" t="str">
            <v/>
          </cell>
          <cell r="L115" t="str">
            <v/>
          </cell>
        </row>
        <row r="116">
          <cell r="D116" t="str">
            <v/>
          </cell>
          <cell r="F116" t="str">
            <v/>
          </cell>
          <cell r="L116" t="str">
            <v/>
          </cell>
        </row>
        <row r="117">
          <cell r="D117" t="str">
            <v/>
          </cell>
          <cell r="F117" t="str">
            <v/>
          </cell>
          <cell r="L117" t="str">
            <v/>
          </cell>
        </row>
        <row r="118">
          <cell r="D118" t="str">
            <v/>
          </cell>
          <cell r="F118" t="str">
            <v/>
          </cell>
          <cell r="L118" t="str">
            <v/>
          </cell>
        </row>
        <row r="119">
          <cell r="D119" t="str">
            <v/>
          </cell>
          <cell r="F119" t="str">
            <v/>
          </cell>
          <cell r="L119" t="str">
            <v/>
          </cell>
        </row>
        <row r="120">
          <cell r="D120" t="str">
            <v/>
          </cell>
          <cell r="F120" t="str">
            <v/>
          </cell>
          <cell r="L120" t="str">
            <v/>
          </cell>
        </row>
        <row r="121">
          <cell r="D121" t="str">
            <v/>
          </cell>
          <cell r="F121" t="str">
            <v/>
          </cell>
          <cell r="L121" t="str">
            <v/>
          </cell>
        </row>
        <row r="122">
          <cell r="D122" t="str">
            <v/>
          </cell>
          <cell r="F122" t="str">
            <v/>
          </cell>
          <cell r="L122" t="str">
            <v/>
          </cell>
        </row>
        <row r="123">
          <cell r="D123" t="str">
            <v/>
          </cell>
          <cell r="F123" t="str">
            <v/>
          </cell>
          <cell r="L123" t="str">
            <v/>
          </cell>
        </row>
        <row r="124">
          <cell r="D124" t="str">
            <v/>
          </cell>
          <cell r="F124" t="str">
            <v/>
          </cell>
          <cell r="L124" t="str">
            <v/>
          </cell>
        </row>
        <row r="125">
          <cell r="D125" t="str">
            <v/>
          </cell>
          <cell r="F125" t="str">
            <v/>
          </cell>
          <cell r="L125" t="str">
            <v/>
          </cell>
        </row>
        <row r="126">
          <cell r="D126" t="str">
            <v/>
          </cell>
          <cell r="F126" t="str">
            <v/>
          </cell>
          <cell r="L126" t="str">
            <v/>
          </cell>
        </row>
        <row r="127">
          <cell r="D127" t="str">
            <v/>
          </cell>
          <cell r="F127" t="str">
            <v/>
          </cell>
          <cell r="L127" t="str">
            <v/>
          </cell>
        </row>
        <row r="128">
          <cell r="D128" t="str">
            <v/>
          </cell>
          <cell r="F128" t="str">
            <v/>
          </cell>
          <cell r="L128" t="str">
            <v/>
          </cell>
        </row>
        <row r="129">
          <cell r="D129" t="str">
            <v/>
          </cell>
          <cell r="F129" t="str">
            <v/>
          </cell>
          <cell r="L129" t="str">
            <v/>
          </cell>
        </row>
        <row r="130">
          <cell r="D130" t="str">
            <v/>
          </cell>
          <cell r="F130" t="str">
            <v/>
          </cell>
          <cell r="L130" t="str">
            <v/>
          </cell>
        </row>
        <row r="131">
          <cell r="D131" t="str">
            <v/>
          </cell>
          <cell r="F131" t="str">
            <v/>
          </cell>
          <cell r="L131" t="str">
            <v/>
          </cell>
        </row>
        <row r="132">
          <cell r="D132" t="str">
            <v/>
          </cell>
          <cell r="F132" t="str">
            <v/>
          </cell>
          <cell r="L132" t="str">
            <v/>
          </cell>
        </row>
        <row r="133">
          <cell r="D133" t="str">
            <v/>
          </cell>
          <cell r="F133" t="str">
            <v/>
          </cell>
          <cell r="L133" t="str">
            <v/>
          </cell>
        </row>
        <row r="134">
          <cell r="D134" t="str">
            <v/>
          </cell>
          <cell r="F134" t="str">
            <v/>
          </cell>
          <cell r="L134" t="str">
            <v/>
          </cell>
        </row>
        <row r="135">
          <cell r="D135" t="str">
            <v/>
          </cell>
          <cell r="F135" t="str">
            <v/>
          </cell>
          <cell r="L135" t="str">
            <v/>
          </cell>
        </row>
        <row r="136">
          <cell r="D136" t="str">
            <v/>
          </cell>
          <cell r="F136" t="str">
            <v/>
          </cell>
          <cell r="L136" t="str">
            <v/>
          </cell>
        </row>
        <row r="137">
          <cell r="D137" t="str">
            <v/>
          </cell>
          <cell r="F137" t="str">
            <v/>
          </cell>
          <cell r="L137" t="str">
            <v/>
          </cell>
        </row>
        <row r="138">
          <cell r="D138" t="str">
            <v/>
          </cell>
          <cell r="F138" t="str">
            <v/>
          </cell>
          <cell r="L138" t="str">
            <v/>
          </cell>
        </row>
        <row r="139">
          <cell r="D139" t="str">
            <v/>
          </cell>
          <cell r="F139" t="str">
            <v/>
          </cell>
          <cell r="L139" t="str">
            <v/>
          </cell>
        </row>
        <row r="140">
          <cell r="D140" t="str">
            <v/>
          </cell>
          <cell r="F140" t="str">
            <v/>
          </cell>
          <cell r="L140" t="str">
            <v/>
          </cell>
        </row>
        <row r="141">
          <cell r="D141" t="str">
            <v/>
          </cell>
          <cell r="F141" t="str">
            <v/>
          </cell>
          <cell r="L141" t="str">
            <v/>
          </cell>
        </row>
        <row r="142">
          <cell r="D142" t="str">
            <v/>
          </cell>
          <cell r="F142" t="str">
            <v/>
          </cell>
          <cell r="L142" t="str">
            <v/>
          </cell>
        </row>
        <row r="143">
          <cell r="D143" t="str">
            <v/>
          </cell>
          <cell r="F143" t="str">
            <v/>
          </cell>
          <cell r="L143" t="str">
            <v/>
          </cell>
        </row>
        <row r="144">
          <cell r="D144" t="str">
            <v/>
          </cell>
          <cell r="F144" t="str">
            <v/>
          </cell>
          <cell r="L144" t="str">
            <v/>
          </cell>
        </row>
        <row r="145">
          <cell r="D145" t="str">
            <v/>
          </cell>
          <cell r="F145" t="str">
            <v/>
          </cell>
          <cell r="L145" t="str">
            <v/>
          </cell>
        </row>
        <row r="146">
          <cell r="D146" t="str">
            <v/>
          </cell>
          <cell r="F146" t="str">
            <v/>
          </cell>
          <cell r="L146" t="str">
            <v/>
          </cell>
        </row>
        <row r="147">
          <cell r="D147" t="str">
            <v/>
          </cell>
          <cell r="F147" t="str">
            <v/>
          </cell>
          <cell r="L147" t="str">
            <v/>
          </cell>
        </row>
        <row r="148">
          <cell r="D148" t="str">
            <v/>
          </cell>
          <cell r="F148" t="str">
            <v/>
          </cell>
          <cell r="L148" t="str">
            <v/>
          </cell>
        </row>
        <row r="149">
          <cell r="D149" t="str">
            <v/>
          </cell>
          <cell r="F149" t="str">
            <v/>
          </cell>
          <cell r="L149" t="str">
            <v/>
          </cell>
        </row>
        <row r="150">
          <cell r="D150" t="str">
            <v/>
          </cell>
          <cell r="F150" t="str">
            <v/>
          </cell>
          <cell r="L150" t="str">
            <v/>
          </cell>
        </row>
        <row r="151">
          <cell r="D151" t="str">
            <v/>
          </cell>
          <cell r="F151" t="str">
            <v/>
          </cell>
          <cell r="L151" t="str">
            <v/>
          </cell>
        </row>
        <row r="152">
          <cell r="D152" t="str">
            <v/>
          </cell>
          <cell r="F152" t="str">
            <v/>
          </cell>
          <cell r="L152" t="str">
            <v/>
          </cell>
        </row>
        <row r="153">
          <cell r="D153" t="str">
            <v/>
          </cell>
          <cell r="F153" t="str">
            <v/>
          </cell>
          <cell r="L153" t="str">
            <v/>
          </cell>
        </row>
        <row r="154">
          <cell r="D154" t="str">
            <v/>
          </cell>
          <cell r="F154" t="str">
            <v/>
          </cell>
          <cell r="L154" t="str">
            <v/>
          </cell>
        </row>
        <row r="155">
          <cell r="D155" t="str">
            <v/>
          </cell>
          <cell r="F155" t="str">
            <v/>
          </cell>
          <cell r="L155" t="str">
            <v/>
          </cell>
        </row>
        <row r="156">
          <cell r="D156" t="str">
            <v/>
          </cell>
          <cell r="F156" t="str">
            <v/>
          </cell>
          <cell r="L156" t="str">
            <v/>
          </cell>
        </row>
        <row r="157">
          <cell r="D157" t="str">
            <v/>
          </cell>
          <cell r="F157" t="str">
            <v/>
          </cell>
          <cell r="L157" t="str">
            <v/>
          </cell>
        </row>
        <row r="158">
          <cell r="D158" t="str">
            <v/>
          </cell>
          <cell r="F158" t="str">
            <v/>
          </cell>
          <cell r="L158" t="str">
            <v/>
          </cell>
        </row>
        <row r="159">
          <cell r="D159" t="str">
            <v/>
          </cell>
          <cell r="F159" t="str">
            <v/>
          </cell>
          <cell r="L159" t="str">
            <v/>
          </cell>
        </row>
        <row r="160">
          <cell r="D160" t="str">
            <v/>
          </cell>
          <cell r="F160" t="str">
            <v/>
          </cell>
          <cell r="L160" t="str">
            <v/>
          </cell>
        </row>
        <row r="161">
          <cell r="D161" t="str">
            <v/>
          </cell>
          <cell r="F161" t="str">
            <v/>
          </cell>
          <cell r="L161" t="str">
            <v/>
          </cell>
        </row>
        <row r="162">
          <cell r="D162" t="str">
            <v/>
          </cell>
          <cell r="F162" t="str">
            <v/>
          </cell>
          <cell r="L162" t="str">
            <v/>
          </cell>
        </row>
        <row r="163">
          <cell r="D163" t="str">
            <v/>
          </cell>
          <cell r="F163" t="str">
            <v/>
          </cell>
          <cell r="L163" t="str">
            <v/>
          </cell>
        </row>
        <row r="164">
          <cell r="D164" t="str">
            <v/>
          </cell>
          <cell r="F164" t="str">
            <v/>
          </cell>
          <cell r="L164" t="str">
            <v/>
          </cell>
        </row>
        <row r="165">
          <cell r="D165" t="str">
            <v/>
          </cell>
          <cell r="F165" t="str">
            <v/>
          </cell>
          <cell r="L165" t="str">
            <v/>
          </cell>
        </row>
        <row r="166">
          <cell r="D166" t="str">
            <v/>
          </cell>
          <cell r="F166" t="str">
            <v/>
          </cell>
          <cell r="L166" t="str">
            <v/>
          </cell>
        </row>
        <row r="167">
          <cell r="D167" t="str">
            <v/>
          </cell>
          <cell r="F167" t="str">
            <v/>
          </cell>
          <cell r="L167" t="str">
            <v/>
          </cell>
        </row>
        <row r="168">
          <cell r="D168" t="str">
            <v/>
          </cell>
          <cell r="F168" t="str">
            <v/>
          </cell>
          <cell r="L168" t="str">
            <v/>
          </cell>
        </row>
        <row r="169">
          <cell r="D169" t="str">
            <v/>
          </cell>
          <cell r="F169" t="str">
            <v/>
          </cell>
          <cell r="L169" t="str">
            <v/>
          </cell>
        </row>
        <row r="170">
          <cell r="D170" t="str">
            <v/>
          </cell>
          <cell r="F170" t="str">
            <v/>
          </cell>
          <cell r="L170" t="str">
            <v/>
          </cell>
        </row>
        <row r="171">
          <cell r="D171" t="str">
            <v/>
          </cell>
          <cell r="F171" t="str">
            <v/>
          </cell>
          <cell r="L171" t="str">
            <v/>
          </cell>
        </row>
        <row r="172">
          <cell r="D172" t="str">
            <v/>
          </cell>
          <cell r="F172" t="str">
            <v/>
          </cell>
          <cell r="L172" t="str">
            <v/>
          </cell>
        </row>
        <row r="173">
          <cell r="D173" t="str">
            <v/>
          </cell>
          <cell r="F173" t="str">
            <v/>
          </cell>
          <cell r="L173" t="str">
            <v/>
          </cell>
        </row>
        <row r="174">
          <cell r="D174" t="str">
            <v/>
          </cell>
          <cell r="F174" t="str">
            <v/>
          </cell>
          <cell r="L174" t="str">
            <v/>
          </cell>
        </row>
        <row r="175">
          <cell r="D175" t="str">
            <v/>
          </cell>
          <cell r="F175" t="str">
            <v/>
          </cell>
          <cell r="L175" t="str">
            <v/>
          </cell>
        </row>
        <row r="176">
          <cell r="D176" t="str">
            <v/>
          </cell>
          <cell r="F176" t="str">
            <v/>
          </cell>
          <cell r="L176" t="str">
            <v/>
          </cell>
        </row>
        <row r="177">
          <cell r="D177" t="str">
            <v/>
          </cell>
          <cell r="F177" t="str">
            <v/>
          </cell>
          <cell r="L177" t="str">
            <v/>
          </cell>
        </row>
        <row r="178">
          <cell r="D178" t="str">
            <v/>
          </cell>
          <cell r="F178" t="str">
            <v/>
          </cell>
          <cell r="L178" t="str">
            <v/>
          </cell>
        </row>
        <row r="179">
          <cell r="D179" t="str">
            <v/>
          </cell>
          <cell r="F179" t="str">
            <v/>
          </cell>
          <cell r="L179" t="str">
            <v/>
          </cell>
        </row>
        <row r="180">
          <cell r="D180" t="str">
            <v/>
          </cell>
          <cell r="F180" t="str">
            <v/>
          </cell>
          <cell r="L180" t="str">
            <v/>
          </cell>
        </row>
        <row r="181">
          <cell r="D181" t="str">
            <v/>
          </cell>
          <cell r="F181" t="str">
            <v/>
          </cell>
          <cell r="L181" t="str">
            <v/>
          </cell>
        </row>
        <row r="182">
          <cell r="D182" t="str">
            <v/>
          </cell>
          <cell r="F182" t="str">
            <v/>
          </cell>
          <cell r="L182" t="str">
            <v/>
          </cell>
        </row>
        <row r="183">
          <cell r="D183" t="str">
            <v/>
          </cell>
          <cell r="F183" t="str">
            <v/>
          </cell>
          <cell r="L183" t="str">
            <v/>
          </cell>
        </row>
        <row r="184">
          <cell r="D184" t="str">
            <v/>
          </cell>
          <cell r="F184" t="str">
            <v/>
          </cell>
          <cell r="L184" t="str">
            <v/>
          </cell>
        </row>
        <row r="185">
          <cell r="D185" t="str">
            <v/>
          </cell>
          <cell r="F185" t="str">
            <v/>
          </cell>
          <cell r="L185" t="str">
            <v/>
          </cell>
        </row>
        <row r="186">
          <cell r="D186" t="str">
            <v/>
          </cell>
          <cell r="F186" t="str">
            <v/>
          </cell>
          <cell r="L186" t="str">
            <v/>
          </cell>
        </row>
        <row r="187">
          <cell r="D187" t="str">
            <v/>
          </cell>
          <cell r="F187" t="str">
            <v/>
          </cell>
          <cell r="L187" t="str">
            <v/>
          </cell>
        </row>
        <row r="188">
          <cell r="D188" t="str">
            <v/>
          </cell>
          <cell r="F188" t="str">
            <v/>
          </cell>
          <cell r="L188" t="str">
            <v/>
          </cell>
        </row>
        <row r="189">
          <cell r="D189" t="str">
            <v/>
          </cell>
          <cell r="F189" t="str">
            <v/>
          </cell>
          <cell r="L189" t="str">
            <v/>
          </cell>
        </row>
        <row r="190">
          <cell r="D190" t="str">
            <v/>
          </cell>
          <cell r="F190" t="str">
            <v/>
          </cell>
          <cell r="L190" t="str">
            <v/>
          </cell>
        </row>
        <row r="191">
          <cell r="D191" t="str">
            <v/>
          </cell>
          <cell r="F191" t="str">
            <v/>
          </cell>
          <cell r="L191" t="str">
            <v/>
          </cell>
        </row>
        <row r="192">
          <cell r="D192" t="str">
            <v/>
          </cell>
          <cell r="F192" t="str">
            <v/>
          </cell>
          <cell r="L192" t="str">
            <v/>
          </cell>
        </row>
        <row r="193">
          <cell r="D193" t="str">
            <v/>
          </cell>
          <cell r="F193" t="str">
            <v/>
          </cell>
          <cell r="L193" t="str">
            <v/>
          </cell>
        </row>
        <row r="194">
          <cell r="D194" t="str">
            <v/>
          </cell>
          <cell r="F194" t="str">
            <v/>
          </cell>
          <cell r="L194" t="str">
            <v/>
          </cell>
        </row>
        <row r="195">
          <cell r="D195" t="str">
            <v/>
          </cell>
          <cell r="F195" t="str">
            <v/>
          </cell>
          <cell r="L195" t="str">
            <v/>
          </cell>
        </row>
        <row r="196">
          <cell r="D196" t="str">
            <v/>
          </cell>
          <cell r="F196" t="str">
            <v/>
          </cell>
          <cell r="L196" t="str">
            <v/>
          </cell>
        </row>
        <row r="197">
          <cell r="D197" t="str">
            <v/>
          </cell>
          <cell r="F197" t="str">
            <v/>
          </cell>
          <cell r="L197" t="str">
            <v/>
          </cell>
        </row>
        <row r="198">
          <cell r="D198" t="str">
            <v/>
          </cell>
          <cell r="F198" t="str">
            <v/>
          </cell>
          <cell r="L198" t="str">
            <v/>
          </cell>
        </row>
        <row r="199">
          <cell r="D199" t="str">
            <v/>
          </cell>
          <cell r="F199" t="str">
            <v/>
          </cell>
          <cell r="L199" t="str">
            <v/>
          </cell>
        </row>
        <row r="200">
          <cell r="D200" t="str">
            <v/>
          </cell>
          <cell r="F200" t="str">
            <v/>
          </cell>
          <cell r="L200" t="str">
            <v/>
          </cell>
        </row>
        <row r="201">
          <cell r="D201" t="str">
            <v/>
          </cell>
          <cell r="F201" t="str">
            <v/>
          </cell>
          <cell r="L201" t="str">
            <v/>
          </cell>
        </row>
        <row r="202">
          <cell r="D202" t="str">
            <v/>
          </cell>
          <cell r="F202" t="str">
            <v/>
          </cell>
          <cell r="L202" t="str">
            <v/>
          </cell>
        </row>
        <row r="203">
          <cell r="D203" t="str">
            <v/>
          </cell>
          <cell r="F203" t="str">
            <v/>
          </cell>
          <cell r="L203" t="str">
            <v/>
          </cell>
        </row>
        <row r="204">
          <cell r="D204" t="str">
            <v/>
          </cell>
          <cell r="F204" t="str">
            <v/>
          </cell>
          <cell r="L204" t="str">
            <v/>
          </cell>
        </row>
        <row r="205">
          <cell r="D205" t="str">
            <v/>
          </cell>
          <cell r="F205" t="str">
            <v/>
          </cell>
          <cell r="L205" t="str">
            <v/>
          </cell>
        </row>
        <row r="206">
          <cell r="D206" t="str">
            <v/>
          </cell>
          <cell r="F206" t="str">
            <v/>
          </cell>
          <cell r="L206" t="str">
            <v/>
          </cell>
        </row>
        <row r="207">
          <cell r="D207" t="str">
            <v/>
          </cell>
          <cell r="F207" t="str">
            <v/>
          </cell>
          <cell r="L207" t="str">
            <v/>
          </cell>
        </row>
        <row r="208">
          <cell r="D208" t="str">
            <v/>
          </cell>
          <cell r="F208" t="str">
            <v/>
          </cell>
          <cell r="L208" t="str">
            <v/>
          </cell>
        </row>
        <row r="209">
          <cell r="D209" t="str">
            <v/>
          </cell>
          <cell r="F209" t="str">
            <v/>
          </cell>
          <cell r="L209" t="str">
            <v/>
          </cell>
        </row>
        <row r="210">
          <cell r="D210" t="str">
            <v/>
          </cell>
          <cell r="F210" t="str">
            <v/>
          </cell>
          <cell r="L210" t="str">
            <v/>
          </cell>
        </row>
        <row r="211">
          <cell r="D211" t="str">
            <v/>
          </cell>
          <cell r="F211" t="str">
            <v/>
          </cell>
          <cell r="L211" t="str">
            <v/>
          </cell>
        </row>
        <row r="212">
          <cell r="D212" t="str">
            <v/>
          </cell>
          <cell r="F212" t="str">
            <v/>
          </cell>
          <cell r="L212" t="str">
            <v/>
          </cell>
        </row>
        <row r="213">
          <cell r="D213" t="str">
            <v/>
          </cell>
          <cell r="F213" t="str">
            <v/>
          </cell>
          <cell r="L213" t="str">
            <v/>
          </cell>
        </row>
        <row r="214">
          <cell r="D214" t="str">
            <v/>
          </cell>
          <cell r="F214" t="str">
            <v/>
          </cell>
          <cell r="L214" t="str">
            <v/>
          </cell>
        </row>
        <row r="215">
          <cell r="D215" t="str">
            <v/>
          </cell>
          <cell r="F215" t="str">
            <v/>
          </cell>
          <cell r="L215" t="str">
            <v/>
          </cell>
        </row>
        <row r="216">
          <cell r="D216" t="str">
            <v/>
          </cell>
          <cell r="F216" t="str">
            <v/>
          </cell>
          <cell r="L216" t="str">
            <v/>
          </cell>
        </row>
        <row r="217">
          <cell r="D217" t="str">
            <v/>
          </cell>
          <cell r="F217" t="str">
            <v/>
          </cell>
          <cell r="L217" t="str">
            <v/>
          </cell>
        </row>
        <row r="218">
          <cell r="D218" t="str">
            <v/>
          </cell>
          <cell r="F218" t="str">
            <v/>
          </cell>
          <cell r="L218" t="str">
            <v/>
          </cell>
        </row>
        <row r="219">
          <cell r="D219" t="str">
            <v/>
          </cell>
          <cell r="F219" t="str">
            <v/>
          </cell>
          <cell r="L219" t="str">
            <v/>
          </cell>
        </row>
        <row r="220">
          <cell r="D220" t="str">
            <v/>
          </cell>
          <cell r="F220" t="str">
            <v/>
          </cell>
          <cell r="L220" t="str">
            <v/>
          </cell>
        </row>
        <row r="221">
          <cell r="D221" t="str">
            <v/>
          </cell>
          <cell r="F221" t="str">
            <v/>
          </cell>
          <cell r="L221" t="str">
            <v/>
          </cell>
        </row>
        <row r="222">
          <cell r="D222" t="str">
            <v/>
          </cell>
          <cell r="F222" t="str">
            <v/>
          </cell>
          <cell r="L222" t="str">
            <v/>
          </cell>
        </row>
        <row r="223">
          <cell r="D223" t="str">
            <v/>
          </cell>
          <cell r="F223" t="str">
            <v/>
          </cell>
          <cell r="L223" t="str">
            <v/>
          </cell>
        </row>
        <row r="224">
          <cell r="D224" t="str">
            <v/>
          </cell>
          <cell r="F224" t="str">
            <v/>
          </cell>
          <cell r="L224" t="str">
            <v/>
          </cell>
        </row>
        <row r="225">
          <cell r="D225" t="str">
            <v/>
          </cell>
          <cell r="F225" t="str">
            <v/>
          </cell>
          <cell r="L225" t="str">
            <v/>
          </cell>
        </row>
        <row r="226">
          <cell r="D226" t="str">
            <v/>
          </cell>
          <cell r="F226" t="str">
            <v/>
          </cell>
          <cell r="L226" t="str">
            <v/>
          </cell>
        </row>
        <row r="227">
          <cell r="D227" t="str">
            <v/>
          </cell>
          <cell r="F227" t="str">
            <v/>
          </cell>
          <cell r="L227" t="str">
            <v/>
          </cell>
        </row>
        <row r="228">
          <cell r="D228" t="str">
            <v/>
          </cell>
          <cell r="F228" t="str">
            <v/>
          </cell>
          <cell r="L228" t="str">
            <v/>
          </cell>
        </row>
        <row r="229">
          <cell r="D229" t="str">
            <v/>
          </cell>
          <cell r="F229" t="str">
            <v/>
          </cell>
          <cell r="L229" t="str">
            <v/>
          </cell>
        </row>
        <row r="230">
          <cell r="D230" t="str">
            <v/>
          </cell>
          <cell r="F230" t="str">
            <v/>
          </cell>
          <cell r="L230" t="str">
            <v/>
          </cell>
        </row>
        <row r="231">
          <cell r="D231" t="str">
            <v/>
          </cell>
          <cell r="F231" t="str">
            <v/>
          </cell>
          <cell r="L231" t="str">
            <v/>
          </cell>
        </row>
        <row r="232">
          <cell r="D232" t="str">
            <v/>
          </cell>
          <cell r="F232" t="str">
            <v/>
          </cell>
          <cell r="L232" t="str">
            <v/>
          </cell>
        </row>
        <row r="233">
          <cell r="D233" t="str">
            <v/>
          </cell>
          <cell r="F233" t="str">
            <v/>
          </cell>
          <cell r="L233" t="str">
            <v/>
          </cell>
        </row>
        <row r="234">
          <cell r="D234" t="str">
            <v/>
          </cell>
          <cell r="F234" t="str">
            <v/>
          </cell>
          <cell r="L234" t="str">
            <v/>
          </cell>
        </row>
        <row r="235">
          <cell r="D235" t="str">
            <v/>
          </cell>
          <cell r="F235" t="str">
            <v/>
          </cell>
          <cell r="L235" t="str">
            <v/>
          </cell>
        </row>
        <row r="236">
          <cell r="D236" t="str">
            <v/>
          </cell>
          <cell r="F236" t="str">
            <v/>
          </cell>
          <cell r="L236" t="str">
            <v/>
          </cell>
        </row>
        <row r="237">
          <cell r="D237" t="str">
            <v/>
          </cell>
          <cell r="F237" t="str">
            <v/>
          </cell>
          <cell r="L237" t="str">
            <v/>
          </cell>
        </row>
        <row r="238">
          <cell r="D238" t="str">
            <v/>
          </cell>
          <cell r="F238" t="str">
            <v/>
          </cell>
          <cell r="L238" t="str">
            <v/>
          </cell>
        </row>
        <row r="239">
          <cell r="D239" t="str">
            <v/>
          </cell>
          <cell r="F239" t="str">
            <v/>
          </cell>
          <cell r="L239" t="str">
            <v/>
          </cell>
        </row>
        <row r="240">
          <cell r="D240" t="str">
            <v/>
          </cell>
          <cell r="F240" t="str">
            <v/>
          </cell>
          <cell r="L240" t="str">
            <v/>
          </cell>
        </row>
        <row r="241">
          <cell r="D241" t="str">
            <v/>
          </cell>
          <cell r="F241" t="str">
            <v/>
          </cell>
          <cell r="L241" t="str">
            <v/>
          </cell>
        </row>
        <row r="242">
          <cell r="D242" t="str">
            <v/>
          </cell>
          <cell r="F242" t="str">
            <v/>
          </cell>
          <cell r="L242" t="str">
            <v/>
          </cell>
        </row>
        <row r="243">
          <cell r="D243" t="str">
            <v/>
          </cell>
          <cell r="F243" t="str">
            <v/>
          </cell>
          <cell r="L243" t="str">
            <v/>
          </cell>
        </row>
        <row r="244">
          <cell r="D244" t="str">
            <v/>
          </cell>
          <cell r="F244" t="str">
            <v/>
          </cell>
          <cell r="L244" t="str">
            <v/>
          </cell>
        </row>
        <row r="245">
          <cell r="D245" t="str">
            <v/>
          </cell>
          <cell r="F245" t="str">
            <v/>
          </cell>
          <cell r="L245" t="str">
            <v/>
          </cell>
        </row>
        <row r="246">
          <cell r="D246" t="str">
            <v/>
          </cell>
          <cell r="F246" t="str">
            <v/>
          </cell>
          <cell r="L246" t="str">
            <v/>
          </cell>
        </row>
        <row r="247">
          <cell r="D247" t="str">
            <v/>
          </cell>
          <cell r="F247" t="str">
            <v/>
          </cell>
          <cell r="L247" t="str">
            <v/>
          </cell>
        </row>
        <row r="248">
          <cell r="D248" t="str">
            <v/>
          </cell>
          <cell r="F248" t="str">
            <v/>
          </cell>
          <cell r="L248" t="str">
            <v/>
          </cell>
        </row>
        <row r="249">
          <cell r="D249" t="str">
            <v/>
          </cell>
          <cell r="F249" t="str">
            <v/>
          </cell>
          <cell r="L249" t="str">
            <v/>
          </cell>
        </row>
        <row r="250">
          <cell r="D250" t="str">
            <v/>
          </cell>
          <cell r="F250" t="str">
            <v/>
          </cell>
          <cell r="L250" t="str">
            <v/>
          </cell>
        </row>
        <row r="251">
          <cell r="D251" t="str">
            <v/>
          </cell>
          <cell r="F251" t="str">
            <v/>
          </cell>
          <cell r="L251" t="str">
            <v/>
          </cell>
        </row>
        <row r="252">
          <cell r="D252" t="str">
            <v/>
          </cell>
          <cell r="F252" t="str">
            <v/>
          </cell>
          <cell r="L252" t="str">
            <v/>
          </cell>
        </row>
        <row r="253">
          <cell r="D253" t="str">
            <v/>
          </cell>
          <cell r="F253" t="str">
            <v/>
          </cell>
          <cell r="L253" t="str">
            <v/>
          </cell>
        </row>
        <row r="254">
          <cell r="D254" t="str">
            <v/>
          </cell>
          <cell r="F254" t="str">
            <v/>
          </cell>
          <cell r="L254" t="str">
            <v/>
          </cell>
        </row>
        <row r="255">
          <cell r="D255" t="str">
            <v/>
          </cell>
          <cell r="F255" t="str">
            <v/>
          </cell>
          <cell r="L255" t="str">
            <v/>
          </cell>
        </row>
        <row r="256">
          <cell r="D256" t="str">
            <v/>
          </cell>
          <cell r="F256" t="str">
            <v/>
          </cell>
          <cell r="L256" t="str">
            <v/>
          </cell>
        </row>
        <row r="257">
          <cell r="D257" t="str">
            <v/>
          </cell>
          <cell r="F257" t="str">
            <v/>
          </cell>
          <cell r="L257" t="str">
            <v/>
          </cell>
        </row>
        <row r="258">
          <cell r="D258" t="str">
            <v/>
          </cell>
          <cell r="F258" t="str">
            <v/>
          </cell>
          <cell r="L258" t="str">
            <v/>
          </cell>
        </row>
        <row r="259">
          <cell r="D259" t="str">
            <v/>
          </cell>
          <cell r="F259" t="str">
            <v/>
          </cell>
          <cell r="L259" t="str">
            <v/>
          </cell>
        </row>
        <row r="260">
          <cell r="D260" t="str">
            <v/>
          </cell>
          <cell r="F260" t="str">
            <v/>
          </cell>
          <cell r="L260" t="str">
            <v/>
          </cell>
        </row>
        <row r="261">
          <cell r="D261" t="str">
            <v/>
          </cell>
          <cell r="F261" t="str">
            <v/>
          </cell>
          <cell r="L261" t="str">
            <v/>
          </cell>
        </row>
        <row r="262">
          <cell r="D262" t="str">
            <v/>
          </cell>
          <cell r="F262" t="str">
            <v/>
          </cell>
          <cell r="L262" t="str">
            <v/>
          </cell>
        </row>
        <row r="263">
          <cell r="D263" t="str">
            <v/>
          </cell>
          <cell r="F263" t="str">
            <v/>
          </cell>
          <cell r="L263" t="str">
            <v/>
          </cell>
        </row>
        <row r="264">
          <cell r="D264" t="str">
            <v/>
          </cell>
          <cell r="F264" t="str">
            <v/>
          </cell>
          <cell r="L264" t="str">
            <v/>
          </cell>
        </row>
        <row r="265">
          <cell r="D265" t="str">
            <v/>
          </cell>
          <cell r="F265" t="str">
            <v/>
          </cell>
          <cell r="L265" t="str">
            <v/>
          </cell>
        </row>
        <row r="266">
          <cell r="D266" t="str">
            <v/>
          </cell>
          <cell r="F266" t="str">
            <v/>
          </cell>
          <cell r="L266" t="str">
            <v/>
          </cell>
        </row>
        <row r="267">
          <cell r="D267" t="str">
            <v/>
          </cell>
          <cell r="F267" t="str">
            <v/>
          </cell>
          <cell r="L267" t="str">
            <v/>
          </cell>
        </row>
        <row r="268">
          <cell r="D268" t="str">
            <v/>
          </cell>
          <cell r="F268" t="str">
            <v/>
          </cell>
          <cell r="L268" t="str">
            <v/>
          </cell>
        </row>
        <row r="269">
          <cell r="D269" t="str">
            <v/>
          </cell>
          <cell r="F269" t="str">
            <v/>
          </cell>
          <cell r="L269" t="str">
            <v/>
          </cell>
        </row>
        <row r="270">
          <cell r="D270" t="str">
            <v/>
          </cell>
          <cell r="F270" t="str">
            <v/>
          </cell>
          <cell r="L270" t="str">
            <v/>
          </cell>
        </row>
        <row r="271">
          <cell r="D271" t="str">
            <v/>
          </cell>
          <cell r="F271" t="str">
            <v/>
          </cell>
          <cell r="L271" t="str">
            <v/>
          </cell>
        </row>
        <row r="272">
          <cell r="D272" t="str">
            <v/>
          </cell>
          <cell r="F272" t="str">
            <v/>
          </cell>
          <cell r="L272" t="str">
            <v/>
          </cell>
        </row>
        <row r="273">
          <cell r="D273" t="str">
            <v/>
          </cell>
          <cell r="F273" t="str">
            <v/>
          </cell>
          <cell r="L273" t="str">
            <v/>
          </cell>
        </row>
        <row r="274">
          <cell r="D274" t="str">
            <v/>
          </cell>
          <cell r="F274" t="str">
            <v/>
          </cell>
          <cell r="L274" t="str">
            <v/>
          </cell>
        </row>
        <row r="275">
          <cell r="D275" t="str">
            <v/>
          </cell>
          <cell r="F275" t="str">
            <v/>
          </cell>
          <cell r="L275" t="str">
            <v/>
          </cell>
        </row>
        <row r="276">
          <cell r="D276" t="str">
            <v/>
          </cell>
          <cell r="F276" t="str">
            <v/>
          </cell>
          <cell r="L276" t="str">
            <v/>
          </cell>
        </row>
        <row r="277">
          <cell r="D277" t="str">
            <v/>
          </cell>
          <cell r="F277" t="str">
            <v/>
          </cell>
          <cell r="L277" t="str">
            <v/>
          </cell>
        </row>
        <row r="278">
          <cell r="D278" t="str">
            <v/>
          </cell>
          <cell r="F278" t="str">
            <v/>
          </cell>
          <cell r="L278" t="str">
            <v/>
          </cell>
        </row>
        <row r="279">
          <cell r="D279" t="str">
            <v/>
          </cell>
          <cell r="F279" t="str">
            <v/>
          </cell>
          <cell r="L279" t="str">
            <v/>
          </cell>
        </row>
        <row r="280">
          <cell r="D280" t="str">
            <v/>
          </cell>
          <cell r="F280" t="str">
            <v/>
          </cell>
          <cell r="L280" t="str">
            <v/>
          </cell>
        </row>
        <row r="281">
          <cell r="D281" t="str">
            <v/>
          </cell>
          <cell r="F281" t="str">
            <v/>
          </cell>
          <cell r="L281" t="str">
            <v/>
          </cell>
        </row>
        <row r="282">
          <cell r="D282" t="str">
            <v/>
          </cell>
          <cell r="F282" t="str">
            <v/>
          </cell>
          <cell r="L282" t="str">
            <v/>
          </cell>
        </row>
        <row r="283">
          <cell r="D283" t="str">
            <v/>
          </cell>
          <cell r="F283" t="str">
            <v/>
          </cell>
          <cell r="L283" t="str">
            <v/>
          </cell>
        </row>
        <row r="284">
          <cell r="D284" t="str">
            <v/>
          </cell>
          <cell r="F284" t="str">
            <v/>
          </cell>
          <cell r="L284" t="str">
            <v/>
          </cell>
        </row>
        <row r="285">
          <cell r="D285" t="str">
            <v/>
          </cell>
          <cell r="F285" t="str">
            <v/>
          </cell>
          <cell r="L285" t="str">
            <v/>
          </cell>
        </row>
        <row r="286">
          <cell r="D286" t="str">
            <v/>
          </cell>
          <cell r="F286" t="str">
            <v/>
          </cell>
          <cell r="L286" t="str">
            <v/>
          </cell>
        </row>
        <row r="287">
          <cell r="D287" t="str">
            <v/>
          </cell>
          <cell r="F287" t="str">
            <v/>
          </cell>
          <cell r="L287" t="str">
            <v/>
          </cell>
        </row>
        <row r="288">
          <cell r="D288" t="str">
            <v/>
          </cell>
          <cell r="F288" t="str">
            <v/>
          </cell>
          <cell r="L288" t="str">
            <v/>
          </cell>
        </row>
        <row r="289">
          <cell r="D289" t="str">
            <v/>
          </cell>
          <cell r="F289" t="str">
            <v/>
          </cell>
          <cell r="L289" t="str">
            <v/>
          </cell>
        </row>
        <row r="290">
          <cell r="D290" t="str">
            <v/>
          </cell>
          <cell r="F290" t="str">
            <v/>
          </cell>
          <cell r="L290" t="str">
            <v/>
          </cell>
        </row>
        <row r="291">
          <cell r="D291" t="str">
            <v/>
          </cell>
          <cell r="F291" t="str">
            <v/>
          </cell>
          <cell r="L291" t="str">
            <v/>
          </cell>
        </row>
        <row r="292">
          <cell r="D292" t="str">
            <v/>
          </cell>
          <cell r="F292" t="str">
            <v/>
          </cell>
          <cell r="L292" t="str">
            <v/>
          </cell>
        </row>
        <row r="293">
          <cell r="D293" t="str">
            <v/>
          </cell>
          <cell r="F293" t="str">
            <v/>
          </cell>
          <cell r="L293" t="str">
            <v/>
          </cell>
        </row>
        <row r="294">
          <cell r="D294" t="str">
            <v/>
          </cell>
          <cell r="F294" t="str">
            <v/>
          </cell>
          <cell r="L294" t="str">
            <v/>
          </cell>
        </row>
        <row r="295">
          <cell r="D295" t="str">
            <v/>
          </cell>
          <cell r="F295" t="str">
            <v/>
          </cell>
          <cell r="L295" t="str">
            <v/>
          </cell>
        </row>
        <row r="296">
          <cell r="D296" t="str">
            <v/>
          </cell>
          <cell r="F296" t="str">
            <v/>
          </cell>
          <cell r="L296" t="str">
            <v/>
          </cell>
        </row>
        <row r="297">
          <cell r="D297" t="str">
            <v/>
          </cell>
          <cell r="F297" t="str">
            <v/>
          </cell>
          <cell r="L297" t="str">
            <v/>
          </cell>
        </row>
        <row r="298">
          <cell r="D298" t="str">
            <v/>
          </cell>
          <cell r="F298" t="str">
            <v/>
          </cell>
          <cell r="L298" t="str">
            <v/>
          </cell>
        </row>
        <row r="299">
          <cell r="D299" t="str">
            <v/>
          </cell>
          <cell r="F299" t="str">
            <v/>
          </cell>
          <cell r="L299" t="str">
            <v/>
          </cell>
        </row>
        <row r="300">
          <cell r="D300" t="str">
            <v/>
          </cell>
          <cell r="F300" t="str">
            <v/>
          </cell>
          <cell r="L300" t="str">
            <v/>
          </cell>
        </row>
        <row r="301">
          <cell r="D301" t="str">
            <v/>
          </cell>
          <cell r="F301" t="str">
            <v/>
          </cell>
          <cell r="L301" t="str">
            <v/>
          </cell>
        </row>
        <row r="302">
          <cell r="D302" t="str">
            <v/>
          </cell>
          <cell r="F302" t="str">
            <v/>
          </cell>
          <cell r="L302" t="str">
            <v/>
          </cell>
        </row>
        <row r="303">
          <cell r="D303" t="str">
            <v/>
          </cell>
          <cell r="F303" t="str">
            <v/>
          </cell>
          <cell r="L303" t="str">
            <v/>
          </cell>
        </row>
        <row r="304">
          <cell r="D304" t="str">
            <v/>
          </cell>
          <cell r="F304" t="str">
            <v/>
          </cell>
          <cell r="L304" t="str">
            <v/>
          </cell>
        </row>
        <row r="305">
          <cell r="D305" t="str">
            <v/>
          </cell>
          <cell r="F305" t="str">
            <v/>
          </cell>
          <cell r="L305" t="str">
            <v/>
          </cell>
        </row>
        <row r="306">
          <cell r="D306" t="str">
            <v/>
          </cell>
          <cell r="F306" t="str">
            <v/>
          </cell>
          <cell r="L306" t="str">
            <v/>
          </cell>
        </row>
        <row r="307">
          <cell r="D307" t="str">
            <v/>
          </cell>
          <cell r="F307" t="str">
            <v/>
          </cell>
          <cell r="L307" t="str">
            <v/>
          </cell>
        </row>
        <row r="308">
          <cell r="D308" t="str">
            <v/>
          </cell>
          <cell r="F308" t="str">
            <v/>
          </cell>
          <cell r="L308" t="str">
            <v/>
          </cell>
        </row>
        <row r="309">
          <cell r="D309" t="str">
            <v/>
          </cell>
          <cell r="F309" t="str">
            <v/>
          </cell>
          <cell r="L309" t="str">
            <v/>
          </cell>
        </row>
        <row r="310">
          <cell r="D310" t="str">
            <v/>
          </cell>
          <cell r="F310" t="str">
            <v/>
          </cell>
          <cell r="L310" t="str">
            <v/>
          </cell>
        </row>
        <row r="311">
          <cell r="D311" t="str">
            <v/>
          </cell>
          <cell r="F311" t="str">
            <v/>
          </cell>
          <cell r="L311" t="str">
            <v/>
          </cell>
        </row>
        <row r="312">
          <cell r="D312" t="str">
            <v/>
          </cell>
          <cell r="F312" t="str">
            <v/>
          </cell>
          <cell r="L312" t="str">
            <v/>
          </cell>
        </row>
        <row r="313">
          <cell r="D313" t="str">
            <v/>
          </cell>
          <cell r="F313" t="str">
            <v/>
          </cell>
          <cell r="L313" t="str">
            <v/>
          </cell>
        </row>
        <row r="314">
          <cell r="D314" t="str">
            <v/>
          </cell>
          <cell r="F314" t="str">
            <v/>
          </cell>
          <cell r="L314" t="str">
            <v/>
          </cell>
        </row>
        <row r="315">
          <cell r="D315" t="str">
            <v/>
          </cell>
          <cell r="F315" t="str">
            <v/>
          </cell>
          <cell r="L315" t="str">
            <v/>
          </cell>
        </row>
        <row r="316">
          <cell r="D316" t="str">
            <v/>
          </cell>
          <cell r="F316" t="str">
            <v/>
          </cell>
          <cell r="L316" t="str">
            <v/>
          </cell>
        </row>
        <row r="317">
          <cell r="D317" t="str">
            <v/>
          </cell>
          <cell r="F317" t="str">
            <v/>
          </cell>
          <cell r="L317" t="str">
            <v/>
          </cell>
        </row>
        <row r="318">
          <cell r="D318" t="str">
            <v/>
          </cell>
          <cell r="F318" t="str">
            <v/>
          </cell>
          <cell r="L318" t="str">
            <v/>
          </cell>
        </row>
        <row r="319">
          <cell r="D319" t="str">
            <v/>
          </cell>
          <cell r="F319" t="str">
            <v/>
          </cell>
          <cell r="L319" t="str">
            <v/>
          </cell>
        </row>
        <row r="320">
          <cell r="D320" t="str">
            <v/>
          </cell>
          <cell r="F320" t="str">
            <v/>
          </cell>
          <cell r="L320" t="str">
            <v/>
          </cell>
        </row>
        <row r="321">
          <cell r="D321" t="str">
            <v/>
          </cell>
          <cell r="F321" t="str">
            <v/>
          </cell>
          <cell r="L321" t="str">
            <v/>
          </cell>
        </row>
        <row r="322">
          <cell r="D322" t="str">
            <v/>
          </cell>
          <cell r="F322" t="str">
            <v/>
          </cell>
          <cell r="L322" t="str">
            <v/>
          </cell>
        </row>
        <row r="323">
          <cell r="D323" t="str">
            <v/>
          </cell>
          <cell r="F323" t="str">
            <v/>
          </cell>
          <cell r="L323" t="str">
            <v/>
          </cell>
        </row>
        <row r="324">
          <cell r="D324" t="str">
            <v/>
          </cell>
          <cell r="F324" t="str">
            <v/>
          </cell>
          <cell r="L324" t="str">
            <v/>
          </cell>
        </row>
        <row r="325">
          <cell r="D325" t="str">
            <v/>
          </cell>
          <cell r="F325" t="str">
            <v/>
          </cell>
          <cell r="L325" t="str">
            <v/>
          </cell>
        </row>
        <row r="326">
          <cell r="D326" t="str">
            <v/>
          </cell>
          <cell r="F326" t="str">
            <v/>
          </cell>
          <cell r="L326" t="str">
            <v/>
          </cell>
        </row>
        <row r="327">
          <cell r="D327" t="str">
            <v/>
          </cell>
          <cell r="F327" t="str">
            <v/>
          </cell>
          <cell r="L327" t="str">
            <v/>
          </cell>
        </row>
        <row r="328">
          <cell r="D328" t="str">
            <v/>
          </cell>
          <cell r="F328" t="str">
            <v/>
          </cell>
          <cell r="L328" t="str">
            <v/>
          </cell>
        </row>
        <row r="329">
          <cell r="D329" t="str">
            <v/>
          </cell>
          <cell r="F329" t="str">
            <v/>
          </cell>
          <cell r="L329" t="str">
            <v/>
          </cell>
        </row>
        <row r="330">
          <cell r="D330" t="str">
            <v/>
          </cell>
          <cell r="F330" t="str">
            <v/>
          </cell>
          <cell r="L330" t="str">
            <v/>
          </cell>
        </row>
        <row r="331">
          <cell r="D331" t="str">
            <v/>
          </cell>
          <cell r="F331" t="str">
            <v/>
          </cell>
          <cell r="L331" t="str">
            <v/>
          </cell>
        </row>
        <row r="332">
          <cell r="D332" t="str">
            <v/>
          </cell>
          <cell r="F332" t="str">
            <v/>
          </cell>
          <cell r="L332" t="str">
            <v/>
          </cell>
        </row>
        <row r="333">
          <cell r="D333" t="str">
            <v/>
          </cell>
          <cell r="F333" t="str">
            <v/>
          </cell>
          <cell r="L333" t="str">
            <v/>
          </cell>
        </row>
        <row r="334">
          <cell r="D334" t="str">
            <v/>
          </cell>
          <cell r="F334" t="str">
            <v/>
          </cell>
          <cell r="L334" t="str">
            <v/>
          </cell>
        </row>
        <row r="335">
          <cell r="D335" t="str">
            <v/>
          </cell>
          <cell r="F335" t="str">
            <v/>
          </cell>
          <cell r="L335" t="str">
            <v/>
          </cell>
        </row>
        <row r="336">
          <cell r="D336" t="str">
            <v/>
          </cell>
          <cell r="F336" t="str">
            <v/>
          </cell>
          <cell r="L336" t="str">
            <v/>
          </cell>
        </row>
        <row r="337">
          <cell r="D337" t="str">
            <v/>
          </cell>
          <cell r="F337" t="str">
            <v/>
          </cell>
          <cell r="L337" t="str">
            <v/>
          </cell>
        </row>
        <row r="338">
          <cell r="D338" t="str">
            <v/>
          </cell>
          <cell r="F338" t="str">
            <v/>
          </cell>
          <cell r="L338" t="str">
            <v/>
          </cell>
        </row>
        <row r="339">
          <cell r="D339" t="str">
            <v/>
          </cell>
          <cell r="F339" t="str">
            <v/>
          </cell>
          <cell r="L339" t="str">
            <v/>
          </cell>
        </row>
        <row r="340">
          <cell r="D340" t="str">
            <v/>
          </cell>
          <cell r="F340" t="str">
            <v/>
          </cell>
          <cell r="L340" t="str">
            <v/>
          </cell>
        </row>
        <row r="341">
          <cell r="D341" t="str">
            <v/>
          </cell>
          <cell r="F341" t="str">
            <v/>
          </cell>
          <cell r="L341" t="str">
            <v/>
          </cell>
        </row>
        <row r="342">
          <cell r="D342" t="str">
            <v/>
          </cell>
          <cell r="F342" t="str">
            <v/>
          </cell>
          <cell r="L342" t="str">
            <v/>
          </cell>
        </row>
        <row r="343">
          <cell r="D343" t="str">
            <v/>
          </cell>
          <cell r="F343" t="str">
            <v/>
          </cell>
          <cell r="L343" t="str">
            <v/>
          </cell>
        </row>
        <row r="344">
          <cell r="D344" t="str">
            <v/>
          </cell>
          <cell r="F344" t="str">
            <v/>
          </cell>
          <cell r="L344" t="str">
            <v/>
          </cell>
        </row>
        <row r="345">
          <cell r="D345" t="str">
            <v/>
          </cell>
          <cell r="F345" t="str">
            <v/>
          </cell>
          <cell r="L345" t="str">
            <v/>
          </cell>
        </row>
        <row r="346">
          <cell r="D346" t="str">
            <v/>
          </cell>
          <cell r="F346" t="str">
            <v/>
          </cell>
          <cell r="L346" t="str">
            <v/>
          </cell>
        </row>
        <row r="347">
          <cell r="D347" t="str">
            <v/>
          </cell>
          <cell r="F347" t="str">
            <v/>
          </cell>
          <cell r="L347" t="str">
            <v/>
          </cell>
        </row>
        <row r="348">
          <cell r="D348" t="str">
            <v/>
          </cell>
          <cell r="F348" t="str">
            <v/>
          </cell>
          <cell r="L348" t="str">
            <v/>
          </cell>
        </row>
        <row r="349">
          <cell r="D349" t="str">
            <v/>
          </cell>
          <cell r="F349" t="str">
            <v/>
          </cell>
          <cell r="L349" t="str">
            <v/>
          </cell>
        </row>
        <row r="350">
          <cell r="D350" t="str">
            <v/>
          </cell>
          <cell r="F350" t="str">
            <v/>
          </cell>
          <cell r="L350" t="str">
            <v/>
          </cell>
        </row>
        <row r="351">
          <cell r="D351" t="str">
            <v/>
          </cell>
          <cell r="F351" t="str">
            <v/>
          </cell>
          <cell r="L351" t="str">
            <v/>
          </cell>
        </row>
        <row r="352">
          <cell r="D352" t="str">
            <v/>
          </cell>
          <cell r="F352" t="str">
            <v/>
          </cell>
          <cell r="L352" t="str">
            <v/>
          </cell>
        </row>
        <row r="353">
          <cell r="D353" t="str">
            <v/>
          </cell>
          <cell r="F353" t="str">
            <v/>
          </cell>
          <cell r="L353" t="str">
            <v/>
          </cell>
        </row>
        <row r="354">
          <cell r="D354" t="str">
            <v/>
          </cell>
          <cell r="F354" t="str">
            <v/>
          </cell>
          <cell r="L354" t="str">
            <v/>
          </cell>
        </row>
        <row r="355">
          <cell r="D355" t="str">
            <v/>
          </cell>
          <cell r="F355" t="str">
            <v/>
          </cell>
          <cell r="L355" t="str">
            <v/>
          </cell>
        </row>
        <row r="356">
          <cell r="D356" t="str">
            <v/>
          </cell>
          <cell r="F356" t="str">
            <v/>
          </cell>
          <cell r="L356" t="str">
            <v/>
          </cell>
        </row>
        <row r="357">
          <cell r="D357" t="str">
            <v/>
          </cell>
          <cell r="F357" t="str">
            <v/>
          </cell>
          <cell r="L357" t="str">
            <v/>
          </cell>
        </row>
        <row r="358">
          <cell r="D358" t="str">
            <v/>
          </cell>
          <cell r="F358" t="str">
            <v/>
          </cell>
          <cell r="L358" t="str">
            <v/>
          </cell>
        </row>
        <row r="359">
          <cell r="D359" t="str">
            <v/>
          </cell>
          <cell r="F359" t="str">
            <v/>
          </cell>
          <cell r="L359" t="str">
            <v/>
          </cell>
        </row>
        <row r="360">
          <cell r="D360" t="str">
            <v/>
          </cell>
          <cell r="F360" t="str">
            <v/>
          </cell>
          <cell r="L360" t="str">
            <v/>
          </cell>
        </row>
        <row r="361">
          <cell r="D361" t="str">
            <v/>
          </cell>
          <cell r="F361" t="str">
            <v/>
          </cell>
          <cell r="L361" t="str">
            <v/>
          </cell>
        </row>
        <row r="362">
          <cell r="D362" t="str">
            <v/>
          </cell>
          <cell r="F362" t="str">
            <v/>
          </cell>
          <cell r="L362" t="str">
            <v/>
          </cell>
        </row>
        <row r="363">
          <cell r="D363" t="str">
            <v/>
          </cell>
          <cell r="F363" t="str">
            <v/>
          </cell>
          <cell r="L363" t="str">
            <v/>
          </cell>
        </row>
        <row r="364">
          <cell r="D364" t="str">
            <v/>
          </cell>
          <cell r="F364" t="str">
            <v/>
          </cell>
          <cell r="L364" t="str">
            <v/>
          </cell>
        </row>
        <row r="365">
          <cell r="D365" t="str">
            <v/>
          </cell>
          <cell r="F365" t="str">
            <v/>
          </cell>
          <cell r="L365" t="str">
            <v/>
          </cell>
        </row>
        <row r="366">
          <cell r="D366" t="str">
            <v/>
          </cell>
          <cell r="F366" t="str">
            <v/>
          </cell>
          <cell r="L366" t="str">
            <v/>
          </cell>
        </row>
        <row r="367">
          <cell r="D367" t="str">
            <v/>
          </cell>
          <cell r="F367" t="str">
            <v/>
          </cell>
          <cell r="L367" t="str">
            <v/>
          </cell>
        </row>
        <row r="368">
          <cell r="D368" t="str">
            <v/>
          </cell>
          <cell r="F368" t="str">
            <v/>
          </cell>
          <cell r="L368" t="str">
            <v/>
          </cell>
        </row>
        <row r="369">
          <cell r="D369" t="str">
            <v/>
          </cell>
          <cell r="F369" t="str">
            <v/>
          </cell>
          <cell r="L369" t="str">
            <v/>
          </cell>
        </row>
        <row r="370">
          <cell r="D370" t="str">
            <v/>
          </cell>
          <cell r="F370" t="str">
            <v/>
          </cell>
          <cell r="L370" t="str">
            <v/>
          </cell>
        </row>
        <row r="371">
          <cell r="D371" t="str">
            <v/>
          </cell>
          <cell r="F371" t="str">
            <v/>
          </cell>
          <cell r="L371" t="str">
            <v/>
          </cell>
        </row>
        <row r="372">
          <cell r="D372" t="str">
            <v/>
          </cell>
          <cell r="F372" t="str">
            <v/>
          </cell>
          <cell r="L372" t="str">
            <v/>
          </cell>
        </row>
        <row r="373">
          <cell r="D373" t="str">
            <v/>
          </cell>
          <cell r="F373" t="str">
            <v/>
          </cell>
          <cell r="L373" t="str">
            <v/>
          </cell>
        </row>
        <row r="374">
          <cell r="D374" t="str">
            <v/>
          </cell>
          <cell r="F374" t="str">
            <v/>
          </cell>
          <cell r="L374" t="str">
            <v/>
          </cell>
        </row>
        <row r="375">
          <cell r="D375" t="str">
            <v/>
          </cell>
          <cell r="F375" t="str">
            <v/>
          </cell>
          <cell r="L375" t="str">
            <v/>
          </cell>
        </row>
        <row r="376">
          <cell r="D376" t="str">
            <v/>
          </cell>
          <cell r="F376" t="str">
            <v/>
          </cell>
          <cell r="L376" t="str">
            <v/>
          </cell>
        </row>
        <row r="377">
          <cell r="D377" t="str">
            <v/>
          </cell>
          <cell r="F377" t="str">
            <v/>
          </cell>
          <cell r="L377" t="str">
            <v/>
          </cell>
        </row>
        <row r="378">
          <cell r="D378" t="str">
            <v/>
          </cell>
          <cell r="F378" t="str">
            <v/>
          </cell>
          <cell r="L378" t="str">
            <v/>
          </cell>
        </row>
        <row r="379">
          <cell r="D379" t="str">
            <v/>
          </cell>
          <cell r="F379" t="str">
            <v/>
          </cell>
          <cell r="L379" t="str">
            <v/>
          </cell>
        </row>
        <row r="380">
          <cell r="D380" t="str">
            <v/>
          </cell>
          <cell r="F380" t="str">
            <v/>
          </cell>
          <cell r="L380" t="str">
            <v/>
          </cell>
        </row>
        <row r="381">
          <cell r="D381" t="str">
            <v/>
          </cell>
          <cell r="F381" t="str">
            <v/>
          </cell>
          <cell r="L381" t="str">
            <v/>
          </cell>
        </row>
        <row r="382">
          <cell r="D382" t="str">
            <v/>
          </cell>
          <cell r="F382" t="str">
            <v/>
          </cell>
          <cell r="L382" t="str">
            <v/>
          </cell>
        </row>
        <row r="383">
          <cell r="D383" t="str">
            <v/>
          </cell>
          <cell r="F383" t="str">
            <v/>
          </cell>
          <cell r="L383" t="str">
            <v/>
          </cell>
        </row>
        <row r="384">
          <cell r="D384" t="str">
            <v/>
          </cell>
          <cell r="F384" t="str">
            <v/>
          </cell>
          <cell r="L384" t="str">
            <v/>
          </cell>
        </row>
        <row r="385">
          <cell r="D385" t="str">
            <v/>
          </cell>
          <cell r="F385" t="str">
            <v/>
          </cell>
          <cell r="L385" t="str">
            <v/>
          </cell>
        </row>
        <row r="386">
          <cell r="D386" t="str">
            <v/>
          </cell>
          <cell r="F386" t="str">
            <v/>
          </cell>
          <cell r="L386" t="str">
            <v/>
          </cell>
        </row>
        <row r="387">
          <cell r="D387" t="str">
            <v/>
          </cell>
          <cell r="F387" t="str">
            <v/>
          </cell>
          <cell r="L387" t="str">
            <v/>
          </cell>
        </row>
        <row r="388">
          <cell r="D388" t="str">
            <v/>
          </cell>
          <cell r="F388" t="str">
            <v/>
          </cell>
          <cell r="L388" t="str">
            <v/>
          </cell>
        </row>
        <row r="389">
          <cell r="D389" t="str">
            <v/>
          </cell>
          <cell r="F389" t="str">
            <v/>
          </cell>
          <cell r="L389" t="str">
            <v/>
          </cell>
        </row>
        <row r="390">
          <cell r="D390" t="str">
            <v/>
          </cell>
          <cell r="F390" t="str">
            <v/>
          </cell>
          <cell r="L390" t="str">
            <v/>
          </cell>
        </row>
        <row r="391">
          <cell r="D391" t="str">
            <v/>
          </cell>
          <cell r="F391" t="str">
            <v/>
          </cell>
          <cell r="L391" t="str">
            <v/>
          </cell>
        </row>
        <row r="392">
          <cell r="D392" t="str">
            <v/>
          </cell>
          <cell r="F392" t="str">
            <v/>
          </cell>
          <cell r="L392" t="str">
            <v/>
          </cell>
        </row>
        <row r="393">
          <cell r="D393" t="str">
            <v/>
          </cell>
          <cell r="F393" t="str">
            <v/>
          </cell>
          <cell r="L393" t="str">
            <v/>
          </cell>
        </row>
        <row r="394">
          <cell r="D394" t="str">
            <v/>
          </cell>
          <cell r="F394" t="str">
            <v/>
          </cell>
          <cell r="L394" t="str">
            <v/>
          </cell>
        </row>
        <row r="395">
          <cell r="D395" t="str">
            <v/>
          </cell>
          <cell r="F395" t="str">
            <v/>
          </cell>
          <cell r="L395" t="str">
            <v/>
          </cell>
        </row>
        <row r="396">
          <cell r="D396" t="str">
            <v/>
          </cell>
          <cell r="F396" t="str">
            <v/>
          </cell>
          <cell r="L396" t="str">
            <v/>
          </cell>
        </row>
        <row r="397">
          <cell r="D397" t="str">
            <v/>
          </cell>
          <cell r="F397" t="str">
            <v/>
          </cell>
          <cell r="L397" t="str">
            <v/>
          </cell>
        </row>
        <row r="398">
          <cell r="D398" t="str">
            <v/>
          </cell>
          <cell r="F398" t="str">
            <v/>
          </cell>
          <cell r="L398" t="str">
            <v/>
          </cell>
        </row>
        <row r="399">
          <cell r="D399" t="str">
            <v/>
          </cell>
          <cell r="F399" t="str">
            <v/>
          </cell>
          <cell r="L399" t="str">
            <v/>
          </cell>
        </row>
        <row r="400">
          <cell r="D400" t="str">
            <v/>
          </cell>
          <cell r="F400" t="str">
            <v/>
          </cell>
          <cell r="L400" t="str">
            <v/>
          </cell>
        </row>
        <row r="401">
          <cell r="D401" t="str">
            <v/>
          </cell>
          <cell r="F401" t="str">
            <v/>
          </cell>
          <cell r="L401" t="str">
            <v/>
          </cell>
        </row>
        <row r="402">
          <cell r="D402" t="str">
            <v/>
          </cell>
          <cell r="F402" t="str">
            <v/>
          </cell>
          <cell r="L402" t="str">
            <v/>
          </cell>
        </row>
        <row r="403">
          <cell r="D403" t="str">
            <v/>
          </cell>
          <cell r="F403" t="str">
            <v/>
          </cell>
          <cell r="L403" t="str">
            <v/>
          </cell>
        </row>
        <row r="404">
          <cell r="D404" t="str">
            <v/>
          </cell>
          <cell r="F404" t="str">
            <v/>
          </cell>
          <cell r="L404" t="str">
            <v/>
          </cell>
        </row>
        <row r="405">
          <cell r="D405" t="str">
            <v/>
          </cell>
          <cell r="F405" t="str">
            <v/>
          </cell>
          <cell r="L405" t="str">
            <v/>
          </cell>
        </row>
        <row r="406">
          <cell r="D406" t="str">
            <v/>
          </cell>
          <cell r="F406" t="str">
            <v/>
          </cell>
          <cell r="L406" t="str">
            <v/>
          </cell>
        </row>
        <row r="407">
          <cell r="D407" t="str">
            <v/>
          </cell>
          <cell r="F407" t="str">
            <v/>
          </cell>
          <cell r="L407" t="str">
            <v/>
          </cell>
        </row>
        <row r="408">
          <cell r="D408" t="str">
            <v/>
          </cell>
          <cell r="F408" t="str">
            <v/>
          </cell>
          <cell r="L408" t="str">
            <v/>
          </cell>
        </row>
        <row r="409">
          <cell r="D409" t="str">
            <v/>
          </cell>
          <cell r="F409" t="str">
            <v/>
          </cell>
          <cell r="L409" t="str">
            <v/>
          </cell>
        </row>
        <row r="410">
          <cell r="D410" t="str">
            <v/>
          </cell>
          <cell r="F410" t="str">
            <v/>
          </cell>
          <cell r="L410" t="str">
            <v/>
          </cell>
        </row>
        <row r="411">
          <cell r="D411" t="str">
            <v/>
          </cell>
          <cell r="F411" t="str">
            <v/>
          </cell>
          <cell r="L411" t="str">
            <v/>
          </cell>
        </row>
        <row r="412">
          <cell r="D412" t="str">
            <v/>
          </cell>
          <cell r="F412" t="str">
            <v/>
          </cell>
          <cell r="L412" t="str">
            <v/>
          </cell>
        </row>
        <row r="413">
          <cell r="D413" t="str">
            <v/>
          </cell>
          <cell r="F413" t="str">
            <v/>
          </cell>
          <cell r="L413" t="str">
            <v/>
          </cell>
        </row>
        <row r="414">
          <cell r="D414" t="str">
            <v/>
          </cell>
          <cell r="F414" t="str">
            <v/>
          </cell>
          <cell r="L414" t="str">
            <v/>
          </cell>
        </row>
        <row r="415">
          <cell r="D415" t="str">
            <v/>
          </cell>
          <cell r="F415" t="str">
            <v/>
          </cell>
          <cell r="L415" t="str">
            <v/>
          </cell>
        </row>
        <row r="416">
          <cell r="D416" t="str">
            <v/>
          </cell>
          <cell r="F416" t="str">
            <v/>
          </cell>
          <cell r="L416" t="str">
            <v/>
          </cell>
        </row>
        <row r="417">
          <cell r="D417" t="str">
            <v/>
          </cell>
          <cell r="F417" t="str">
            <v/>
          </cell>
          <cell r="L417" t="str">
            <v/>
          </cell>
        </row>
        <row r="418">
          <cell r="D418" t="str">
            <v/>
          </cell>
          <cell r="F418" t="str">
            <v/>
          </cell>
          <cell r="L418" t="str">
            <v/>
          </cell>
        </row>
        <row r="419">
          <cell r="D419" t="str">
            <v/>
          </cell>
          <cell r="F419" t="str">
            <v/>
          </cell>
          <cell r="L419" t="str">
            <v/>
          </cell>
        </row>
        <row r="420">
          <cell r="D420" t="str">
            <v/>
          </cell>
          <cell r="F420" t="str">
            <v/>
          </cell>
          <cell r="L420" t="str">
            <v/>
          </cell>
        </row>
        <row r="421">
          <cell r="D421" t="str">
            <v/>
          </cell>
          <cell r="F421" t="str">
            <v/>
          </cell>
          <cell r="L421" t="str">
            <v/>
          </cell>
        </row>
        <row r="422">
          <cell r="D422" t="str">
            <v/>
          </cell>
          <cell r="F422" t="str">
            <v/>
          </cell>
          <cell r="L422" t="str">
            <v/>
          </cell>
        </row>
        <row r="423">
          <cell r="D423" t="str">
            <v/>
          </cell>
          <cell r="F423" t="str">
            <v/>
          </cell>
          <cell r="L423" t="str">
            <v/>
          </cell>
        </row>
        <row r="424">
          <cell r="D424" t="str">
            <v/>
          </cell>
          <cell r="F424" t="str">
            <v/>
          </cell>
          <cell r="L424" t="str">
            <v/>
          </cell>
        </row>
        <row r="425">
          <cell r="D425" t="str">
            <v/>
          </cell>
          <cell r="F425" t="str">
            <v/>
          </cell>
          <cell r="L425" t="str">
            <v/>
          </cell>
        </row>
        <row r="426">
          <cell r="D426" t="str">
            <v/>
          </cell>
          <cell r="F426" t="str">
            <v/>
          </cell>
          <cell r="L426" t="str">
            <v/>
          </cell>
        </row>
        <row r="427">
          <cell r="D427" t="str">
            <v/>
          </cell>
          <cell r="F427" t="str">
            <v/>
          </cell>
          <cell r="L427" t="str">
            <v/>
          </cell>
        </row>
        <row r="428">
          <cell r="D428" t="str">
            <v/>
          </cell>
          <cell r="F428" t="str">
            <v/>
          </cell>
          <cell r="L428" t="str">
            <v/>
          </cell>
        </row>
        <row r="429">
          <cell r="D429" t="str">
            <v/>
          </cell>
          <cell r="F429" t="str">
            <v/>
          </cell>
          <cell r="L429" t="str">
            <v/>
          </cell>
        </row>
        <row r="430">
          <cell r="D430" t="str">
            <v/>
          </cell>
          <cell r="F430" t="str">
            <v/>
          </cell>
          <cell r="L430" t="str">
            <v/>
          </cell>
        </row>
        <row r="431">
          <cell r="D431" t="str">
            <v/>
          </cell>
          <cell r="F431" t="str">
            <v/>
          </cell>
          <cell r="L431" t="str">
            <v/>
          </cell>
        </row>
        <row r="432">
          <cell r="D432" t="str">
            <v/>
          </cell>
          <cell r="F432" t="str">
            <v/>
          </cell>
          <cell r="L432" t="str">
            <v/>
          </cell>
        </row>
        <row r="433">
          <cell r="D433" t="str">
            <v/>
          </cell>
          <cell r="F433" t="str">
            <v/>
          </cell>
          <cell r="L433" t="str">
            <v/>
          </cell>
        </row>
        <row r="434">
          <cell r="D434" t="str">
            <v/>
          </cell>
          <cell r="F434" t="str">
            <v/>
          </cell>
          <cell r="L434" t="str">
            <v/>
          </cell>
        </row>
        <row r="435">
          <cell r="D435" t="str">
            <v/>
          </cell>
          <cell r="F435" t="str">
            <v/>
          </cell>
          <cell r="L435" t="str">
            <v/>
          </cell>
        </row>
        <row r="436">
          <cell r="D436" t="str">
            <v/>
          </cell>
          <cell r="F436" t="str">
            <v/>
          </cell>
          <cell r="L436" t="str">
            <v/>
          </cell>
        </row>
        <row r="437">
          <cell r="D437" t="str">
            <v/>
          </cell>
          <cell r="F437" t="str">
            <v/>
          </cell>
          <cell r="L437" t="str">
            <v/>
          </cell>
        </row>
        <row r="438">
          <cell r="D438" t="str">
            <v/>
          </cell>
          <cell r="F438" t="str">
            <v/>
          </cell>
          <cell r="L438" t="str">
            <v/>
          </cell>
        </row>
        <row r="439">
          <cell r="D439" t="str">
            <v/>
          </cell>
          <cell r="F439" t="str">
            <v/>
          </cell>
          <cell r="L439" t="str">
            <v/>
          </cell>
        </row>
        <row r="440">
          <cell r="D440" t="str">
            <v/>
          </cell>
          <cell r="F440" t="str">
            <v/>
          </cell>
          <cell r="L440" t="str">
            <v/>
          </cell>
        </row>
        <row r="441">
          <cell r="D441" t="str">
            <v/>
          </cell>
          <cell r="F441" t="str">
            <v/>
          </cell>
          <cell r="L441" t="str">
            <v/>
          </cell>
        </row>
        <row r="442">
          <cell r="D442" t="str">
            <v/>
          </cell>
          <cell r="F442" t="str">
            <v/>
          </cell>
          <cell r="L442" t="str">
            <v/>
          </cell>
        </row>
        <row r="443">
          <cell r="D443" t="str">
            <v/>
          </cell>
          <cell r="F443" t="str">
            <v/>
          </cell>
          <cell r="L443" t="str">
            <v/>
          </cell>
        </row>
        <row r="444">
          <cell r="D444" t="str">
            <v/>
          </cell>
          <cell r="F444" t="str">
            <v/>
          </cell>
          <cell r="L444" t="str">
            <v/>
          </cell>
        </row>
        <row r="445">
          <cell r="D445" t="str">
            <v/>
          </cell>
          <cell r="F445" t="str">
            <v/>
          </cell>
          <cell r="L445" t="str">
            <v/>
          </cell>
        </row>
        <row r="446">
          <cell r="D446" t="str">
            <v/>
          </cell>
          <cell r="F446" t="str">
            <v/>
          </cell>
          <cell r="L446" t="str">
            <v/>
          </cell>
        </row>
        <row r="447">
          <cell r="D447" t="str">
            <v/>
          </cell>
          <cell r="F447" t="str">
            <v/>
          </cell>
          <cell r="L447" t="str">
            <v/>
          </cell>
        </row>
        <row r="448">
          <cell r="D448" t="str">
            <v/>
          </cell>
          <cell r="F448" t="str">
            <v/>
          </cell>
          <cell r="L448" t="str">
            <v/>
          </cell>
        </row>
        <row r="449">
          <cell r="D449" t="str">
            <v/>
          </cell>
          <cell r="F449" t="str">
            <v/>
          </cell>
          <cell r="L449" t="str">
            <v/>
          </cell>
        </row>
        <row r="450">
          <cell r="D450" t="str">
            <v/>
          </cell>
          <cell r="F450" t="str">
            <v/>
          </cell>
          <cell r="L450" t="str">
            <v/>
          </cell>
        </row>
        <row r="451">
          <cell r="D451" t="str">
            <v/>
          </cell>
          <cell r="F451" t="str">
            <v/>
          </cell>
          <cell r="L451" t="str">
            <v/>
          </cell>
        </row>
        <row r="452">
          <cell r="D452" t="str">
            <v/>
          </cell>
          <cell r="F452" t="str">
            <v/>
          </cell>
          <cell r="L452" t="str">
            <v/>
          </cell>
        </row>
        <row r="453">
          <cell r="D453" t="str">
            <v/>
          </cell>
          <cell r="F453" t="str">
            <v/>
          </cell>
          <cell r="L453" t="str">
            <v/>
          </cell>
        </row>
        <row r="454">
          <cell r="D454" t="str">
            <v/>
          </cell>
          <cell r="F454" t="str">
            <v/>
          </cell>
          <cell r="L454" t="str">
            <v/>
          </cell>
        </row>
        <row r="455">
          <cell r="D455" t="str">
            <v/>
          </cell>
          <cell r="F455" t="str">
            <v/>
          </cell>
          <cell r="L455" t="str">
            <v/>
          </cell>
        </row>
        <row r="456">
          <cell r="D456" t="str">
            <v/>
          </cell>
          <cell r="F456" t="str">
            <v/>
          </cell>
          <cell r="L456" t="str">
            <v/>
          </cell>
        </row>
        <row r="457">
          <cell r="D457" t="str">
            <v/>
          </cell>
          <cell r="F457" t="str">
            <v/>
          </cell>
          <cell r="L457" t="str">
            <v/>
          </cell>
        </row>
        <row r="458">
          <cell r="D458" t="str">
            <v/>
          </cell>
          <cell r="F458" t="str">
            <v/>
          </cell>
          <cell r="L458" t="str">
            <v/>
          </cell>
        </row>
        <row r="459">
          <cell r="D459" t="str">
            <v/>
          </cell>
          <cell r="F459" t="str">
            <v/>
          </cell>
          <cell r="L459" t="str">
            <v/>
          </cell>
        </row>
        <row r="460">
          <cell r="D460" t="str">
            <v/>
          </cell>
          <cell r="F460" t="str">
            <v/>
          </cell>
          <cell r="L460" t="str">
            <v/>
          </cell>
        </row>
        <row r="461">
          <cell r="D461" t="str">
            <v/>
          </cell>
          <cell r="F461" t="str">
            <v/>
          </cell>
          <cell r="L461" t="str">
            <v/>
          </cell>
        </row>
        <row r="462">
          <cell r="D462" t="str">
            <v/>
          </cell>
          <cell r="F462" t="str">
            <v/>
          </cell>
          <cell r="L462" t="str">
            <v/>
          </cell>
        </row>
        <row r="463">
          <cell r="D463" t="str">
            <v/>
          </cell>
          <cell r="F463" t="str">
            <v/>
          </cell>
          <cell r="L463" t="str">
            <v/>
          </cell>
        </row>
        <row r="464">
          <cell r="D464" t="str">
            <v/>
          </cell>
          <cell r="F464" t="str">
            <v/>
          </cell>
          <cell r="L464" t="str">
            <v/>
          </cell>
        </row>
        <row r="465">
          <cell r="D465" t="str">
            <v/>
          </cell>
          <cell r="F465" t="str">
            <v/>
          </cell>
          <cell r="L465" t="str">
            <v/>
          </cell>
        </row>
        <row r="466">
          <cell r="D466" t="str">
            <v/>
          </cell>
          <cell r="F466" t="str">
            <v/>
          </cell>
          <cell r="L466" t="str">
            <v/>
          </cell>
        </row>
        <row r="467">
          <cell r="D467" t="str">
            <v/>
          </cell>
          <cell r="F467" t="str">
            <v/>
          </cell>
          <cell r="L467" t="str">
            <v/>
          </cell>
        </row>
        <row r="468">
          <cell r="D468" t="str">
            <v/>
          </cell>
          <cell r="F468" t="str">
            <v/>
          </cell>
          <cell r="L468" t="str">
            <v/>
          </cell>
        </row>
        <row r="469">
          <cell r="D469" t="str">
            <v/>
          </cell>
          <cell r="F469" t="str">
            <v/>
          </cell>
          <cell r="L469" t="str">
            <v/>
          </cell>
        </row>
        <row r="470">
          <cell r="D470" t="str">
            <v/>
          </cell>
          <cell r="F470" t="str">
            <v/>
          </cell>
          <cell r="L470" t="str">
            <v/>
          </cell>
        </row>
        <row r="471">
          <cell r="D471" t="str">
            <v/>
          </cell>
          <cell r="F471" t="str">
            <v/>
          </cell>
          <cell r="L471" t="str">
            <v/>
          </cell>
        </row>
        <row r="472">
          <cell r="D472" t="str">
            <v/>
          </cell>
          <cell r="F472" t="str">
            <v/>
          </cell>
          <cell r="L472" t="str">
            <v/>
          </cell>
        </row>
        <row r="473">
          <cell r="D473" t="str">
            <v/>
          </cell>
          <cell r="F473" t="str">
            <v/>
          </cell>
          <cell r="L473" t="str">
            <v/>
          </cell>
        </row>
        <row r="474">
          <cell r="D474" t="str">
            <v/>
          </cell>
          <cell r="F474" t="str">
            <v/>
          </cell>
          <cell r="L474" t="str">
            <v/>
          </cell>
        </row>
        <row r="475">
          <cell r="D475" t="str">
            <v/>
          </cell>
          <cell r="F475" t="str">
            <v/>
          </cell>
          <cell r="L475" t="str">
            <v/>
          </cell>
        </row>
        <row r="476">
          <cell r="D476" t="str">
            <v/>
          </cell>
          <cell r="F476" t="str">
            <v/>
          </cell>
          <cell r="L476" t="str">
            <v/>
          </cell>
        </row>
        <row r="477">
          <cell r="D477" t="str">
            <v/>
          </cell>
          <cell r="F477" t="str">
            <v/>
          </cell>
          <cell r="L477" t="str">
            <v/>
          </cell>
        </row>
        <row r="478">
          <cell r="D478" t="str">
            <v/>
          </cell>
          <cell r="F478" t="str">
            <v/>
          </cell>
          <cell r="L478" t="str">
            <v/>
          </cell>
        </row>
        <row r="479">
          <cell r="D479" t="str">
            <v/>
          </cell>
          <cell r="F479" t="str">
            <v/>
          </cell>
          <cell r="L479" t="str">
            <v/>
          </cell>
        </row>
        <row r="480">
          <cell r="D480" t="str">
            <v/>
          </cell>
          <cell r="F480" t="str">
            <v/>
          </cell>
          <cell r="L480" t="str">
            <v/>
          </cell>
        </row>
        <row r="481">
          <cell r="D481" t="str">
            <v/>
          </cell>
          <cell r="F481" t="str">
            <v/>
          </cell>
          <cell r="L481" t="str">
            <v/>
          </cell>
        </row>
        <row r="482">
          <cell r="D482" t="str">
            <v/>
          </cell>
          <cell r="F482" t="str">
            <v/>
          </cell>
          <cell r="L482" t="str">
            <v/>
          </cell>
        </row>
        <row r="483">
          <cell r="D483" t="str">
            <v/>
          </cell>
          <cell r="F483" t="str">
            <v/>
          </cell>
          <cell r="L483" t="str">
            <v/>
          </cell>
        </row>
        <row r="484">
          <cell r="D484" t="str">
            <v/>
          </cell>
          <cell r="F484" t="str">
            <v/>
          </cell>
          <cell r="L484" t="str">
            <v/>
          </cell>
        </row>
        <row r="485">
          <cell r="D485" t="str">
            <v/>
          </cell>
          <cell r="F485" t="str">
            <v/>
          </cell>
          <cell r="L485" t="str">
            <v/>
          </cell>
        </row>
        <row r="486">
          <cell r="D486" t="str">
            <v/>
          </cell>
          <cell r="F486" t="str">
            <v/>
          </cell>
          <cell r="L486" t="str">
            <v/>
          </cell>
        </row>
        <row r="487">
          <cell r="D487" t="str">
            <v/>
          </cell>
          <cell r="F487" t="str">
            <v/>
          </cell>
          <cell r="L487" t="str">
            <v/>
          </cell>
        </row>
        <row r="488">
          <cell r="D488" t="str">
            <v/>
          </cell>
          <cell r="F488" t="str">
            <v/>
          </cell>
          <cell r="L488" t="str">
            <v/>
          </cell>
        </row>
        <row r="489">
          <cell r="D489" t="str">
            <v/>
          </cell>
          <cell r="F489" t="str">
            <v/>
          </cell>
          <cell r="L489" t="str">
            <v/>
          </cell>
        </row>
        <row r="490">
          <cell r="D490" t="str">
            <v/>
          </cell>
          <cell r="F490" t="str">
            <v/>
          </cell>
          <cell r="L490" t="str">
            <v/>
          </cell>
        </row>
        <row r="491">
          <cell r="D491" t="str">
            <v/>
          </cell>
          <cell r="F491" t="str">
            <v/>
          </cell>
          <cell r="L491" t="str">
            <v/>
          </cell>
        </row>
        <row r="492">
          <cell r="D492" t="str">
            <v/>
          </cell>
          <cell r="F492" t="str">
            <v/>
          </cell>
          <cell r="L492" t="str">
            <v/>
          </cell>
        </row>
        <row r="493">
          <cell r="D493" t="str">
            <v/>
          </cell>
          <cell r="F493" t="str">
            <v/>
          </cell>
          <cell r="L493" t="str">
            <v/>
          </cell>
        </row>
        <row r="494">
          <cell r="D494" t="str">
            <v/>
          </cell>
          <cell r="F494" t="str">
            <v/>
          </cell>
          <cell r="L494" t="str">
            <v/>
          </cell>
        </row>
        <row r="495">
          <cell r="D495" t="str">
            <v/>
          </cell>
          <cell r="F495" t="str">
            <v/>
          </cell>
          <cell r="L495" t="str">
            <v/>
          </cell>
        </row>
        <row r="496">
          <cell r="D496" t="str">
            <v/>
          </cell>
          <cell r="F496" t="str">
            <v/>
          </cell>
          <cell r="L496" t="str">
            <v/>
          </cell>
        </row>
        <row r="497">
          <cell r="D497" t="str">
            <v/>
          </cell>
          <cell r="F497" t="str">
            <v/>
          </cell>
          <cell r="L497" t="str">
            <v/>
          </cell>
        </row>
        <row r="498">
          <cell r="D498" t="str">
            <v/>
          </cell>
          <cell r="F498" t="str">
            <v/>
          </cell>
          <cell r="L498" t="str">
            <v/>
          </cell>
        </row>
        <row r="499">
          <cell r="D499" t="str">
            <v/>
          </cell>
          <cell r="F499" t="str">
            <v/>
          </cell>
          <cell r="L499" t="str">
            <v/>
          </cell>
        </row>
        <row r="500">
          <cell r="D500" t="str">
            <v/>
          </cell>
          <cell r="F500" t="str">
            <v/>
          </cell>
          <cell r="L500" t="str">
            <v/>
          </cell>
        </row>
        <row r="501">
          <cell r="D501" t="str">
            <v/>
          </cell>
          <cell r="F501" t="str">
            <v/>
          </cell>
          <cell r="L501" t="str">
            <v/>
          </cell>
        </row>
        <row r="502">
          <cell r="D502" t="str">
            <v/>
          </cell>
          <cell r="F502" t="str">
            <v/>
          </cell>
          <cell r="L502" t="str">
            <v/>
          </cell>
        </row>
        <row r="503">
          <cell r="D503" t="str">
            <v/>
          </cell>
          <cell r="F503" t="str">
            <v/>
          </cell>
          <cell r="L503" t="str">
            <v/>
          </cell>
        </row>
        <row r="504">
          <cell r="D504" t="str">
            <v/>
          </cell>
          <cell r="F504" t="str">
            <v/>
          </cell>
          <cell r="L504" t="str">
            <v/>
          </cell>
        </row>
        <row r="505">
          <cell r="D505" t="str">
            <v/>
          </cell>
          <cell r="F505" t="str">
            <v/>
          </cell>
          <cell r="L505" t="str">
            <v/>
          </cell>
        </row>
        <row r="506">
          <cell r="D506" t="str">
            <v/>
          </cell>
          <cell r="F506" t="str">
            <v/>
          </cell>
          <cell r="L506" t="str">
            <v/>
          </cell>
        </row>
        <row r="507">
          <cell r="D507" t="str">
            <v/>
          </cell>
          <cell r="F507" t="str">
            <v/>
          </cell>
          <cell r="L507" t="str">
            <v/>
          </cell>
        </row>
        <row r="508">
          <cell r="D508" t="str">
            <v/>
          </cell>
          <cell r="F508" t="str">
            <v/>
          </cell>
          <cell r="L508" t="str">
            <v/>
          </cell>
        </row>
        <row r="509">
          <cell r="D509" t="str">
            <v/>
          </cell>
          <cell r="F509" t="str">
            <v/>
          </cell>
          <cell r="L509" t="str">
            <v/>
          </cell>
        </row>
        <row r="510">
          <cell r="D510" t="str">
            <v/>
          </cell>
          <cell r="F510" t="str">
            <v/>
          </cell>
          <cell r="L510" t="str">
            <v/>
          </cell>
        </row>
        <row r="511">
          <cell r="D511" t="str">
            <v/>
          </cell>
          <cell r="F511" t="str">
            <v/>
          </cell>
          <cell r="L511" t="str">
            <v/>
          </cell>
        </row>
        <row r="512">
          <cell r="D512" t="str">
            <v/>
          </cell>
          <cell r="F512" t="str">
            <v/>
          </cell>
          <cell r="L512" t="str">
            <v/>
          </cell>
        </row>
        <row r="513">
          <cell r="D513" t="str">
            <v/>
          </cell>
          <cell r="F513" t="str">
            <v/>
          </cell>
          <cell r="L513" t="str">
            <v/>
          </cell>
        </row>
        <row r="514">
          <cell r="D514" t="str">
            <v/>
          </cell>
          <cell r="F514" t="str">
            <v/>
          </cell>
          <cell r="L514" t="str">
            <v/>
          </cell>
        </row>
        <row r="515">
          <cell r="D515" t="str">
            <v/>
          </cell>
          <cell r="F515" t="str">
            <v/>
          </cell>
          <cell r="L515" t="str">
            <v/>
          </cell>
        </row>
        <row r="516">
          <cell r="D516" t="str">
            <v/>
          </cell>
          <cell r="F516" t="str">
            <v/>
          </cell>
          <cell r="L516" t="str">
            <v/>
          </cell>
        </row>
        <row r="517">
          <cell r="D517" t="str">
            <v/>
          </cell>
          <cell r="F517" t="str">
            <v/>
          </cell>
          <cell r="L517" t="str">
            <v/>
          </cell>
        </row>
        <row r="518">
          <cell r="D518" t="str">
            <v/>
          </cell>
          <cell r="F518" t="str">
            <v/>
          </cell>
          <cell r="L518" t="str">
            <v/>
          </cell>
        </row>
        <row r="519">
          <cell r="D519" t="str">
            <v/>
          </cell>
          <cell r="F519" t="str">
            <v/>
          </cell>
          <cell r="L519" t="str">
            <v/>
          </cell>
        </row>
        <row r="520">
          <cell r="D520" t="str">
            <v/>
          </cell>
          <cell r="F520" t="str">
            <v/>
          </cell>
          <cell r="L520" t="str">
            <v/>
          </cell>
        </row>
        <row r="521">
          <cell r="D521" t="str">
            <v/>
          </cell>
          <cell r="F521" t="str">
            <v/>
          </cell>
          <cell r="L521" t="str">
            <v/>
          </cell>
        </row>
        <row r="522">
          <cell r="D522" t="str">
            <v/>
          </cell>
          <cell r="F522" t="str">
            <v/>
          </cell>
          <cell r="L522" t="str">
            <v/>
          </cell>
        </row>
        <row r="523">
          <cell r="D523" t="str">
            <v/>
          </cell>
          <cell r="F523" t="str">
            <v/>
          </cell>
          <cell r="L523" t="str">
            <v/>
          </cell>
        </row>
        <row r="524">
          <cell r="D524" t="str">
            <v/>
          </cell>
          <cell r="F524" t="str">
            <v/>
          </cell>
          <cell r="L524" t="str">
            <v/>
          </cell>
        </row>
        <row r="525">
          <cell r="D525" t="str">
            <v/>
          </cell>
          <cell r="F525" t="str">
            <v/>
          </cell>
          <cell r="L525" t="str">
            <v/>
          </cell>
        </row>
        <row r="526">
          <cell r="D526" t="str">
            <v/>
          </cell>
          <cell r="F526" t="str">
            <v/>
          </cell>
          <cell r="L526" t="str">
            <v/>
          </cell>
        </row>
        <row r="527">
          <cell r="D527" t="str">
            <v/>
          </cell>
          <cell r="F527" t="str">
            <v/>
          </cell>
          <cell r="L527" t="str">
            <v/>
          </cell>
        </row>
        <row r="528">
          <cell r="D528" t="str">
            <v/>
          </cell>
          <cell r="F528" t="str">
            <v/>
          </cell>
          <cell r="L528" t="str">
            <v/>
          </cell>
        </row>
        <row r="529">
          <cell r="D529" t="str">
            <v/>
          </cell>
          <cell r="F529" t="str">
            <v/>
          </cell>
          <cell r="L529" t="str">
            <v/>
          </cell>
        </row>
        <row r="530">
          <cell r="D530" t="str">
            <v/>
          </cell>
          <cell r="F530" t="str">
            <v/>
          </cell>
          <cell r="L530" t="str">
            <v/>
          </cell>
        </row>
        <row r="531">
          <cell r="D531" t="str">
            <v/>
          </cell>
          <cell r="F531" t="str">
            <v/>
          </cell>
          <cell r="L531" t="str">
            <v/>
          </cell>
        </row>
        <row r="532">
          <cell r="D532" t="str">
            <v/>
          </cell>
          <cell r="F532" t="str">
            <v/>
          </cell>
          <cell r="L532" t="str">
            <v/>
          </cell>
        </row>
        <row r="533">
          <cell r="D533" t="str">
            <v/>
          </cell>
          <cell r="F533" t="str">
            <v/>
          </cell>
          <cell r="L533" t="str">
            <v/>
          </cell>
        </row>
        <row r="534">
          <cell r="D534" t="str">
            <v/>
          </cell>
          <cell r="F534" t="str">
            <v/>
          </cell>
          <cell r="L534" t="str">
            <v/>
          </cell>
        </row>
        <row r="535">
          <cell r="D535" t="str">
            <v/>
          </cell>
          <cell r="F535" t="str">
            <v/>
          </cell>
          <cell r="L535" t="str">
            <v/>
          </cell>
        </row>
        <row r="536">
          <cell r="D536" t="str">
            <v/>
          </cell>
          <cell r="F536" t="str">
            <v/>
          </cell>
          <cell r="L536" t="str">
            <v/>
          </cell>
        </row>
        <row r="537">
          <cell r="D537" t="str">
            <v/>
          </cell>
          <cell r="F537" t="str">
            <v/>
          </cell>
          <cell r="L537" t="str">
            <v/>
          </cell>
        </row>
        <row r="538">
          <cell r="D538" t="str">
            <v/>
          </cell>
          <cell r="F538" t="str">
            <v/>
          </cell>
          <cell r="L538" t="str">
            <v/>
          </cell>
        </row>
        <row r="539">
          <cell r="D539" t="str">
            <v/>
          </cell>
          <cell r="F539" t="str">
            <v/>
          </cell>
          <cell r="L539" t="str">
            <v/>
          </cell>
        </row>
        <row r="540">
          <cell r="D540" t="str">
            <v/>
          </cell>
          <cell r="F540" t="str">
            <v/>
          </cell>
          <cell r="L540" t="str">
            <v/>
          </cell>
        </row>
        <row r="541">
          <cell r="D541" t="str">
            <v/>
          </cell>
          <cell r="F541" t="str">
            <v/>
          </cell>
          <cell r="L541" t="str">
            <v/>
          </cell>
        </row>
        <row r="542">
          <cell r="D542" t="str">
            <v/>
          </cell>
          <cell r="F542" t="str">
            <v/>
          </cell>
          <cell r="L542" t="str">
            <v/>
          </cell>
        </row>
        <row r="543">
          <cell r="D543" t="str">
            <v/>
          </cell>
          <cell r="F543" t="str">
            <v/>
          </cell>
          <cell r="L543" t="str">
            <v/>
          </cell>
        </row>
        <row r="544">
          <cell r="D544" t="str">
            <v/>
          </cell>
          <cell r="F544" t="str">
            <v/>
          </cell>
          <cell r="L544" t="str">
            <v/>
          </cell>
        </row>
        <row r="545">
          <cell r="D545" t="str">
            <v/>
          </cell>
          <cell r="F545" t="str">
            <v/>
          </cell>
          <cell r="L545" t="str">
            <v/>
          </cell>
        </row>
        <row r="546">
          <cell r="D546" t="str">
            <v/>
          </cell>
          <cell r="F546" t="str">
            <v/>
          </cell>
          <cell r="L546" t="str">
            <v/>
          </cell>
        </row>
        <row r="547">
          <cell r="D547" t="str">
            <v/>
          </cell>
          <cell r="F547" t="str">
            <v/>
          </cell>
          <cell r="L547" t="str">
            <v/>
          </cell>
        </row>
        <row r="548">
          <cell r="D548" t="str">
            <v/>
          </cell>
          <cell r="F548" t="str">
            <v/>
          </cell>
          <cell r="L548" t="str">
            <v/>
          </cell>
        </row>
        <row r="549">
          <cell r="D549" t="str">
            <v/>
          </cell>
          <cell r="F549" t="str">
            <v/>
          </cell>
          <cell r="L549" t="str">
            <v/>
          </cell>
        </row>
        <row r="550">
          <cell r="D550" t="str">
            <v/>
          </cell>
          <cell r="F550" t="str">
            <v/>
          </cell>
          <cell r="L550" t="str">
            <v/>
          </cell>
        </row>
        <row r="551">
          <cell r="D551" t="str">
            <v/>
          </cell>
          <cell r="F551" t="str">
            <v/>
          </cell>
          <cell r="L551" t="str">
            <v/>
          </cell>
        </row>
        <row r="552">
          <cell r="D552" t="str">
            <v/>
          </cell>
          <cell r="F552" t="str">
            <v/>
          </cell>
          <cell r="L552" t="str">
            <v/>
          </cell>
        </row>
        <row r="553">
          <cell r="D553" t="str">
            <v/>
          </cell>
          <cell r="F553" t="str">
            <v/>
          </cell>
          <cell r="L553" t="str">
            <v/>
          </cell>
        </row>
        <row r="554">
          <cell r="D554" t="str">
            <v/>
          </cell>
          <cell r="F554" t="str">
            <v/>
          </cell>
          <cell r="L554" t="str">
            <v/>
          </cell>
        </row>
        <row r="555">
          <cell r="D555" t="str">
            <v/>
          </cell>
          <cell r="F555" t="str">
            <v/>
          </cell>
          <cell r="L555" t="str">
            <v/>
          </cell>
        </row>
        <row r="556">
          <cell r="D556" t="str">
            <v/>
          </cell>
          <cell r="F556" t="str">
            <v/>
          </cell>
          <cell r="L556" t="str">
            <v/>
          </cell>
        </row>
        <row r="557">
          <cell r="D557" t="str">
            <v/>
          </cell>
          <cell r="F557" t="str">
            <v/>
          </cell>
          <cell r="L557" t="str">
            <v/>
          </cell>
        </row>
        <row r="558">
          <cell r="D558" t="str">
            <v/>
          </cell>
          <cell r="F558" t="str">
            <v/>
          </cell>
          <cell r="L558" t="str">
            <v/>
          </cell>
        </row>
        <row r="559">
          <cell r="D559" t="str">
            <v/>
          </cell>
          <cell r="F559" t="str">
            <v/>
          </cell>
          <cell r="L559" t="str">
            <v/>
          </cell>
        </row>
        <row r="560">
          <cell r="D560" t="str">
            <v/>
          </cell>
          <cell r="F560" t="str">
            <v/>
          </cell>
          <cell r="L560" t="str">
            <v/>
          </cell>
        </row>
        <row r="561">
          <cell r="D561" t="str">
            <v/>
          </cell>
          <cell r="F561" t="str">
            <v/>
          </cell>
          <cell r="L561" t="str">
            <v/>
          </cell>
        </row>
        <row r="562">
          <cell r="D562" t="str">
            <v/>
          </cell>
          <cell r="F562" t="str">
            <v/>
          </cell>
          <cell r="L562" t="str">
            <v/>
          </cell>
        </row>
        <row r="563">
          <cell r="D563" t="str">
            <v/>
          </cell>
          <cell r="F563" t="str">
            <v/>
          </cell>
          <cell r="L563" t="str">
            <v/>
          </cell>
        </row>
        <row r="564">
          <cell r="D564" t="str">
            <v/>
          </cell>
          <cell r="F564" t="str">
            <v/>
          </cell>
          <cell r="L564" t="str">
            <v/>
          </cell>
        </row>
        <row r="565">
          <cell r="D565" t="str">
            <v/>
          </cell>
          <cell r="F565" t="str">
            <v/>
          </cell>
          <cell r="L565" t="str">
            <v/>
          </cell>
        </row>
        <row r="566">
          <cell r="D566" t="str">
            <v/>
          </cell>
          <cell r="F566" t="str">
            <v/>
          </cell>
          <cell r="L566" t="str">
            <v/>
          </cell>
        </row>
        <row r="567">
          <cell r="D567" t="str">
            <v/>
          </cell>
          <cell r="F567" t="str">
            <v/>
          </cell>
          <cell r="L567" t="str">
            <v/>
          </cell>
        </row>
        <row r="568">
          <cell r="D568" t="str">
            <v/>
          </cell>
          <cell r="F568" t="str">
            <v/>
          </cell>
          <cell r="L568" t="str">
            <v/>
          </cell>
        </row>
        <row r="569">
          <cell r="D569" t="str">
            <v/>
          </cell>
          <cell r="F569" t="str">
            <v/>
          </cell>
          <cell r="L569" t="str">
            <v/>
          </cell>
        </row>
        <row r="570">
          <cell r="D570" t="str">
            <v/>
          </cell>
          <cell r="F570" t="str">
            <v/>
          </cell>
          <cell r="L570" t="str">
            <v/>
          </cell>
        </row>
        <row r="571">
          <cell r="D571" t="str">
            <v/>
          </cell>
          <cell r="F571" t="str">
            <v/>
          </cell>
          <cell r="L571" t="str">
            <v/>
          </cell>
        </row>
        <row r="572">
          <cell r="D572" t="str">
            <v/>
          </cell>
          <cell r="F572" t="str">
            <v/>
          </cell>
          <cell r="L572" t="str">
            <v/>
          </cell>
        </row>
        <row r="573">
          <cell r="D573" t="str">
            <v/>
          </cell>
          <cell r="F573" t="str">
            <v/>
          </cell>
          <cell r="L573" t="str">
            <v/>
          </cell>
        </row>
        <row r="574">
          <cell r="D574" t="str">
            <v/>
          </cell>
          <cell r="F574" t="str">
            <v/>
          </cell>
          <cell r="L574" t="str">
            <v/>
          </cell>
        </row>
        <row r="575">
          <cell r="D575" t="str">
            <v/>
          </cell>
          <cell r="F575" t="str">
            <v/>
          </cell>
          <cell r="L575" t="str">
            <v/>
          </cell>
        </row>
        <row r="576">
          <cell r="D576" t="str">
            <v/>
          </cell>
          <cell r="F576" t="str">
            <v/>
          </cell>
          <cell r="L576" t="str">
            <v/>
          </cell>
        </row>
        <row r="577">
          <cell r="D577" t="str">
            <v/>
          </cell>
          <cell r="F577" t="str">
            <v/>
          </cell>
          <cell r="L577" t="str">
            <v/>
          </cell>
        </row>
        <row r="578">
          <cell r="D578" t="str">
            <v/>
          </cell>
          <cell r="F578" t="str">
            <v/>
          </cell>
          <cell r="L578" t="str">
            <v/>
          </cell>
        </row>
        <row r="579">
          <cell r="D579" t="str">
            <v/>
          </cell>
          <cell r="F579" t="str">
            <v/>
          </cell>
          <cell r="L579" t="str">
            <v/>
          </cell>
        </row>
        <row r="580">
          <cell r="D580" t="str">
            <v/>
          </cell>
          <cell r="F580" t="str">
            <v/>
          </cell>
          <cell r="L580" t="str">
            <v/>
          </cell>
        </row>
        <row r="581">
          <cell r="D581" t="str">
            <v/>
          </cell>
          <cell r="F581" t="str">
            <v/>
          </cell>
          <cell r="L581" t="str">
            <v/>
          </cell>
        </row>
        <row r="582">
          <cell r="D582" t="str">
            <v/>
          </cell>
          <cell r="F582" t="str">
            <v/>
          </cell>
          <cell r="L582" t="str">
            <v/>
          </cell>
        </row>
        <row r="583">
          <cell r="D583" t="str">
            <v/>
          </cell>
          <cell r="F583" t="str">
            <v/>
          </cell>
          <cell r="L583" t="str">
            <v/>
          </cell>
        </row>
        <row r="584">
          <cell r="D584" t="str">
            <v/>
          </cell>
          <cell r="F584" t="str">
            <v/>
          </cell>
          <cell r="L584" t="str">
            <v/>
          </cell>
        </row>
        <row r="585">
          <cell r="D585" t="str">
            <v/>
          </cell>
          <cell r="F585" t="str">
            <v/>
          </cell>
          <cell r="L585" t="str">
            <v/>
          </cell>
        </row>
        <row r="586">
          <cell r="D586" t="str">
            <v/>
          </cell>
          <cell r="F586" t="str">
            <v/>
          </cell>
          <cell r="L586" t="str">
            <v/>
          </cell>
        </row>
        <row r="587">
          <cell r="D587" t="str">
            <v/>
          </cell>
          <cell r="F587" t="str">
            <v/>
          </cell>
          <cell r="L587" t="str">
            <v/>
          </cell>
        </row>
        <row r="588">
          <cell r="D588" t="str">
            <v/>
          </cell>
          <cell r="F588" t="str">
            <v/>
          </cell>
          <cell r="L588" t="str">
            <v/>
          </cell>
        </row>
        <row r="589">
          <cell r="D589" t="str">
            <v/>
          </cell>
          <cell r="F589" t="str">
            <v/>
          </cell>
          <cell r="L589" t="str">
            <v/>
          </cell>
        </row>
        <row r="590">
          <cell r="D590" t="str">
            <v/>
          </cell>
          <cell r="F590" t="str">
            <v/>
          </cell>
          <cell r="L590" t="str">
            <v/>
          </cell>
        </row>
        <row r="591">
          <cell r="D591" t="str">
            <v/>
          </cell>
          <cell r="F591" t="str">
            <v/>
          </cell>
          <cell r="L591" t="str">
            <v/>
          </cell>
        </row>
        <row r="592">
          <cell r="D592" t="str">
            <v/>
          </cell>
          <cell r="F592" t="str">
            <v/>
          </cell>
          <cell r="L592" t="str">
            <v/>
          </cell>
        </row>
        <row r="593">
          <cell r="D593" t="str">
            <v/>
          </cell>
          <cell r="F593" t="str">
            <v/>
          </cell>
          <cell r="L593" t="str">
            <v/>
          </cell>
        </row>
        <row r="594">
          <cell r="D594" t="str">
            <v/>
          </cell>
          <cell r="F594" t="str">
            <v/>
          </cell>
          <cell r="L594" t="str">
            <v/>
          </cell>
        </row>
        <row r="595">
          <cell r="D595" t="str">
            <v/>
          </cell>
          <cell r="F595" t="str">
            <v/>
          </cell>
          <cell r="L595" t="str">
            <v/>
          </cell>
        </row>
        <row r="596">
          <cell r="D596" t="str">
            <v/>
          </cell>
          <cell r="F596" t="str">
            <v/>
          </cell>
          <cell r="L596" t="str">
            <v/>
          </cell>
        </row>
        <row r="597">
          <cell r="D597" t="str">
            <v/>
          </cell>
          <cell r="F597" t="str">
            <v/>
          </cell>
          <cell r="L597" t="str">
            <v/>
          </cell>
        </row>
        <row r="598">
          <cell r="D598" t="str">
            <v/>
          </cell>
          <cell r="F598" t="str">
            <v/>
          </cell>
          <cell r="L598" t="str">
            <v/>
          </cell>
        </row>
        <row r="599">
          <cell r="D599" t="str">
            <v/>
          </cell>
          <cell r="F599" t="str">
            <v/>
          </cell>
          <cell r="L599" t="str">
            <v/>
          </cell>
        </row>
        <row r="600">
          <cell r="D600" t="str">
            <v/>
          </cell>
          <cell r="F600" t="str">
            <v/>
          </cell>
          <cell r="L600" t="str">
            <v/>
          </cell>
        </row>
        <row r="601">
          <cell r="D601" t="str">
            <v/>
          </cell>
          <cell r="F601" t="str">
            <v/>
          </cell>
          <cell r="L601" t="str">
            <v/>
          </cell>
        </row>
        <row r="602">
          <cell r="D602" t="str">
            <v/>
          </cell>
          <cell r="F602" t="str">
            <v/>
          </cell>
          <cell r="L602" t="str">
            <v/>
          </cell>
        </row>
        <row r="603">
          <cell r="D603" t="str">
            <v/>
          </cell>
          <cell r="F603" t="str">
            <v/>
          </cell>
          <cell r="L603" t="str">
            <v/>
          </cell>
        </row>
        <row r="604">
          <cell r="D604" t="str">
            <v/>
          </cell>
          <cell r="F604" t="str">
            <v/>
          </cell>
          <cell r="L604" t="str">
            <v/>
          </cell>
        </row>
        <row r="605">
          <cell r="D605" t="str">
            <v/>
          </cell>
          <cell r="F605" t="str">
            <v/>
          </cell>
          <cell r="L605" t="str">
            <v/>
          </cell>
        </row>
        <row r="606">
          <cell r="D606" t="str">
            <v/>
          </cell>
          <cell r="F606" t="str">
            <v/>
          </cell>
          <cell r="L606" t="str">
            <v/>
          </cell>
        </row>
        <row r="607">
          <cell r="D607" t="str">
            <v/>
          </cell>
          <cell r="F607" t="str">
            <v/>
          </cell>
          <cell r="L607" t="str">
            <v/>
          </cell>
        </row>
        <row r="608">
          <cell r="D608" t="str">
            <v/>
          </cell>
          <cell r="F608" t="str">
            <v/>
          </cell>
          <cell r="L608" t="str">
            <v/>
          </cell>
        </row>
        <row r="609">
          <cell r="D609" t="str">
            <v/>
          </cell>
          <cell r="F609" t="str">
            <v/>
          </cell>
          <cell r="L609" t="str">
            <v/>
          </cell>
        </row>
        <row r="610">
          <cell r="D610" t="str">
            <v/>
          </cell>
          <cell r="F610" t="str">
            <v/>
          </cell>
          <cell r="L610" t="str">
            <v/>
          </cell>
        </row>
        <row r="611">
          <cell r="D611" t="str">
            <v/>
          </cell>
          <cell r="F611" t="str">
            <v/>
          </cell>
          <cell r="L611" t="str">
            <v/>
          </cell>
        </row>
        <row r="612">
          <cell r="D612" t="str">
            <v/>
          </cell>
          <cell r="F612" t="str">
            <v/>
          </cell>
          <cell r="L612" t="str">
            <v/>
          </cell>
        </row>
        <row r="613">
          <cell r="D613" t="str">
            <v/>
          </cell>
          <cell r="F613" t="str">
            <v/>
          </cell>
          <cell r="L613" t="str">
            <v/>
          </cell>
        </row>
        <row r="614">
          <cell r="D614" t="str">
            <v/>
          </cell>
          <cell r="F614" t="str">
            <v/>
          </cell>
          <cell r="L614" t="str">
            <v/>
          </cell>
        </row>
        <row r="615">
          <cell r="D615" t="str">
            <v/>
          </cell>
          <cell r="F615" t="str">
            <v/>
          </cell>
          <cell r="L615" t="str">
            <v/>
          </cell>
        </row>
        <row r="616">
          <cell r="D616" t="str">
            <v/>
          </cell>
          <cell r="F616" t="str">
            <v/>
          </cell>
          <cell r="L616" t="str">
            <v/>
          </cell>
        </row>
        <row r="617">
          <cell r="D617" t="str">
            <v/>
          </cell>
          <cell r="F617" t="str">
            <v/>
          </cell>
          <cell r="L617" t="str">
            <v/>
          </cell>
        </row>
        <row r="618">
          <cell r="D618" t="str">
            <v/>
          </cell>
          <cell r="F618" t="str">
            <v/>
          </cell>
          <cell r="L618" t="str">
            <v/>
          </cell>
        </row>
        <row r="619">
          <cell r="D619" t="str">
            <v/>
          </cell>
          <cell r="F619" t="str">
            <v/>
          </cell>
          <cell r="L619" t="str">
            <v/>
          </cell>
        </row>
        <row r="620">
          <cell r="D620" t="str">
            <v/>
          </cell>
          <cell r="F620" t="str">
            <v/>
          </cell>
          <cell r="L620" t="str">
            <v/>
          </cell>
        </row>
        <row r="621">
          <cell r="D621" t="str">
            <v/>
          </cell>
          <cell r="F621" t="str">
            <v/>
          </cell>
          <cell r="L621" t="str">
            <v/>
          </cell>
        </row>
        <row r="622">
          <cell r="D622" t="str">
            <v/>
          </cell>
          <cell r="F622" t="str">
            <v/>
          </cell>
          <cell r="L622" t="str">
            <v/>
          </cell>
        </row>
        <row r="623">
          <cell r="D623" t="str">
            <v/>
          </cell>
          <cell r="F623" t="str">
            <v/>
          </cell>
          <cell r="L623" t="str">
            <v/>
          </cell>
        </row>
        <row r="624">
          <cell r="D624" t="str">
            <v/>
          </cell>
          <cell r="F624" t="str">
            <v/>
          </cell>
          <cell r="L624" t="str">
            <v/>
          </cell>
        </row>
        <row r="625">
          <cell r="D625" t="str">
            <v/>
          </cell>
          <cell r="F625" t="str">
            <v/>
          </cell>
          <cell r="L625" t="str">
            <v/>
          </cell>
        </row>
        <row r="626">
          <cell r="D626" t="str">
            <v/>
          </cell>
          <cell r="F626" t="str">
            <v/>
          </cell>
          <cell r="L626" t="str">
            <v/>
          </cell>
        </row>
        <row r="627">
          <cell r="D627" t="str">
            <v/>
          </cell>
          <cell r="F627" t="str">
            <v/>
          </cell>
          <cell r="L627" t="str">
            <v/>
          </cell>
        </row>
        <row r="628">
          <cell r="D628" t="str">
            <v/>
          </cell>
          <cell r="F628" t="str">
            <v/>
          </cell>
          <cell r="L628" t="str">
            <v/>
          </cell>
        </row>
        <row r="629">
          <cell r="D629" t="str">
            <v/>
          </cell>
          <cell r="F629" t="str">
            <v/>
          </cell>
          <cell r="L629" t="str">
            <v/>
          </cell>
        </row>
        <row r="630">
          <cell r="D630" t="str">
            <v/>
          </cell>
          <cell r="F630" t="str">
            <v/>
          </cell>
          <cell r="L630" t="str">
            <v/>
          </cell>
        </row>
        <row r="631">
          <cell r="D631" t="str">
            <v/>
          </cell>
          <cell r="F631" t="str">
            <v/>
          </cell>
          <cell r="L631" t="str">
            <v/>
          </cell>
        </row>
        <row r="632">
          <cell r="D632" t="str">
            <v/>
          </cell>
          <cell r="F632" t="str">
            <v/>
          </cell>
          <cell r="L632" t="str">
            <v/>
          </cell>
        </row>
        <row r="633">
          <cell r="D633" t="str">
            <v/>
          </cell>
          <cell r="F633" t="str">
            <v/>
          </cell>
          <cell r="L633" t="str">
            <v/>
          </cell>
        </row>
        <row r="634">
          <cell r="D634" t="str">
            <v/>
          </cell>
          <cell r="F634" t="str">
            <v/>
          </cell>
          <cell r="L634" t="str">
            <v/>
          </cell>
        </row>
        <row r="635">
          <cell r="D635" t="str">
            <v/>
          </cell>
          <cell r="F635" t="str">
            <v/>
          </cell>
          <cell r="L635" t="str">
            <v/>
          </cell>
        </row>
        <row r="636">
          <cell r="D636" t="str">
            <v/>
          </cell>
          <cell r="F636" t="str">
            <v/>
          </cell>
          <cell r="L636" t="str">
            <v/>
          </cell>
        </row>
        <row r="637">
          <cell r="D637" t="str">
            <v/>
          </cell>
          <cell r="F637" t="str">
            <v/>
          </cell>
          <cell r="L637" t="str">
            <v/>
          </cell>
        </row>
        <row r="638">
          <cell r="D638" t="str">
            <v/>
          </cell>
          <cell r="F638" t="str">
            <v/>
          </cell>
          <cell r="L638" t="str">
            <v/>
          </cell>
        </row>
        <row r="639">
          <cell r="D639" t="str">
            <v/>
          </cell>
          <cell r="F639" t="str">
            <v/>
          </cell>
          <cell r="L639" t="str">
            <v/>
          </cell>
        </row>
        <row r="640">
          <cell r="D640" t="str">
            <v/>
          </cell>
          <cell r="F640" t="str">
            <v/>
          </cell>
          <cell r="L640" t="str">
            <v/>
          </cell>
        </row>
        <row r="641">
          <cell r="D641" t="str">
            <v/>
          </cell>
          <cell r="F641" t="str">
            <v/>
          </cell>
          <cell r="L641" t="str">
            <v/>
          </cell>
        </row>
        <row r="642">
          <cell r="D642" t="str">
            <v/>
          </cell>
          <cell r="F642" t="str">
            <v/>
          </cell>
          <cell r="L642" t="str">
            <v/>
          </cell>
        </row>
        <row r="643">
          <cell r="D643" t="str">
            <v/>
          </cell>
          <cell r="F643" t="str">
            <v/>
          </cell>
          <cell r="L643" t="str">
            <v/>
          </cell>
        </row>
        <row r="644">
          <cell r="D644" t="str">
            <v/>
          </cell>
          <cell r="F644" t="str">
            <v/>
          </cell>
          <cell r="L644" t="str">
            <v/>
          </cell>
        </row>
        <row r="645">
          <cell r="D645" t="str">
            <v/>
          </cell>
          <cell r="F645" t="str">
            <v/>
          </cell>
          <cell r="L645" t="str">
            <v/>
          </cell>
        </row>
        <row r="646">
          <cell r="D646" t="str">
            <v/>
          </cell>
          <cell r="F646" t="str">
            <v/>
          </cell>
          <cell r="L646" t="str">
            <v/>
          </cell>
        </row>
        <row r="647">
          <cell r="D647" t="str">
            <v/>
          </cell>
          <cell r="F647" t="str">
            <v/>
          </cell>
          <cell r="L647" t="str">
            <v/>
          </cell>
        </row>
        <row r="648">
          <cell r="D648" t="str">
            <v/>
          </cell>
          <cell r="F648" t="str">
            <v/>
          </cell>
          <cell r="L648" t="str">
            <v/>
          </cell>
        </row>
        <row r="649">
          <cell r="D649" t="str">
            <v/>
          </cell>
          <cell r="F649" t="str">
            <v/>
          </cell>
          <cell r="L649" t="str">
            <v/>
          </cell>
        </row>
        <row r="650">
          <cell r="D650" t="str">
            <v/>
          </cell>
          <cell r="F650" t="str">
            <v/>
          </cell>
          <cell r="L650" t="str">
            <v/>
          </cell>
        </row>
        <row r="651">
          <cell r="D651" t="str">
            <v/>
          </cell>
          <cell r="F651" t="str">
            <v/>
          </cell>
          <cell r="L651" t="str">
            <v/>
          </cell>
        </row>
        <row r="652">
          <cell r="D652" t="str">
            <v/>
          </cell>
          <cell r="F652" t="str">
            <v/>
          </cell>
          <cell r="L652" t="str">
            <v/>
          </cell>
        </row>
        <row r="653">
          <cell r="D653" t="str">
            <v/>
          </cell>
          <cell r="F653" t="str">
            <v/>
          </cell>
          <cell r="L653" t="str">
            <v/>
          </cell>
        </row>
        <row r="654">
          <cell r="D654" t="str">
            <v/>
          </cell>
          <cell r="F654" t="str">
            <v/>
          </cell>
          <cell r="L654" t="str">
            <v/>
          </cell>
        </row>
        <row r="655">
          <cell r="D655" t="str">
            <v/>
          </cell>
          <cell r="F655" t="str">
            <v/>
          </cell>
          <cell r="L655" t="str">
            <v/>
          </cell>
        </row>
        <row r="656">
          <cell r="D656" t="str">
            <v/>
          </cell>
          <cell r="F656" t="str">
            <v/>
          </cell>
          <cell r="L656" t="str">
            <v/>
          </cell>
        </row>
        <row r="657">
          <cell r="D657" t="str">
            <v/>
          </cell>
          <cell r="F657" t="str">
            <v/>
          </cell>
          <cell r="L657" t="str">
            <v/>
          </cell>
        </row>
        <row r="658">
          <cell r="D658" t="str">
            <v/>
          </cell>
          <cell r="F658" t="str">
            <v/>
          </cell>
          <cell r="L658" t="str">
            <v/>
          </cell>
        </row>
        <row r="659">
          <cell r="D659" t="str">
            <v/>
          </cell>
          <cell r="F659" t="str">
            <v/>
          </cell>
          <cell r="L659" t="str">
            <v/>
          </cell>
        </row>
        <row r="660">
          <cell r="D660" t="str">
            <v/>
          </cell>
          <cell r="F660" t="str">
            <v/>
          </cell>
          <cell r="L660" t="str">
            <v/>
          </cell>
        </row>
        <row r="661">
          <cell r="D661" t="str">
            <v/>
          </cell>
          <cell r="F661" t="str">
            <v/>
          </cell>
          <cell r="L661" t="str">
            <v/>
          </cell>
        </row>
        <row r="662">
          <cell r="D662" t="str">
            <v/>
          </cell>
          <cell r="F662" t="str">
            <v/>
          </cell>
          <cell r="L662" t="str">
            <v/>
          </cell>
        </row>
        <row r="663">
          <cell r="D663" t="str">
            <v/>
          </cell>
          <cell r="F663" t="str">
            <v/>
          </cell>
          <cell r="L663" t="str">
            <v/>
          </cell>
        </row>
        <row r="664">
          <cell r="D664" t="str">
            <v/>
          </cell>
          <cell r="F664" t="str">
            <v/>
          </cell>
          <cell r="L664" t="str">
            <v/>
          </cell>
        </row>
        <row r="665">
          <cell r="D665" t="str">
            <v/>
          </cell>
          <cell r="F665" t="str">
            <v/>
          </cell>
          <cell r="L665" t="str">
            <v/>
          </cell>
        </row>
        <row r="666">
          <cell r="D666" t="str">
            <v/>
          </cell>
          <cell r="F666" t="str">
            <v/>
          </cell>
          <cell r="L666" t="str">
            <v/>
          </cell>
        </row>
        <row r="667">
          <cell r="D667" t="str">
            <v/>
          </cell>
          <cell r="F667" t="str">
            <v/>
          </cell>
          <cell r="L667" t="str">
            <v/>
          </cell>
        </row>
        <row r="668">
          <cell r="D668" t="str">
            <v/>
          </cell>
          <cell r="F668" t="str">
            <v/>
          </cell>
          <cell r="L668" t="str">
            <v/>
          </cell>
        </row>
        <row r="669">
          <cell r="D669" t="str">
            <v/>
          </cell>
          <cell r="F669" t="str">
            <v/>
          </cell>
          <cell r="L669" t="str">
            <v/>
          </cell>
        </row>
        <row r="670">
          <cell r="D670" t="str">
            <v/>
          </cell>
          <cell r="F670" t="str">
            <v/>
          </cell>
          <cell r="L670" t="str">
            <v/>
          </cell>
        </row>
        <row r="671">
          <cell r="D671" t="str">
            <v/>
          </cell>
          <cell r="F671" t="str">
            <v/>
          </cell>
          <cell r="L671" t="str">
            <v/>
          </cell>
        </row>
        <row r="672">
          <cell r="D672" t="str">
            <v/>
          </cell>
          <cell r="F672" t="str">
            <v/>
          </cell>
          <cell r="L672" t="str">
            <v/>
          </cell>
        </row>
        <row r="673">
          <cell r="D673" t="str">
            <v/>
          </cell>
          <cell r="F673" t="str">
            <v/>
          </cell>
          <cell r="L673" t="str">
            <v/>
          </cell>
        </row>
        <row r="674">
          <cell r="D674" t="str">
            <v/>
          </cell>
          <cell r="F674" t="str">
            <v/>
          </cell>
          <cell r="L674" t="str">
            <v/>
          </cell>
        </row>
        <row r="675">
          <cell r="D675" t="str">
            <v/>
          </cell>
          <cell r="F675" t="str">
            <v/>
          </cell>
          <cell r="L675" t="str">
            <v/>
          </cell>
        </row>
        <row r="676">
          <cell r="D676" t="str">
            <v/>
          </cell>
          <cell r="F676" t="str">
            <v/>
          </cell>
          <cell r="L676" t="str">
            <v/>
          </cell>
        </row>
        <row r="677">
          <cell r="D677" t="str">
            <v/>
          </cell>
          <cell r="F677" t="str">
            <v/>
          </cell>
          <cell r="L677" t="str">
            <v/>
          </cell>
        </row>
        <row r="678">
          <cell r="D678" t="str">
            <v/>
          </cell>
          <cell r="F678" t="str">
            <v/>
          </cell>
          <cell r="L678" t="str">
            <v/>
          </cell>
        </row>
        <row r="679">
          <cell r="D679" t="str">
            <v/>
          </cell>
          <cell r="F679" t="str">
            <v/>
          </cell>
          <cell r="L679" t="str">
            <v/>
          </cell>
        </row>
        <row r="680">
          <cell r="D680" t="str">
            <v/>
          </cell>
          <cell r="F680" t="str">
            <v/>
          </cell>
          <cell r="L680" t="str">
            <v/>
          </cell>
        </row>
        <row r="681">
          <cell r="D681" t="str">
            <v/>
          </cell>
          <cell r="F681" t="str">
            <v/>
          </cell>
          <cell r="L681" t="str">
            <v/>
          </cell>
        </row>
        <row r="682">
          <cell r="D682" t="str">
            <v/>
          </cell>
          <cell r="F682" t="str">
            <v/>
          </cell>
          <cell r="L682" t="str">
            <v/>
          </cell>
        </row>
        <row r="683">
          <cell r="D683" t="str">
            <v/>
          </cell>
          <cell r="F683" t="str">
            <v/>
          </cell>
          <cell r="L683" t="str">
            <v/>
          </cell>
        </row>
        <row r="684">
          <cell r="D684" t="str">
            <v/>
          </cell>
          <cell r="F684" t="str">
            <v/>
          </cell>
          <cell r="L684" t="str">
            <v/>
          </cell>
        </row>
        <row r="685">
          <cell r="D685" t="str">
            <v/>
          </cell>
          <cell r="F685" t="str">
            <v/>
          </cell>
          <cell r="L685" t="str">
            <v/>
          </cell>
        </row>
        <row r="686">
          <cell r="D686" t="str">
            <v/>
          </cell>
          <cell r="F686" t="str">
            <v/>
          </cell>
          <cell r="L686" t="str">
            <v/>
          </cell>
        </row>
        <row r="687">
          <cell r="D687" t="str">
            <v/>
          </cell>
          <cell r="F687" t="str">
            <v/>
          </cell>
          <cell r="L687" t="str">
            <v/>
          </cell>
        </row>
        <row r="688">
          <cell r="D688" t="str">
            <v/>
          </cell>
          <cell r="F688" t="str">
            <v/>
          </cell>
          <cell r="L688" t="str">
            <v/>
          </cell>
        </row>
        <row r="689">
          <cell r="D689" t="str">
            <v/>
          </cell>
          <cell r="F689" t="str">
            <v/>
          </cell>
          <cell r="L689" t="str">
            <v/>
          </cell>
        </row>
        <row r="690">
          <cell r="D690" t="str">
            <v/>
          </cell>
          <cell r="F690" t="str">
            <v/>
          </cell>
          <cell r="L690" t="str">
            <v/>
          </cell>
        </row>
        <row r="691">
          <cell r="D691" t="str">
            <v/>
          </cell>
          <cell r="F691" t="str">
            <v/>
          </cell>
          <cell r="L691" t="str">
            <v/>
          </cell>
        </row>
        <row r="692">
          <cell r="D692" t="str">
            <v/>
          </cell>
          <cell r="F692" t="str">
            <v/>
          </cell>
          <cell r="L692" t="str">
            <v/>
          </cell>
        </row>
        <row r="693">
          <cell r="D693" t="str">
            <v/>
          </cell>
          <cell r="F693" t="str">
            <v/>
          </cell>
          <cell r="L693" t="str">
            <v/>
          </cell>
        </row>
        <row r="694">
          <cell r="D694" t="str">
            <v/>
          </cell>
          <cell r="F694" t="str">
            <v/>
          </cell>
          <cell r="L694" t="str">
            <v/>
          </cell>
        </row>
        <row r="695">
          <cell r="D695" t="str">
            <v/>
          </cell>
          <cell r="F695" t="str">
            <v/>
          </cell>
          <cell r="L695" t="str">
            <v/>
          </cell>
        </row>
        <row r="696">
          <cell r="D696" t="str">
            <v/>
          </cell>
          <cell r="F696" t="str">
            <v/>
          </cell>
          <cell r="L696" t="str">
            <v/>
          </cell>
        </row>
        <row r="697">
          <cell r="D697" t="str">
            <v/>
          </cell>
          <cell r="F697" t="str">
            <v/>
          </cell>
          <cell r="L697" t="str">
            <v/>
          </cell>
        </row>
        <row r="698">
          <cell r="D698" t="str">
            <v/>
          </cell>
          <cell r="F698" t="str">
            <v/>
          </cell>
          <cell r="L698" t="str">
            <v/>
          </cell>
        </row>
        <row r="699">
          <cell r="D699" t="str">
            <v/>
          </cell>
          <cell r="F699" t="str">
            <v/>
          </cell>
          <cell r="L699" t="str">
            <v/>
          </cell>
        </row>
        <row r="700">
          <cell r="D700" t="str">
            <v/>
          </cell>
          <cell r="F700" t="str">
            <v/>
          </cell>
          <cell r="L700" t="str">
            <v/>
          </cell>
        </row>
        <row r="701">
          <cell r="D701" t="str">
            <v/>
          </cell>
          <cell r="F701" t="str">
            <v/>
          </cell>
          <cell r="L701" t="str">
            <v/>
          </cell>
        </row>
        <row r="702">
          <cell r="D702" t="str">
            <v/>
          </cell>
          <cell r="F702" t="str">
            <v/>
          </cell>
          <cell r="L702" t="str">
            <v/>
          </cell>
        </row>
        <row r="703">
          <cell r="D703" t="str">
            <v/>
          </cell>
          <cell r="F703" t="str">
            <v/>
          </cell>
          <cell r="L703" t="str">
            <v/>
          </cell>
        </row>
        <row r="704">
          <cell r="D704" t="str">
            <v/>
          </cell>
          <cell r="F704" t="str">
            <v/>
          </cell>
          <cell r="L704" t="str">
            <v/>
          </cell>
        </row>
        <row r="705">
          <cell r="D705" t="str">
            <v/>
          </cell>
          <cell r="F705" t="str">
            <v/>
          </cell>
          <cell r="L705" t="str">
            <v/>
          </cell>
        </row>
        <row r="706">
          <cell r="D706" t="str">
            <v/>
          </cell>
          <cell r="F706" t="str">
            <v/>
          </cell>
          <cell r="L706" t="str">
            <v/>
          </cell>
        </row>
        <row r="707">
          <cell r="D707" t="str">
            <v/>
          </cell>
          <cell r="F707" t="str">
            <v/>
          </cell>
          <cell r="L707" t="str">
            <v/>
          </cell>
        </row>
        <row r="708">
          <cell r="D708" t="str">
            <v/>
          </cell>
          <cell r="F708" t="str">
            <v/>
          </cell>
          <cell r="L708" t="str">
            <v/>
          </cell>
        </row>
        <row r="709">
          <cell r="D709" t="str">
            <v/>
          </cell>
          <cell r="F709" t="str">
            <v/>
          </cell>
          <cell r="L709" t="str">
            <v/>
          </cell>
        </row>
        <row r="710">
          <cell r="D710" t="str">
            <v/>
          </cell>
          <cell r="F710" t="str">
            <v/>
          </cell>
          <cell r="L710" t="str">
            <v/>
          </cell>
        </row>
        <row r="711">
          <cell r="D711" t="str">
            <v/>
          </cell>
          <cell r="F711" t="str">
            <v/>
          </cell>
          <cell r="L711" t="str">
            <v/>
          </cell>
        </row>
        <row r="712">
          <cell r="D712" t="str">
            <v/>
          </cell>
          <cell r="F712" t="str">
            <v/>
          </cell>
          <cell r="L712" t="str">
            <v/>
          </cell>
        </row>
        <row r="713">
          <cell r="D713" t="str">
            <v/>
          </cell>
          <cell r="F713" t="str">
            <v/>
          </cell>
          <cell r="L713" t="str">
            <v/>
          </cell>
        </row>
        <row r="714">
          <cell r="D714" t="str">
            <v/>
          </cell>
          <cell r="F714" t="str">
            <v/>
          </cell>
          <cell r="L714" t="str">
            <v/>
          </cell>
        </row>
        <row r="715">
          <cell r="D715" t="str">
            <v/>
          </cell>
          <cell r="F715" t="str">
            <v/>
          </cell>
          <cell r="L715" t="str">
            <v/>
          </cell>
        </row>
        <row r="716">
          <cell r="D716" t="str">
            <v/>
          </cell>
          <cell r="F716" t="str">
            <v/>
          </cell>
          <cell r="L716" t="str">
            <v/>
          </cell>
        </row>
        <row r="717">
          <cell r="D717" t="str">
            <v/>
          </cell>
          <cell r="F717" t="str">
            <v/>
          </cell>
          <cell r="L717" t="str">
            <v/>
          </cell>
        </row>
        <row r="718">
          <cell r="D718" t="str">
            <v/>
          </cell>
          <cell r="F718" t="str">
            <v/>
          </cell>
          <cell r="L718" t="str">
            <v/>
          </cell>
        </row>
        <row r="719">
          <cell r="D719" t="str">
            <v/>
          </cell>
          <cell r="F719" t="str">
            <v/>
          </cell>
          <cell r="L719" t="str">
            <v/>
          </cell>
        </row>
        <row r="720">
          <cell r="D720" t="str">
            <v/>
          </cell>
          <cell r="F720" t="str">
            <v/>
          </cell>
          <cell r="L720" t="str">
            <v/>
          </cell>
        </row>
        <row r="721">
          <cell r="D721" t="str">
            <v/>
          </cell>
          <cell r="F721" t="str">
            <v/>
          </cell>
          <cell r="L721" t="str">
            <v/>
          </cell>
        </row>
        <row r="722">
          <cell r="D722" t="str">
            <v/>
          </cell>
          <cell r="F722" t="str">
            <v/>
          </cell>
          <cell r="L722" t="str">
            <v/>
          </cell>
        </row>
        <row r="723">
          <cell r="D723" t="str">
            <v/>
          </cell>
          <cell r="F723" t="str">
            <v/>
          </cell>
          <cell r="L723" t="str">
            <v/>
          </cell>
        </row>
        <row r="724">
          <cell r="D724" t="str">
            <v/>
          </cell>
          <cell r="F724" t="str">
            <v/>
          </cell>
          <cell r="L724" t="str">
            <v/>
          </cell>
        </row>
        <row r="725">
          <cell r="D725" t="str">
            <v/>
          </cell>
          <cell r="F725" t="str">
            <v/>
          </cell>
          <cell r="L725" t="str">
            <v/>
          </cell>
        </row>
        <row r="726">
          <cell r="D726" t="str">
            <v/>
          </cell>
          <cell r="F726" t="str">
            <v/>
          </cell>
          <cell r="L726" t="str">
            <v/>
          </cell>
        </row>
        <row r="727">
          <cell r="D727" t="str">
            <v/>
          </cell>
          <cell r="F727" t="str">
            <v/>
          </cell>
          <cell r="L727" t="str">
            <v/>
          </cell>
        </row>
        <row r="728">
          <cell r="D728" t="str">
            <v/>
          </cell>
          <cell r="F728" t="str">
            <v/>
          </cell>
          <cell r="L728" t="str">
            <v/>
          </cell>
        </row>
        <row r="729">
          <cell r="D729" t="str">
            <v/>
          </cell>
          <cell r="F729" t="str">
            <v/>
          </cell>
          <cell r="L729" t="str">
            <v/>
          </cell>
        </row>
        <row r="730">
          <cell r="D730" t="str">
            <v/>
          </cell>
          <cell r="F730" t="str">
            <v/>
          </cell>
          <cell r="L730" t="str">
            <v/>
          </cell>
        </row>
        <row r="731">
          <cell r="D731" t="str">
            <v/>
          </cell>
          <cell r="F731" t="str">
            <v/>
          </cell>
          <cell r="L731" t="str">
            <v/>
          </cell>
        </row>
        <row r="732">
          <cell r="D732" t="str">
            <v/>
          </cell>
          <cell r="F732" t="str">
            <v/>
          </cell>
          <cell r="L732" t="str">
            <v/>
          </cell>
        </row>
        <row r="733">
          <cell r="D733" t="str">
            <v/>
          </cell>
          <cell r="F733" t="str">
            <v/>
          </cell>
          <cell r="L733" t="str">
            <v/>
          </cell>
        </row>
        <row r="734">
          <cell r="D734" t="str">
            <v/>
          </cell>
          <cell r="F734" t="str">
            <v/>
          </cell>
          <cell r="L734" t="str">
            <v/>
          </cell>
        </row>
        <row r="735">
          <cell r="D735" t="str">
            <v/>
          </cell>
          <cell r="F735" t="str">
            <v/>
          </cell>
          <cell r="L735" t="str">
            <v/>
          </cell>
        </row>
        <row r="736">
          <cell r="D736" t="str">
            <v/>
          </cell>
          <cell r="F736" t="str">
            <v/>
          </cell>
          <cell r="L736" t="str">
            <v/>
          </cell>
        </row>
        <row r="737">
          <cell r="D737" t="str">
            <v/>
          </cell>
          <cell r="F737" t="str">
            <v/>
          </cell>
          <cell r="L737" t="str">
            <v/>
          </cell>
        </row>
        <row r="738">
          <cell r="D738" t="str">
            <v/>
          </cell>
          <cell r="F738" t="str">
            <v/>
          </cell>
          <cell r="L738" t="str">
            <v/>
          </cell>
        </row>
        <row r="739">
          <cell r="D739" t="str">
            <v/>
          </cell>
          <cell r="F739" t="str">
            <v/>
          </cell>
          <cell r="L739" t="str">
            <v/>
          </cell>
        </row>
        <row r="740">
          <cell r="D740" t="str">
            <v/>
          </cell>
          <cell r="F740" t="str">
            <v/>
          </cell>
          <cell r="L740" t="str">
            <v/>
          </cell>
        </row>
        <row r="741">
          <cell r="D741" t="str">
            <v/>
          </cell>
          <cell r="F741" t="str">
            <v/>
          </cell>
          <cell r="L741" t="str">
            <v/>
          </cell>
        </row>
        <row r="742">
          <cell r="D742" t="str">
            <v/>
          </cell>
          <cell r="F742" t="str">
            <v/>
          </cell>
          <cell r="L742" t="str">
            <v/>
          </cell>
        </row>
        <row r="743">
          <cell r="D743" t="str">
            <v/>
          </cell>
          <cell r="F743" t="str">
            <v/>
          </cell>
          <cell r="L743" t="str">
            <v/>
          </cell>
        </row>
        <row r="744">
          <cell r="D744" t="str">
            <v/>
          </cell>
          <cell r="F744" t="str">
            <v/>
          </cell>
          <cell r="L744" t="str">
            <v/>
          </cell>
        </row>
        <row r="745">
          <cell r="D745" t="str">
            <v/>
          </cell>
          <cell r="F745" t="str">
            <v/>
          </cell>
          <cell r="L745" t="str">
            <v/>
          </cell>
        </row>
        <row r="746">
          <cell r="D746" t="str">
            <v/>
          </cell>
          <cell r="F746" t="str">
            <v/>
          </cell>
          <cell r="L746" t="str">
            <v/>
          </cell>
        </row>
        <row r="747">
          <cell r="D747" t="str">
            <v/>
          </cell>
          <cell r="F747" t="str">
            <v/>
          </cell>
          <cell r="L747" t="str">
            <v/>
          </cell>
        </row>
        <row r="748">
          <cell r="D748" t="str">
            <v/>
          </cell>
          <cell r="F748" t="str">
            <v/>
          </cell>
          <cell r="L748" t="str">
            <v/>
          </cell>
        </row>
        <row r="749">
          <cell r="D749" t="str">
            <v/>
          </cell>
          <cell r="F749" t="str">
            <v/>
          </cell>
          <cell r="L749" t="str">
            <v/>
          </cell>
        </row>
        <row r="750">
          <cell r="D750" t="str">
            <v/>
          </cell>
          <cell r="F750" t="str">
            <v/>
          </cell>
          <cell r="L750" t="str">
            <v/>
          </cell>
        </row>
        <row r="751">
          <cell r="D751" t="str">
            <v/>
          </cell>
          <cell r="F751" t="str">
            <v/>
          </cell>
          <cell r="L751" t="str">
            <v/>
          </cell>
        </row>
        <row r="752">
          <cell r="D752" t="str">
            <v/>
          </cell>
          <cell r="F752" t="str">
            <v/>
          </cell>
          <cell r="L752" t="str">
            <v/>
          </cell>
        </row>
        <row r="753">
          <cell r="D753" t="str">
            <v/>
          </cell>
          <cell r="F753" t="str">
            <v/>
          </cell>
          <cell r="L753" t="str">
            <v/>
          </cell>
        </row>
        <row r="754">
          <cell r="D754" t="str">
            <v/>
          </cell>
          <cell r="F754" t="str">
            <v/>
          </cell>
          <cell r="L754" t="str">
            <v/>
          </cell>
        </row>
        <row r="755">
          <cell r="D755" t="str">
            <v/>
          </cell>
          <cell r="F755" t="str">
            <v/>
          </cell>
          <cell r="L755" t="str">
            <v/>
          </cell>
        </row>
        <row r="756">
          <cell r="D756" t="str">
            <v/>
          </cell>
          <cell r="F756" t="str">
            <v/>
          </cell>
          <cell r="L756" t="str">
            <v/>
          </cell>
        </row>
        <row r="757">
          <cell r="D757" t="str">
            <v/>
          </cell>
          <cell r="F757" t="str">
            <v/>
          </cell>
          <cell r="L757" t="str">
            <v/>
          </cell>
        </row>
        <row r="758">
          <cell r="D758" t="str">
            <v/>
          </cell>
          <cell r="F758" t="str">
            <v/>
          </cell>
          <cell r="L758" t="str">
            <v/>
          </cell>
        </row>
        <row r="759">
          <cell r="D759" t="str">
            <v/>
          </cell>
          <cell r="F759" t="str">
            <v/>
          </cell>
          <cell r="L759" t="str">
            <v/>
          </cell>
        </row>
        <row r="760">
          <cell r="D760" t="str">
            <v/>
          </cell>
          <cell r="F760" t="str">
            <v/>
          </cell>
          <cell r="L760" t="str">
            <v/>
          </cell>
        </row>
        <row r="761">
          <cell r="D761" t="str">
            <v/>
          </cell>
          <cell r="F761" t="str">
            <v/>
          </cell>
          <cell r="L761" t="str">
            <v/>
          </cell>
        </row>
        <row r="762">
          <cell r="D762" t="str">
            <v/>
          </cell>
          <cell r="F762" t="str">
            <v/>
          </cell>
          <cell r="L762" t="str">
            <v/>
          </cell>
        </row>
        <row r="763">
          <cell r="D763" t="str">
            <v/>
          </cell>
          <cell r="F763" t="str">
            <v/>
          </cell>
          <cell r="L763" t="str">
            <v/>
          </cell>
        </row>
        <row r="764">
          <cell r="D764" t="str">
            <v/>
          </cell>
          <cell r="F764" t="str">
            <v/>
          </cell>
          <cell r="L764" t="str">
            <v/>
          </cell>
        </row>
        <row r="765">
          <cell r="D765" t="str">
            <v/>
          </cell>
          <cell r="F765" t="str">
            <v/>
          </cell>
          <cell r="L765" t="str">
            <v/>
          </cell>
        </row>
        <row r="766">
          <cell r="D766" t="str">
            <v/>
          </cell>
          <cell r="F766" t="str">
            <v/>
          </cell>
          <cell r="L766" t="str">
            <v/>
          </cell>
        </row>
        <row r="767">
          <cell r="D767" t="str">
            <v/>
          </cell>
          <cell r="F767" t="str">
            <v/>
          </cell>
          <cell r="L767" t="str">
            <v/>
          </cell>
        </row>
        <row r="768">
          <cell r="D768" t="str">
            <v/>
          </cell>
          <cell r="F768" t="str">
            <v/>
          </cell>
          <cell r="L768" t="str">
            <v/>
          </cell>
        </row>
        <row r="769">
          <cell r="D769" t="str">
            <v/>
          </cell>
          <cell r="F769" t="str">
            <v/>
          </cell>
          <cell r="L769" t="str">
            <v/>
          </cell>
        </row>
        <row r="770">
          <cell r="D770" t="str">
            <v/>
          </cell>
          <cell r="F770" t="str">
            <v/>
          </cell>
          <cell r="L770" t="str">
            <v/>
          </cell>
        </row>
        <row r="771">
          <cell r="D771" t="str">
            <v/>
          </cell>
          <cell r="F771" t="str">
            <v/>
          </cell>
          <cell r="L771" t="str">
            <v/>
          </cell>
        </row>
        <row r="772">
          <cell r="D772" t="str">
            <v/>
          </cell>
          <cell r="F772" t="str">
            <v/>
          </cell>
          <cell r="L772" t="str">
            <v/>
          </cell>
        </row>
        <row r="773">
          <cell r="D773" t="str">
            <v/>
          </cell>
          <cell r="F773" t="str">
            <v/>
          </cell>
          <cell r="L773" t="str">
            <v/>
          </cell>
        </row>
        <row r="774">
          <cell r="D774" t="str">
            <v/>
          </cell>
          <cell r="F774" t="str">
            <v/>
          </cell>
          <cell r="L774" t="str">
            <v/>
          </cell>
        </row>
        <row r="775">
          <cell r="D775" t="str">
            <v/>
          </cell>
          <cell r="F775" t="str">
            <v/>
          </cell>
          <cell r="L775" t="str">
            <v/>
          </cell>
        </row>
        <row r="776">
          <cell r="D776" t="str">
            <v/>
          </cell>
          <cell r="F776" t="str">
            <v/>
          </cell>
          <cell r="L776" t="str">
            <v/>
          </cell>
        </row>
        <row r="777">
          <cell r="D777" t="str">
            <v/>
          </cell>
          <cell r="F777" t="str">
            <v/>
          </cell>
          <cell r="L777" t="str">
            <v/>
          </cell>
        </row>
        <row r="778">
          <cell r="D778" t="str">
            <v/>
          </cell>
          <cell r="F778" t="str">
            <v/>
          </cell>
          <cell r="L778" t="str">
            <v/>
          </cell>
        </row>
        <row r="779">
          <cell r="D779" t="str">
            <v/>
          </cell>
          <cell r="F779" t="str">
            <v/>
          </cell>
          <cell r="L779" t="str">
            <v/>
          </cell>
        </row>
        <row r="780">
          <cell r="D780" t="str">
            <v/>
          </cell>
          <cell r="F780" t="str">
            <v/>
          </cell>
          <cell r="L780" t="str">
            <v/>
          </cell>
        </row>
        <row r="781">
          <cell r="D781" t="str">
            <v/>
          </cell>
          <cell r="F781" t="str">
            <v/>
          </cell>
          <cell r="L781" t="str">
            <v/>
          </cell>
        </row>
        <row r="782">
          <cell r="D782" t="str">
            <v/>
          </cell>
          <cell r="F782" t="str">
            <v/>
          </cell>
          <cell r="L782" t="str">
            <v/>
          </cell>
        </row>
        <row r="783">
          <cell r="D783" t="str">
            <v/>
          </cell>
          <cell r="F783" t="str">
            <v/>
          </cell>
          <cell r="L783" t="str">
            <v/>
          </cell>
        </row>
        <row r="784">
          <cell r="D784" t="str">
            <v/>
          </cell>
          <cell r="F784" t="str">
            <v/>
          </cell>
          <cell r="L784" t="str">
            <v/>
          </cell>
        </row>
        <row r="785">
          <cell r="D785" t="str">
            <v/>
          </cell>
          <cell r="F785" t="str">
            <v/>
          </cell>
          <cell r="L785" t="str">
            <v/>
          </cell>
        </row>
        <row r="786">
          <cell r="D786" t="str">
            <v/>
          </cell>
          <cell r="F786" t="str">
            <v/>
          </cell>
          <cell r="L786" t="str">
            <v/>
          </cell>
        </row>
        <row r="787">
          <cell r="D787" t="str">
            <v/>
          </cell>
          <cell r="F787" t="str">
            <v/>
          </cell>
          <cell r="L787" t="str">
            <v/>
          </cell>
        </row>
        <row r="788">
          <cell r="D788" t="str">
            <v/>
          </cell>
          <cell r="F788" t="str">
            <v/>
          </cell>
          <cell r="L788" t="str">
            <v/>
          </cell>
        </row>
        <row r="789">
          <cell r="D789" t="str">
            <v/>
          </cell>
          <cell r="F789" t="str">
            <v/>
          </cell>
          <cell r="L789" t="str">
            <v/>
          </cell>
        </row>
        <row r="790">
          <cell r="D790" t="str">
            <v/>
          </cell>
          <cell r="F790" t="str">
            <v/>
          </cell>
          <cell r="L790" t="str">
            <v/>
          </cell>
        </row>
        <row r="791">
          <cell r="D791" t="str">
            <v/>
          </cell>
          <cell r="F791" t="str">
            <v/>
          </cell>
          <cell r="L791" t="str">
            <v/>
          </cell>
        </row>
        <row r="792">
          <cell r="D792" t="str">
            <v/>
          </cell>
          <cell r="F792" t="str">
            <v/>
          </cell>
          <cell r="L792" t="str">
            <v/>
          </cell>
        </row>
        <row r="793">
          <cell r="D793" t="str">
            <v/>
          </cell>
          <cell r="F793" t="str">
            <v/>
          </cell>
          <cell r="L793" t="str">
            <v/>
          </cell>
        </row>
        <row r="794">
          <cell r="D794" t="str">
            <v/>
          </cell>
          <cell r="F794" t="str">
            <v/>
          </cell>
          <cell r="L794" t="str">
            <v/>
          </cell>
        </row>
        <row r="795">
          <cell r="D795" t="str">
            <v/>
          </cell>
          <cell r="F795" t="str">
            <v/>
          </cell>
          <cell r="L795" t="str">
            <v/>
          </cell>
        </row>
        <row r="796">
          <cell r="D796" t="str">
            <v/>
          </cell>
          <cell r="F796" t="str">
            <v/>
          </cell>
          <cell r="L796" t="str">
            <v/>
          </cell>
        </row>
        <row r="797">
          <cell r="D797" t="str">
            <v/>
          </cell>
          <cell r="F797" t="str">
            <v/>
          </cell>
          <cell r="L797" t="str">
            <v/>
          </cell>
        </row>
        <row r="798">
          <cell r="D798" t="str">
            <v/>
          </cell>
          <cell r="F798" t="str">
            <v/>
          </cell>
          <cell r="L798" t="str">
            <v/>
          </cell>
        </row>
        <row r="799">
          <cell r="D799" t="str">
            <v/>
          </cell>
          <cell r="F799" t="str">
            <v/>
          </cell>
          <cell r="L799" t="str">
            <v/>
          </cell>
        </row>
        <row r="800">
          <cell r="D800" t="str">
            <v/>
          </cell>
          <cell r="F800" t="str">
            <v/>
          </cell>
          <cell r="L800" t="str">
            <v/>
          </cell>
        </row>
        <row r="801">
          <cell r="D801" t="str">
            <v/>
          </cell>
          <cell r="F801" t="str">
            <v/>
          </cell>
          <cell r="L801" t="str">
            <v/>
          </cell>
        </row>
        <row r="802">
          <cell r="D802" t="str">
            <v/>
          </cell>
          <cell r="F802" t="str">
            <v/>
          </cell>
          <cell r="L802" t="str">
            <v/>
          </cell>
        </row>
        <row r="803">
          <cell r="D803" t="str">
            <v/>
          </cell>
          <cell r="F803" t="str">
            <v/>
          </cell>
          <cell r="L803" t="str">
            <v/>
          </cell>
        </row>
        <row r="804">
          <cell r="D804" t="str">
            <v/>
          </cell>
          <cell r="F804" t="str">
            <v/>
          </cell>
          <cell r="L804" t="str">
            <v/>
          </cell>
        </row>
        <row r="805">
          <cell r="D805" t="str">
            <v/>
          </cell>
          <cell r="F805" t="str">
            <v/>
          </cell>
          <cell r="L805" t="str">
            <v/>
          </cell>
        </row>
        <row r="806">
          <cell r="D806" t="str">
            <v/>
          </cell>
          <cell r="F806" t="str">
            <v/>
          </cell>
          <cell r="L806" t="str">
            <v/>
          </cell>
        </row>
        <row r="807">
          <cell r="D807" t="str">
            <v/>
          </cell>
          <cell r="F807" t="str">
            <v/>
          </cell>
          <cell r="L807" t="str">
            <v/>
          </cell>
        </row>
        <row r="808">
          <cell r="D808" t="str">
            <v/>
          </cell>
          <cell r="F808" t="str">
            <v/>
          </cell>
          <cell r="L808" t="str">
            <v/>
          </cell>
        </row>
        <row r="809">
          <cell r="D809" t="str">
            <v/>
          </cell>
          <cell r="F809" t="str">
            <v/>
          </cell>
          <cell r="L809" t="str">
            <v/>
          </cell>
        </row>
        <row r="810">
          <cell r="D810" t="str">
            <v/>
          </cell>
          <cell r="F810" t="str">
            <v/>
          </cell>
          <cell r="L810" t="str">
            <v/>
          </cell>
        </row>
        <row r="811">
          <cell r="D811" t="str">
            <v/>
          </cell>
          <cell r="F811" t="str">
            <v/>
          </cell>
          <cell r="L811" t="str">
            <v/>
          </cell>
        </row>
        <row r="812">
          <cell r="D812" t="str">
            <v/>
          </cell>
          <cell r="F812" t="str">
            <v/>
          </cell>
          <cell r="L812" t="str">
            <v/>
          </cell>
        </row>
        <row r="813">
          <cell r="D813" t="str">
            <v/>
          </cell>
          <cell r="F813" t="str">
            <v/>
          </cell>
          <cell r="L813" t="str">
            <v/>
          </cell>
        </row>
        <row r="814">
          <cell r="D814" t="str">
            <v/>
          </cell>
          <cell r="F814" t="str">
            <v/>
          </cell>
          <cell r="L814" t="str">
            <v/>
          </cell>
        </row>
        <row r="815">
          <cell r="D815" t="str">
            <v/>
          </cell>
          <cell r="F815" t="str">
            <v/>
          </cell>
          <cell r="L815" t="str">
            <v/>
          </cell>
        </row>
        <row r="816">
          <cell r="D816" t="str">
            <v/>
          </cell>
          <cell r="F816" t="str">
            <v/>
          </cell>
          <cell r="L816" t="str">
            <v/>
          </cell>
        </row>
        <row r="817">
          <cell r="D817" t="str">
            <v/>
          </cell>
          <cell r="F817" t="str">
            <v/>
          </cell>
          <cell r="L817" t="str">
            <v/>
          </cell>
        </row>
        <row r="818">
          <cell r="D818" t="str">
            <v/>
          </cell>
          <cell r="F818" t="str">
            <v/>
          </cell>
          <cell r="L818" t="str">
            <v/>
          </cell>
        </row>
        <row r="819">
          <cell r="D819" t="str">
            <v/>
          </cell>
          <cell r="F819" t="str">
            <v/>
          </cell>
          <cell r="L819" t="str">
            <v/>
          </cell>
        </row>
        <row r="820">
          <cell r="D820" t="str">
            <v/>
          </cell>
          <cell r="F820" t="str">
            <v/>
          </cell>
          <cell r="L820" t="str">
            <v/>
          </cell>
        </row>
        <row r="821">
          <cell r="D821" t="str">
            <v/>
          </cell>
          <cell r="F821" t="str">
            <v/>
          </cell>
          <cell r="L821" t="str">
            <v/>
          </cell>
        </row>
        <row r="822">
          <cell r="D822" t="str">
            <v/>
          </cell>
          <cell r="F822" t="str">
            <v/>
          </cell>
          <cell r="L822" t="str">
            <v/>
          </cell>
        </row>
        <row r="823">
          <cell r="D823" t="str">
            <v/>
          </cell>
          <cell r="F823" t="str">
            <v/>
          </cell>
          <cell r="L823" t="str">
            <v/>
          </cell>
        </row>
        <row r="824">
          <cell r="D824" t="str">
            <v/>
          </cell>
          <cell r="F824" t="str">
            <v/>
          </cell>
          <cell r="L824" t="str">
            <v/>
          </cell>
        </row>
        <row r="825">
          <cell r="D825" t="str">
            <v/>
          </cell>
          <cell r="F825" t="str">
            <v/>
          </cell>
          <cell r="L825" t="str">
            <v/>
          </cell>
        </row>
        <row r="826">
          <cell r="D826" t="str">
            <v/>
          </cell>
          <cell r="F826" t="str">
            <v/>
          </cell>
          <cell r="L826" t="str">
            <v/>
          </cell>
        </row>
        <row r="827">
          <cell r="D827" t="str">
            <v/>
          </cell>
          <cell r="F827" t="str">
            <v/>
          </cell>
          <cell r="L827" t="str">
            <v/>
          </cell>
        </row>
        <row r="828">
          <cell r="D828" t="str">
            <v/>
          </cell>
          <cell r="F828" t="str">
            <v/>
          </cell>
          <cell r="L828" t="str">
            <v/>
          </cell>
        </row>
        <row r="829">
          <cell r="D829" t="str">
            <v/>
          </cell>
          <cell r="F829" t="str">
            <v/>
          </cell>
          <cell r="L829" t="str">
            <v/>
          </cell>
        </row>
        <row r="830">
          <cell r="D830" t="str">
            <v/>
          </cell>
          <cell r="F830" t="str">
            <v/>
          </cell>
          <cell r="L830" t="str">
            <v/>
          </cell>
        </row>
        <row r="831">
          <cell r="D831" t="str">
            <v/>
          </cell>
          <cell r="F831" t="str">
            <v/>
          </cell>
          <cell r="L831" t="str">
            <v/>
          </cell>
        </row>
        <row r="832">
          <cell r="D832" t="str">
            <v/>
          </cell>
          <cell r="F832" t="str">
            <v/>
          </cell>
          <cell r="L832" t="str">
            <v/>
          </cell>
        </row>
        <row r="833">
          <cell r="D833" t="str">
            <v/>
          </cell>
          <cell r="F833" t="str">
            <v/>
          </cell>
          <cell r="L833" t="str">
            <v/>
          </cell>
        </row>
        <row r="834">
          <cell r="D834" t="str">
            <v/>
          </cell>
          <cell r="F834" t="str">
            <v/>
          </cell>
          <cell r="L834" t="str">
            <v/>
          </cell>
        </row>
        <row r="835">
          <cell r="D835" t="str">
            <v/>
          </cell>
          <cell r="F835" t="str">
            <v/>
          </cell>
          <cell r="L835" t="str">
            <v/>
          </cell>
        </row>
        <row r="836">
          <cell r="D836" t="str">
            <v/>
          </cell>
          <cell r="F836" t="str">
            <v/>
          </cell>
          <cell r="L836" t="str">
            <v/>
          </cell>
        </row>
        <row r="837">
          <cell r="D837" t="str">
            <v/>
          </cell>
          <cell r="F837" t="str">
            <v/>
          </cell>
          <cell r="L837" t="str">
            <v/>
          </cell>
        </row>
        <row r="838">
          <cell r="D838" t="str">
            <v/>
          </cell>
          <cell r="F838" t="str">
            <v/>
          </cell>
          <cell r="L838" t="str">
            <v/>
          </cell>
        </row>
        <row r="839">
          <cell r="D839" t="str">
            <v/>
          </cell>
          <cell r="F839" t="str">
            <v/>
          </cell>
          <cell r="L839" t="str">
            <v/>
          </cell>
        </row>
        <row r="840">
          <cell r="D840" t="str">
            <v/>
          </cell>
          <cell r="F840" t="str">
            <v/>
          </cell>
          <cell r="L840" t="str">
            <v/>
          </cell>
        </row>
        <row r="841">
          <cell r="D841" t="str">
            <v/>
          </cell>
          <cell r="F841" t="str">
            <v/>
          </cell>
          <cell r="L841" t="str">
            <v/>
          </cell>
        </row>
        <row r="842">
          <cell r="D842" t="str">
            <v/>
          </cell>
          <cell r="F842" t="str">
            <v/>
          </cell>
          <cell r="L842" t="str">
            <v/>
          </cell>
        </row>
        <row r="843">
          <cell r="D843" t="str">
            <v/>
          </cell>
          <cell r="F843" t="str">
            <v/>
          </cell>
          <cell r="L843" t="str">
            <v/>
          </cell>
        </row>
        <row r="844">
          <cell r="D844" t="str">
            <v/>
          </cell>
          <cell r="F844" t="str">
            <v/>
          </cell>
          <cell r="L844" t="str">
            <v/>
          </cell>
        </row>
        <row r="845">
          <cell r="D845" t="str">
            <v/>
          </cell>
          <cell r="F845" t="str">
            <v/>
          </cell>
          <cell r="L845" t="str">
            <v/>
          </cell>
        </row>
        <row r="846">
          <cell r="D846" t="str">
            <v/>
          </cell>
          <cell r="F846" t="str">
            <v/>
          </cell>
          <cell r="L846" t="str">
            <v/>
          </cell>
        </row>
        <row r="847">
          <cell r="D847" t="str">
            <v/>
          </cell>
          <cell r="F847" t="str">
            <v/>
          </cell>
          <cell r="L847" t="str">
            <v/>
          </cell>
        </row>
        <row r="848">
          <cell r="D848" t="str">
            <v/>
          </cell>
          <cell r="F848" t="str">
            <v/>
          </cell>
          <cell r="L848" t="str">
            <v/>
          </cell>
        </row>
        <row r="849">
          <cell r="D849" t="str">
            <v/>
          </cell>
          <cell r="F849" t="str">
            <v/>
          </cell>
          <cell r="L849" t="str">
            <v/>
          </cell>
        </row>
        <row r="850">
          <cell r="D850" t="str">
            <v/>
          </cell>
          <cell r="F850" t="str">
            <v/>
          </cell>
          <cell r="L850" t="str">
            <v/>
          </cell>
        </row>
        <row r="851">
          <cell r="D851" t="str">
            <v/>
          </cell>
          <cell r="F851" t="str">
            <v/>
          </cell>
          <cell r="L851" t="str">
            <v/>
          </cell>
        </row>
        <row r="852">
          <cell r="D852" t="str">
            <v/>
          </cell>
          <cell r="F852" t="str">
            <v/>
          </cell>
          <cell r="L852" t="str">
            <v/>
          </cell>
        </row>
        <row r="853">
          <cell r="D853" t="str">
            <v/>
          </cell>
          <cell r="F853" t="str">
            <v/>
          </cell>
          <cell r="L853" t="str">
            <v/>
          </cell>
        </row>
        <row r="854">
          <cell r="D854" t="str">
            <v/>
          </cell>
          <cell r="F854" t="str">
            <v/>
          </cell>
          <cell r="L854" t="str">
            <v/>
          </cell>
        </row>
        <row r="855">
          <cell r="D855" t="str">
            <v/>
          </cell>
          <cell r="F855" t="str">
            <v/>
          </cell>
          <cell r="L855" t="str">
            <v/>
          </cell>
        </row>
        <row r="856">
          <cell r="D856" t="str">
            <v/>
          </cell>
          <cell r="F856" t="str">
            <v/>
          </cell>
          <cell r="L856" t="str">
            <v/>
          </cell>
        </row>
        <row r="857">
          <cell r="D857" t="str">
            <v/>
          </cell>
          <cell r="F857" t="str">
            <v/>
          </cell>
          <cell r="L857" t="str">
            <v/>
          </cell>
        </row>
        <row r="858">
          <cell r="D858" t="str">
            <v/>
          </cell>
          <cell r="F858" t="str">
            <v/>
          </cell>
          <cell r="L858" t="str">
            <v/>
          </cell>
        </row>
        <row r="859">
          <cell r="D859" t="str">
            <v/>
          </cell>
          <cell r="F859" t="str">
            <v/>
          </cell>
          <cell r="L859" t="str">
            <v/>
          </cell>
        </row>
        <row r="860">
          <cell r="D860" t="str">
            <v/>
          </cell>
          <cell r="F860" t="str">
            <v/>
          </cell>
          <cell r="L860" t="str">
            <v/>
          </cell>
        </row>
        <row r="861">
          <cell r="D861" t="str">
            <v/>
          </cell>
          <cell r="F861" t="str">
            <v/>
          </cell>
          <cell r="L861" t="str">
            <v/>
          </cell>
        </row>
        <row r="862">
          <cell r="D862" t="str">
            <v/>
          </cell>
          <cell r="F862" t="str">
            <v/>
          </cell>
          <cell r="L862" t="str">
            <v/>
          </cell>
        </row>
        <row r="863">
          <cell r="D863" t="str">
            <v/>
          </cell>
          <cell r="F863" t="str">
            <v/>
          </cell>
          <cell r="L863" t="str">
            <v/>
          </cell>
        </row>
        <row r="864">
          <cell r="D864" t="str">
            <v/>
          </cell>
          <cell r="F864" t="str">
            <v/>
          </cell>
          <cell r="L864" t="str">
            <v/>
          </cell>
        </row>
        <row r="865">
          <cell r="D865" t="str">
            <v/>
          </cell>
          <cell r="F865" t="str">
            <v/>
          </cell>
          <cell r="L865" t="str">
            <v/>
          </cell>
        </row>
        <row r="866">
          <cell r="D866" t="str">
            <v/>
          </cell>
          <cell r="F866" t="str">
            <v/>
          </cell>
          <cell r="L866" t="str">
            <v/>
          </cell>
        </row>
        <row r="867">
          <cell r="D867" t="str">
            <v/>
          </cell>
          <cell r="F867" t="str">
            <v/>
          </cell>
          <cell r="L867" t="str">
            <v/>
          </cell>
        </row>
        <row r="868">
          <cell r="D868" t="str">
            <v/>
          </cell>
          <cell r="F868" t="str">
            <v/>
          </cell>
          <cell r="L868" t="str">
            <v/>
          </cell>
        </row>
        <row r="869">
          <cell r="D869" t="str">
            <v/>
          </cell>
          <cell r="F869" t="str">
            <v/>
          </cell>
          <cell r="L869" t="str">
            <v/>
          </cell>
        </row>
        <row r="870">
          <cell r="D870" t="str">
            <v/>
          </cell>
          <cell r="F870" t="str">
            <v/>
          </cell>
          <cell r="L870" t="str">
            <v/>
          </cell>
        </row>
        <row r="871">
          <cell r="D871" t="str">
            <v/>
          </cell>
          <cell r="F871" t="str">
            <v/>
          </cell>
          <cell r="L871" t="str">
            <v/>
          </cell>
        </row>
        <row r="872">
          <cell r="D872" t="str">
            <v/>
          </cell>
          <cell r="F872" t="str">
            <v/>
          </cell>
          <cell r="L872" t="str">
            <v/>
          </cell>
        </row>
        <row r="873">
          <cell r="D873" t="str">
            <v/>
          </cell>
          <cell r="F873" t="str">
            <v/>
          </cell>
          <cell r="L873" t="str">
            <v/>
          </cell>
        </row>
        <row r="874">
          <cell r="D874" t="str">
            <v/>
          </cell>
          <cell r="F874" t="str">
            <v/>
          </cell>
          <cell r="L874" t="str">
            <v/>
          </cell>
        </row>
        <row r="875">
          <cell r="D875" t="str">
            <v/>
          </cell>
          <cell r="F875" t="str">
            <v/>
          </cell>
          <cell r="L875" t="str">
            <v/>
          </cell>
        </row>
        <row r="876">
          <cell r="D876" t="str">
            <v/>
          </cell>
          <cell r="F876" t="str">
            <v/>
          </cell>
          <cell r="L876" t="str">
            <v/>
          </cell>
        </row>
        <row r="877">
          <cell r="D877" t="str">
            <v/>
          </cell>
          <cell r="F877" t="str">
            <v/>
          </cell>
          <cell r="L877" t="str">
            <v/>
          </cell>
        </row>
        <row r="878">
          <cell r="D878" t="str">
            <v/>
          </cell>
          <cell r="F878" t="str">
            <v/>
          </cell>
          <cell r="L878" t="str">
            <v/>
          </cell>
        </row>
        <row r="879">
          <cell r="D879" t="str">
            <v/>
          </cell>
          <cell r="F879" t="str">
            <v/>
          </cell>
          <cell r="L879" t="str">
            <v/>
          </cell>
        </row>
        <row r="880">
          <cell r="D880" t="str">
            <v/>
          </cell>
          <cell r="F880" t="str">
            <v/>
          </cell>
          <cell r="L880" t="str">
            <v/>
          </cell>
        </row>
        <row r="881">
          <cell r="D881" t="str">
            <v/>
          </cell>
          <cell r="F881" t="str">
            <v/>
          </cell>
          <cell r="L881" t="str">
            <v/>
          </cell>
        </row>
        <row r="882">
          <cell r="D882" t="str">
            <v/>
          </cell>
          <cell r="F882" t="str">
            <v/>
          </cell>
          <cell r="L882" t="str">
            <v/>
          </cell>
        </row>
        <row r="883">
          <cell r="D883" t="str">
            <v/>
          </cell>
          <cell r="F883" t="str">
            <v/>
          </cell>
          <cell r="L883" t="str">
            <v/>
          </cell>
        </row>
        <row r="884">
          <cell r="D884" t="str">
            <v/>
          </cell>
          <cell r="F884" t="str">
            <v/>
          </cell>
          <cell r="L884" t="str">
            <v/>
          </cell>
        </row>
        <row r="885">
          <cell r="D885" t="str">
            <v/>
          </cell>
          <cell r="F885" t="str">
            <v/>
          </cell>
          <cell r="L885" t="str">
            <v/>
          </cell>
        </row>
        <row r="886">
          <cell r="D886" t="str">
            <v/>
          </cell>
          <cell r="F886" t="str">
            <v/>
          </cell>
          <cell r="L886" t="str">
            <v/>
          </cell>
        </row>
        <row r="887">
          <cell r="D887" t="str">
            <v/>
          </cell>
          <cell r="F887" t="str">
            <v/>
          </cell>
          <cell r="L887" t="str">
            <v/>
          </cell>
        </row>
        <row r="888">
          <cell r="D888" t="str">
            <v/>
          </cell>
          <cell r="F888" t="str">
            <v/>
          </cell>
          <cell r="L888" t="str">
            <v/>
          </cell>
        </row>
        <row r="889">
          <cell r="D889" t="str">
            <v/>
          </cell>
          <cell r="F889" t="str">
            <v/>
          </cell>
          <cell r="L889" t="str">
            <v/>
          </cell>
        </row>
        <row r="890">
          <cell r="D890" t="str">
            <v/>
          </cell>
          <cell r="F890" t="str">
            <v/>
          </cell>
          <cell r="L890" t="str">
            <v/>
          </cell>
        </row>
        <row r="891">
          <cell r="D891" t="str">
            <v/>
          </cell>
          <cell r="F891" t="str">
            <v/>
          </cell>
          <cell r="L891" t="str">
            <v/>
          </cell>
        </row>
        <row r="892">
          <cell r="D892" t="str">
            <v/>
          </cell>
          <cell r="F892" t="str">
            <v/>
          </cell>
          <cell r="L892" t="str">
            <v/>
          </cell>
        </row>
        <row r="893">
          <cell r="D893" t="str">
            <v/>
          </cell>
          <cell r="F893" t="str">
            <v/>
          </cell>
          <cell r="L893" t="str">
            <v/>
          </cell>
        </row>
        <row r="894">
          <cell r="D894" t="str">
            <v/>
          </cell>
          <cell r="F894" t="str">
            <v/>
          </cell>
          <cell r="L894" t="str">
            <v/>
          </cell>
        </row>
        <row r="895">
          <cell r="D895" t="str">
            <v/>
          </cell>
          <cell r="F895" t="str">
            <v/>
          </cell>
          <cell r="L895" t="str">
            <v/>
          </cell>
        </row>
        <row r="896">
          <cell r="D896" t="str">
            <v/>
          </cell>
          <cell r="F896" t="str">
            <v/>
          </cell>
          <cell r="L896" t="str">
            <v/>
          </cell>
        </row>
        <row r="897">
          <cell r="D897" t="str">
            <v/>
          </cell>
          <cell r="F897" t="str">
            <v/>
          </cell>
          <cell r="L897" t="str">
            <v/>
          </cell>
        </row>
        <row r="898">
          <cell r="D898" t="str">
            <v/>
          </cell>
          <cell r="F898" t="str">
            <v/>
          </cell>
          <cell r="L898" t="str">
            <v/>
          </cell>
        </row>
        <row r="899">
          <cell r="D899" t="str">
            <v/>
          </cell>
          <cell r="F899" t="str">
            <v/>
          </cell>
          <cell r="L899" t="str">
            <v/>
          </cell>
        </row>
        <row r="900">
          <cell r="D900" t="str">
            <v/>
          </cell>
          <cell r="F900" t="str">
            <v/>
          </cell>
          <cell r="L900" t="str">
            <v/>
          </cell>
        </row>
        <row r="901">
          <cell r="D901" t="str">
            <v/>
          </cell>
          <cell r="F901" t="str">
            <v/>
          </cell>
          <cell r="L901" t="str">
            <v/>
          </cell>
        </row>
        <row r="902">
          <cell r="D902" t="str">
            <v/>
          </cell>
          <cell r="F902" t="str">
            <v/>
          </cell>
          <cell r="L902" t="str">
            <v/>
          </cell>
        </row>
        <row r="903">
          <cell r="D903" t="str">
            <v/>
          </cell>
          <cell r="F903" t="str">
            <v/>
          </cell>
          <cell r="L903" t="str">
            <v/>
          </cell>
        </row>
        <row r="904">
          <cell r="D904" t="str">
            <v/>
          </cell>
          <cell r="F904" t="str">
            <v/>
          </cell>
          <cell r="L904" t="str">
            <v/>
          </cell>
        </row>
        <row r="905">
          <cell r="D905" t="str">
            <v/>
          </cell>
          <cell r="F905" t="str">
            <v/>
          </cell>
          <cell r="L905" t="str">
            <v/>
          </cell>
        </row>
        <row r="906">
          <cell r="D906" t="str">
            <v/>
          </cell>
          <cell r="F906" t="str">
            <v/>
          </cell>
          <cell r="L906" t="str">
            <v/>
          </cell>
        </row>
        <row r="907">
          <cell r="D907" t="str">
            <v/>
          </cell>
          <cell r="F907" t="str">
            <v/>
          </cell>
          <cell r="L907" t="str">
            <v/>
          </cell>
        </row>
        <row r="908">
          <cell r="D908" t="str">
            <v/>
          </cell>
          <cell r="F908" t="str">
            <v/>
          </cell>
          <cell r="L908" t="str">
            <v/>
          </cell>
        </row>
        <row r="909">
          <cell r="D909" t="str">
            <v/>
          </cell>
          <cell r="F909" t="str">
            <v/>
          </cell>
          <cell r="L909" t="str">
            <v/>
          </cell>
        </row>
        <row r="910">
          <cell r="D910" t="str">
            <v/>
          </cell>
          <cell r="F910" t="str">
            <v/>
          </cell>
          <cell r="L910" t="str">
            <v/>
          </cell>
        </row>
        <row r="911">
          <cell r="D911" t="str">
            <v/>
          </cell>
          <cell r="F911" t="str">
            <v/>
          </cell>
          <cell r="L911" t="str">
            <v/>
          </cell>
        </row>
        <row r="912">
          <cell r="D912" t="str">
            <v/>
          </cell>
          <cell r="F912" t="str">
            <v/>
          </cell>
          <cell r="L912" t="str">
            <v/>
          </cell>
        </row>
        <row r="913">
          <cell r="D913" t="str">
            <v/>
          </cell>
          <cell r="F913" t="str">
            <v/>
          </cell>
          <cell r="L913" t="str">
            <v/>
          </cell>
        </row>
        <row r="914">
          <cell r="D914" t="str">
            <v/>
          </cell>
          <cell r="F914" t="str">
            <v/>
          </cell>
          <cell r="L914" t="str">
            <v/>
          </cell>
        </row>
        <row r="915">
          <cell r="D915" t="str">
            <v/>
          </cell>
          <cell r="F915" t="str">
            <v/>
          </cell>
          <cell r="L915" t="str">
            <v/>
          </cell>
        </row>
        <row r="916">
          <cell r="D916" t="str">
            <v/>
          </cell>
          <cell r="F916" t="str">
            <v/>
          </cell>
          <cell r="L916" t="str">
            <v/>
          </cell>
        </row>
        <row r="917">
          <cell r="D917" t="str">
            <v/>
          </cell>
          <cell r="F917" t="str">
            <v/>
          </cell>
          <cell r="L917" t="str">
            <v/>
          </cell>
        </row>
        <row r="918">
          <cell r="D918" t="str">
            <v/>
          </cell>
          <cell r="F918" t="str">
            <v/>
          </cell>
          <cell r="L918" t="str">
            <v/>
          </cell>
        </row>
        <row r="919">
          <cell r="D919" t="str">
            <v/>
          </cell>
          <cell r="F919" t="str">
            <v/>
          </cell>
          <cell r="L919" t="str">
            <v/>
          </cell>
        </row>
        <row r="920">
          <cell r="D920" t="str">
            <v/>
          </cell>
          <cell r="F920" t="str">
            <v/>
          </cell>
          <cell r="L920" t="str">
            <v/>
          </cell>
        </row>
        <row r="921">
          <cell r="D921" t="str">
            <v/>
          </cell>
          <cell r="F921" t="str">
            <v/>
          </cell>
          <cell r="L921" t="str">
            <v/>
          </cell>
        </row>
        <row r="922">
          <cell r="D922" t="str">
            <v/>
          </cell>
          <cell r="F922" t="str">
            <v/>
          </cell>
          <cell r="L922" t="str">
            <v/>
          </cell>
        </row>
        <row r="923">
          <cell r="D923" t="str">
            <v/>
          </cell>
          <cell r="F923" t="str">
            <v/>
          </cell>
          <cell r="L923" t="str">
            <v/>
          </cell>
        </row>
        <row r="924">
          <cell r="D924" t="str">
            <v/>
          </cell>
          <cell r="F924" t="str">
            <v/>
          </cell>
          <cell r="L924" t="str">
            <v/>
          </cell>
        </row>
        <row r="925">
          <cell r="D925" t="str">
            <v/>
          </cell>
          <cell r="F925" t="str">
            <v/>
          </cell>
          <cell r="L925" t="str">
            <v/>
          </cell>
        </row>
        <row r="926">
          <cell r="D926" t="str">
            <v/>
          </cell>
          <cell r="F926" t="str">
            <v/>
          </cell>
          <cell r="L926" t="str">
            <v/>
          </cell>
        </row>
        <row r="927">
          <cell r="D927" t="str">
            <v/>
          </cell>
          <cell r="F927" t="str">
            <v/>
          </cell>
          <cell r="L927" t="str">
            <v/>
          </cell>
        </row>
        <row r="928">
          <cell r="D928" t="str">
            <v/>
          </cell>
          <cell r="F928" t="str">
            <v/>
          </cell>
          <cell r="L928" t="str">
            <v/>
          </cell>
        </row>
        <row r="929">
          <cell r="D929" t="str">
            <v/>
          </cell>
          <cell r="F929" t="str">
            <v/>
          </cell>
          <cell r="L929" t="str">
            <v/>
          </cell>
        </row>
        <row r="930">
          <cell r="D930" t="str">
            <v/>
          </cell>
          <cell r="F930" t="str">
            <v/>
          </cell>
          <cell r="L930" t="str">
            <v/>
          </cell>
        </row>
        <row r="931">
          <cell r="D931" t="str">
            <v/>
          </cell>
          <cell r="F931" t="str">
            <v/>
          </cell>
          <cell r="L931" t="str">
            <v/>
          </cell>
        </row>
        <row r="932">
          <cell r="D932" t="str">
            <v/>
          </cell>
          <cell r="F932" t="str">
            <v/>
          </cell>
          <cell r="L932" t="str">
            <v/>
          </cell>
        </row>
        <row r="933">
          <cell r="D933" t="str">
            <v/>
          </cell>
          <cell r="F933" t="str">
            <v/>
          </cell>
          <cell r="L933" t="str">
            <v/>
          </cell>
        </row>
        <row r="934">
          <cell r="D934" t="str">
            <v/>
          </cell>
          <cell r="F934" t="str">
            <v/>
          </cell>
          <cell r="L934" t="str">
            <v/>
          </cell>
        </row>
        <row r="935">
          <cell r="D935" t="str">
            <v/>
          </cell>
          <cell r="F935" t="str">
            <v/>
          </cell>
          <cell r="L935" t="str">
            <v/>
          </cell>
        </row>
        <row r="936">
          <cell r="D936" t="str">
            <v/>
          </cell>
          <cell r="F936" t="str">
            <v/>
          </cell>
          <cell r="L936" t="str">
            <v/>
          </cell>
        </row>
        <row r="937">
          <cell r="D937" t="str">
            <v/>
          </cell>
          <cell r="F937" t="str">
            <v/>
          </cell>
          <cell r="L937" t="str">
            <v/>
          </cell>
        </row>
        <row r="938">
          <cell r="D938" t="str">
            <v/>
          </cell>
          <cell r="F938" t="str">
            <v/>
          </cell>
          <cell r="L938" t="str">
            <v/>
          </cell>
        </row>
        <row r="939">
          <cell r="D939" t="str">
            <v/>
          </cell>
          <cell r="F939" t="str">
            <v/>
          </cell>
          <cell r="L939" t="str">
            <v/>
          </cell>
        </row>
        <row r="940">
          <cell r="D940" t="str">
            <v/>
          </cell>
          <cell r="F940" t="str">
            <v/>
          </cell>
          <cell r="L940" t="str">
            <v/>
          </cell>
        </row>
        <row r="941">
          <cell r="D941" t="str">
            <v/>
          </cell>
          <cell r="F941" t="str">
            <v/>
          </cell>
          <cell r="L941" t="str">
            <v/>
          </cell>
        </row>
        <row r="942">
          <cell r="D942" t="str">
            <v/>
          </cell>
          <cell r="F942" t="str">
            <v/>
          </cell>
          <cell r="L942" t="str">
            <v/>
          </cell>
        </row>
        <row r="943">
          <cell r="D943" t="str">
            <v/>
          </cell>
          <cell r="F943" t="str">
            <v/>
          </cell>
          <cell r="L943" t="str">
            <v/>
          </cell>
        </row>
        <row r="944">
          <cell r="D944" t="str">
            <v/>
          </cell>
          <cell r="F944" t="str">
            <v/>
          </cell>
          <cell r="L944" t="str">
            <v/>
          </cell>
        </row>
        <row r="945">
          <cell r="D945" t="str">
            <v/>
          </cell>
          <cell r="F945" t="str">
            <v/>
          </cell>
          <cell r="L945" t="str">
            <v/>
          </cell>
        </row>
        <row r="946">
          <cell r="D946" t="str">
            <v/>
          </cell>
          <cell r="F946" t="str">
            <v/>
          </cell>
          <cell r="L946" t="str">
            <v/>
          </cell>
        </row>
        <row r="947">
          <cell r="D947" t="str">
            <v/>
          </cell>
          <cell r="F947" t="str">
            <v/>
          </cell>
          <cell r="L947" t="str">
            <v/>
          </cell>
        </row>
        <row r="948">
          <cell r="D948" t="str">
            <v/>
          </cell>
          <cell r="F948" t="str">
            <v/>
          </cell>
          <cell r="L948" t="str">
            <v/>
          </cell>
        </row>
        <row r="949">
          <cell r="D949" t="str">
            <v/>
          </cell>
          <cell r="F949" t="str">
            <v/>
          </cell>
          <cell r="L949" t="str">
            <v/>
          </cell>
        </row>
        <row r="950">
          <cell r="D950" t="str">
            <v/>
          </cell>
          <cell r="F950" t="str">
            <v/>
          </cell>
          <cell r="L950" t="str">
            <v/>
          </cell>
        </row>
        <row r="951">
          <cell r="D951" t="str">
            <v/>
          </cell>
          <cell r="F951" t="str">
            <v/>
          </cell>
          <cell r="L951" t="str">
            <v/>
          </cell>
        </row>
        <row r="952">
          <cell r="D952" t="str">
            <v/>
          </cell>
          <cell r="F952" t="str">
            <v/>
          </cell>
          <cell r="L952" t="str">
            <v/>
          </cell>
        </row>
        <row r="953">
          <cell r="D953" t="str">
            <v/>
          </cell>
          <cell r="F953" t="str">
            <v/>
          </cell>
          <cell r="L953" t="str">
            <v/>
          </cell>
        </row>
        <row r="954">
          <cell r="D954" t="str">
            <v/>
          </cell>
          <cell r="F954" t="str">
            <v/>
          </cell>
          <cell r="L954" t="str">
            <v/>
          </cell>
        </row>
        <row r="955">
          <cell r="D955" t="str">
            <v/>
          </cell>
          <cell r="F955" t="str">
            <v/>
          </cell>
          <cell r="L955" t="str">
            <v/>
          </cell>
        </row>
        <row r="956">
          <cell r="D956" t="str">
            <v/>
          </cell>
          <cell r="F956" t="str">
            <v/>
          </cell>
          <cell r="L956" t="str">
            <v/>
          </cell>
        </row>
        <row r="957">
          <cell r="D957" t="str">
            <v/>
          </cell>
          <cell r="F957" t="str">
            <v/>
          </cell>
          <cell r="L957" t="str">
            <v/>
          </cell>
        </row>
        <row r="958">
          <cell r="D958" t="str">
            <v/>
          </cell>
          <cell r="F958" t="str">
            <v/>
          </cell>
          <cell r="L958" t="str">
            <v/>
          </cell>
        </row>
        <row r="959">
          <cell r="D959" t="str">
            <v/>
          </cell>
          <cell r="F959" t="str">
            <v/>
          </cell>
          <cell r="L959" t="str">
            <v/>
          </cell>
        </row>
        <row r="960">
          <cell r="D960" t="str">
            <v/>
          </cell>
          <cell r="F960" t="str">
            <v/>
          </cell>
          <cell r="L960" t="str">
            <v/>
          </cell>
        </row>
        <row r="961">
          <cell r="D961" t="str">
            <v/>
          </cell>
          <cell r="F961" t="str">
            <v/>
          </cell>
          <cell r="L961" t="str">
            <v/>
          </cell>
        </row>
        <row r="962">
          <cell r="D962" t="str">
            <v/>
          </cell>
          <cell r="F962" t="str">
            <v/>
          </cell>
          <cell r="L962" t="str">
            <v/>
          </cell>
        </row>
        <row r="963">
          <cell r="D963" t="str">
            <v/>
          </cell>
          <cell r="F963" t="str">
            <v/>
          </cell>
          <cell r="L963" t="str">
            <v/>
          </cell>
        </row>
        <row r="964">
          <cell r="D964" t="str">
            <v/>
          </cell>
          <cell r="F964" t="str">
            <v/>
          </cell>
          <cell r="L964" t="str">
            <v/>
          </cell>
        </row>
        <row r="965">
          <cell r="D965" t="str">
            <v/>
          </cell>
          <cell r="F965" t="str">
            <v/>
          </cell>
          <cell r="L965" t="str">
            <v/>
          </cell>
        </row>
        <row r="966">
          <cell r="D966" t="str">
            <v/>
          </cell>
          <cell r="F966" t="str">
            <v/>
          </cell>
          <cell r="L966" t="str">
            <v/>
          </cell>
        </row>
        <row r="967">
          <cell r="D967" t="str">
            <v/>
          </cell>
          <cell r="F967" t="str">
            <v/>
          </cell>
          <cell r="L967" t="str">
            <v/>
          </cell>
        </row>
        <row r="968">
          <cell r="D968" t="str">
            <v/>
          </cell>
          <cell r="F968" t="str">
            <v/>
          </cell>
          <cell r="L968" t="str">
            <v/>
          </cell>
        </row>
        <row r="969">
          <cell r="D969" t="str">
            <v/>
          </cell>
          <cell r="F969" t="str">
            <v/>
          </cell>
          <cell r="L969" t="str">
            <v/>
          </cell>
        </row>
        <row r="970">
          <cell r="D970" t="str">
            <v/>
          </cell>
          <cell r="F970" t="str">
            <v/>
          </cell>
          <cell r="L970" t="str">
            <v/>
          </cell>
        </row>
        <row r="971">
          <cell r="D971" t="str">
            <v/>
          </cell>
          <cell r="F971" t="str">
            <v/>
          </cell>
          <cell r="L971" t="str">
            <v/>
          </cell>
        </row>
        <row r="972">
          <cell r="D972" t="str">
            <v/>
          </cell>
          <cell r="F972" t="str">
            <v/>
          </cell>
          <cell r="L972" t="str">
            <v/>
          </cell>
        </row>
        <row r="973">
          <cell r="D973" t="str">
            <v/>
          </cell>
          <cell r="F973" t="str">
            <v/>
          </cell>
          <cell r="L973" t="str">
            <v/>
          </cell>
        </row>
        <row r="974">
          <cell r="D974" t="str">
            <v/>
          </cell>
          <cell r="F974" t="str">
            <v/>
          </cell>
          <cell r="L974" t="str">
            <v/>
          </cell>
        </row>
        <row r="975">
          <cell r="D975" t="str">
            <v/>
          </cell>
          <cell r="F975" t="str">
            <v/>
          </cell>
          <cell r="L975" t="str">
            <v/>
          </cell>
        </row>
        <row r="976">
          <cell r="D976" t="str">
            <v/>
          </cell>
          <cell r="F976" t="str">
            <v/>
          </cell>
          <cell r="L976" t="str">
            <v/>
          </cell>
        </row>
        <row r="977">
          <cell r="D977" t="str">
            <v/>
          </cell>
          <cell r="F977" t="str">
            <v/>
          </cell>
          <cell r="L977" t="str">
            <v/>
          </cell>
        </row>
        <row r="978">
          <cell r="D978" t="str">
            <v/>
          </cell>
          <cell r="F978" t="str">
            <v/>
          </cell>
          <cell r="L978" t="str">
            <v/>
          </cell>
        </row>
        <row r="979">
          <cell r="D979" t="str">
            <v/>
          </cell>
          <cell r="F979" t="str">
            <v/>
          </cell>
          <cell r="L979" t="str">
            <v/>
          </cell>
        </row>
        <row r="980">
          <cell r="D980" t="str">
            <v/>
          </cell>
          <cell r="F980" t="str">
            <v/>
          </cell>
          <cell r="L980" t="str">
            <v/>
          </cell>
        </row>
        <row r="981">
          <cell r="D981" t="str">
            <v/>
          </cell>
          <cell r="F981" t="str">
            <v/>
          </cell>
          <cell r="L981" t="str">
            <v/>
          </cell>
        </row>
        <row r="982">
          <cell r="D982" t="str">
            <v/>
          </cell>
          <cell r="F982" t="str">
            <v/>
          </cell>
          <cell r="L982" t="str">
            <v/>
          </cell>
        </row>
        <row r="983">
          <cell r="D983" t="str">
            <v/>
          </cell>
          <cell r="F983" t="str">
            <v/>
          </cell>
          <cell r="L983" t="str">
            <v/>
          </cell>
        </row>
        <row r="984">
          <cell r="D984" t="str">
            <v/>
          </cell>
          <cell r="F984" t="str">
            <v/>
          </cell>
          <cell r="L984" t="str">
            <v/>
          </cell>
        </row>
        <row r="985">
          <cell r="D985" t="str">
            <v/>
          </cell>
          <cell r="F985" t="str">
            <v/>
          </cell>
          <cell r="L985" t="str">
            <v/>
          </cell>
        </row>
        <row r="986">
          <cell r="D986" t="str">
            <v/>
          </cell>
          <cell r="F986" t="str">
            <v/>
          </cell>
          <cell r="L986" t="str">
            <v/>
          </cell>
        </row>
        <row r="987">
          <cell r="D987" t="str">
            <v/>
          </cell>
          <cell r="F987" t="str">
            <v/>
          </cell>
          <cell r="L987" t="str">
            <v/>
          </cell>
        </row>
        <row r="988">
          <cell r="D988" t="str">
            <v/>
          </cell>
          <cell r="F988" t="str">
            <v/>
          </cell>
          <cell r="L988" t="str">
            <v/>
          </cell>
        </row>
        <row r="989">
          <cell r="D989" t="str">
            <v/>
          </cell>
          <cell r="F989" t="str">
            <v/>
          </cell>
          <cell r="L989" t="str">
            <v/>
          </cell>
        </row>
        <row r="990">
          <cell r="D990" t="str">
            <v/>
          </cell>
          <cell r="F990" t="str">
            <v/>
          </cell>
          <cell r="L990" t="str">
            <v/>
          </cell>
        </row>
        <row r="991">
          <cell r="D991" t="str">
            <v/>
          </cell>
          <cell r="F991" t="str">
            <v/>
          </cell>
          <cell r="L991" t="str">
            <v/>
          </cell>
        </row>
        <row r="992">
          <cell r="D992" t="str">
            <v/>
          </cell>
          <cell r="F992" t="str">
            <v/>
          </cell>
          <cell r="L992" t="str">
            <v/>
          </cell>
        </row>
        <row r="993">
          <cell r="D993" t="str">
            <v/>
          </cell>
          <cell r="F993" t="str">
            <v/>
          </cell>
          <cell r="L993" t="str">
            <v/>
          </cell>
        </row>
        <row r="994">
          <cell r="D994" t="str">
            <v/>
          </cell>
          <cell r="F994" t="str">
            <v/>
          </cell>
          <cell r="L994" t="str">
            <v/>
          </cell>
        </row>
        <row r="995">
          <cell r="D995" t="str">
            <v/>
          </cell>
          <cell r="F995" t="str">
            <v/>
          </cell>
          <cell r="L995" t="str">
            <v/>
          </cell>
        </row>
        <row r="996">
          <cell r="D996" t="str">
            <v/>
          </cell>
          <cell r="F996" t="str">
            <v/>
          </cell>
          <cell r="L996" t="str">
            <v/>
          </cell>
        </row>
        <row r="997">
          <cell r="D997" t="str">
            <v/>
          </cell>
          <cell r="F997" t="str">
            <v/>
          </cell>
          <cell r="L997" t="str">
            <v/>
          </cell>
        </row>
        <row r="998">
          <cell r="D998" t="str">
            <v/>
          </cell>
          <cell r="F998" t="str">
            <v/>
          </cell>
          <cell r="L998" t="str">
            <v/>
          </cell>
        </row>
        <row r="999">
          <cell r="D999" t="str">
            <v/>
          </cell>
          <cell r="F999" t="str">
            <v/>
          </cell>
          <cell r="L999" t="str">
            <v/>
          </cell>
        </row>
        <row r="1000">
          <cell r="D1000" t="str">
            <v/>
          </cell>
          <cell r="F1000" t="str">
            <v/>
          </cell>
          <cell r="L1000" t="str">
            <v/>
          </cell>
        </row>
        <row r="1001">
          <cell r="D1001" t="str">
            <v/>
          </cell>
          <cell r="F1001" t="str">
            <v/>
          </cell>
          <cell r="L1001" t="str">
            <v/>
          </cell>
        </row>
        <row r="1002">
          <cell r="D1002" t="str">
            <v/>
          </cell>
          <cell r="F1002" t="str">
            <v/>
          </cell>
          <cell r="L1002" t="str">
            <v/>
          </cell>
        </row>
        <row r="1003">
          <cell r="D1003" t="str">
            <v/>
          </cell>
          <cell r="F1003" t="str">
            <v/>
          </cell>
          <cell r="L1003" t="str">
            <v/>
          </cell>
        </row>
        <row r="1004">
          <cell r="D1004" t="str">
            <v/>
          </cell>
          <cell r="F1004" t="str">
            <v/>
          </cell>
          <cell r="L1004" t="str">
            <v/>
          </cell>
        </row>
        <row r="1005">
          <cell r="D1005" t="str">
            <v/>
          </cell>
          <cell r="F1005" t="str">
            <v/>
          </cell>
          <cell r="L1005" t="str">
            <v/>
          </cell>
        </row>
      </sheetData>
      <sheetData sheetId="2">
        <row r="41">
          <cell r="B41" t="str">
            <v>[Module (Name)]</v>
          </cell>
        </row>
        <row r="42">
          <cell r="B42" t="str">
            <v>MCI-00000</v>
          </cell>
        </row>
        <row r="43">
          <cell r="B43" t="str">
            <v>MCI-00000</v>
          </cell>
        </row>
        <row r="44">
          <cell r="B44" t="str">
            <v>MCI-00000</v>
          </cell>
        </row>
        <row r="45">
          <cell r="B45" t="str">
            <v>MCI-00000</v>
          </cell>
        </row>
        <row r="46">
          <cell r="B46" t="str">
            <v>MCI-00000</v>
          </cell>
        </row>
        <row r="47">
          <cell r="B47" t="str">
            <v>MCI-00000</v>
          </cell>
        </row>
        <row r="48">
          <cell r="B48" t="str">
            <v>MCI-00000</v>
          </cell>
        </row>
        <row r="49">
          <cell r="B49" t="str">
            <v>MCI-00000</v>
          </cell>
        </row>
        <row r="50">
          <cell r="B50" t="str">
            <v>MCI-00002</v>
          </cell>
        </row>
        <row r="51">
          <cell r="B51" t="str">
            <v>MCI-00002</v>
          </cell>
        </row>
        <row r="52">
          <cell r="B52" t="str">
            <v>MCI-00002</v>
          </cell>
        </row>
        <row r="53">
          <cell r="B53" t="str">
            <v>MCI-00002</v>
          </cell>
        </row>
        <row r="54">
          <cell r="B54" t="str">
            <v>MCI-00002</v>
          </cell>
        </row>
        <row r="55">
          <cell r="B55" t="str">
            <v>MCI-00002</v>
          </cell>
        </row>
        <row r="56">
          <cell r="B56" t="str">
            <v>MCI-00002</v>
          </cell>
        </row>
        <row r="57">
          <cell r="B57" t="str">
            <v>MCI-00002</v>
          </cell>
        </row>
        <row r="58">
          <cell r="B58" t="str">
            <v>MCI-00002</v>
          </cell>
        </row>
        <row r="59">
          <cell r="B59" t="str">
            <v>MCI-00002</v>
          </cell>
        </row>
        <row r="60">
          <cell r="B60" t="str">
            <v>MCI-00002</v>
          </cell>
        </row>
        <row r="61">
          <cell r="B61" t="str">
            <v>MCI-00003</v>
          </cell>
        </row>
        <row r="62">
          <cell r="B62" t="str">
            <v>MCI-00003</v>
          </cell>
        </row>
        <row r="63">
          <cell r="B63" t="str">
            <v>MCI-00003</v>
          </cell>
        </row>
        <row r="64">
          <cell r="B64" t="str">
            <v>MCI-00003</v>
          </cell>
        </row>
        <row r="65">
          <cell r="B65" t="str">
            <v>MCI-00003</v>
          </cell>
        </row>
        <row r="66">
          <cell r="B66" t="str">
            <v>MCI-00003</v>
          </cell>
        </row>
        <row r="67">
          <cell r="B67" t="str">
            <v>MCI-00003</v>
          </cell>
        </row>
        <row r="68">
          <cell r="B68" t="str">
            <v>MCI-00003</v>
          </cell>
        </row>
        <row r="69">
          <cell r="B69" t="str">
            <v>MCI-00003</v>
          </cell>
        </row>
        <row r="70">
          <cell r="B70" t="str">
            <v>MCI-00003</v>
          </cell>
        </row>
        <row r="71">
          <cell r="B71" t="str">
            <v>MCI-00003</v>
          </cell>
        </row>
        <row r="72">
          <cell r="B72" t="str">
            <v>MCI-00003</v>
          </cell>
        </row>
        <row r="73">
          <cell r="B73" t="str">
            <v>MCI-00004</v>
          </cell>
        </row>
        <row r="74">
          <cell r="B74" t="str">
            <v>MCI-00004</v>
          </cell>
        </row>
        <row r="75">
          <cell r="B75" t="str">
            <v>MCI-00004</v>
          </cell>
        </row>
        <row r="76">
          <cell r="B76" t="str">
            <v>MCI-00004</v>
          </cell>
        </row>
        <row r="77">
          <cell r="B77" t="str">
            <v>MCI-00004</v>
          </cell>
        </row>
        <row r="78">
          <cell r="B78" t="str">
            <v>MCI-00005</v>
          </cell>
        </row>
        <row r="79">
          <cell r="B79" t="str">
            <v>MCI-00005</v>
          </cell>
        </row>
        <row r="80">
          <cell r="B80" t="str">
            <v>MCI-00005</v>
          </cell>
        </row>
        <row r="81">
          <cell r="B81" t="str">
            <v>MCI-00005</v>
          </cell>
        </row>
        <row r="82">
          <cell r="B82" t="str">
            <v>MCI-00005</v>
          </cell>
        </row>
        <row r="83">
          <cell r="B83" t="str">
            <v>MCI-00005</v>
          </cell>
        </row>
        <row r="84">
          <cell r="B84" t="str">
            <v>MCI-00005</v>
          </cell>
        </row>
        <row r="85">
          <cell r="B85" t="str">
            <v>MCI-00005</v>
          </cell>
        </row>
        <row r="86">
          <cell r="B86" t="str">
            <v>MCI-00005</v>
          </cell>
        </row>
        <row r="87">
          <cell r="B87" t="str">
            <v>MCI-00005</v>
          </cell>
        </row>
        <row r="88">
          <cell r="B88" t="str">
            <v>MCI-00005</v>
          </cell>
        </row>
        <row r="89">
          <cell r="B89" t="str">
            <v>MCI-00006</v>
          </cell>
        </row>
        <row r="90">
          <cell r="B90" t="str">
            <v>MCI-00006</v>
          </cell>
        </row>
        <row r="91">
          <cell r="B91" t="str">
            <v>MCI-00006</v>
          </cell>
        </row>
        <row r="92">
          <cell r="B92" t="str">
            <v>MCI-00006</v>
          </cell>
        </row>
        <row r="93">
          <cell r="B93" t="str">
            <v>MCI-00006</v>
          </cell>
        </row>
        <row r="94">
          <cell r="B94" t="str">
            <v>MCI-00007</v>
          </cell>
        </row>
        <row r="95">
          <cell r="B95" t="str">
            <v>MCI-00007</v>
          </cell>
        </row>
        <row r="96">
          <cell r="B96" t="str">
            <v>MCI-00007</v>
          </cell>
        </row>
        <row r="97">
          <cell r="B97" t="str">
            <v>MCI-00007</v>
          </cell>
        </row>
        <row r="98">
          <cell r="B98" t="str">
            <v>MCI-00007</v>
          </cell>
        </row>
        <row r="99">
          <cell r="B99" t="str">
            <v>MCI-00007</v>
          </cell>
        </row>
        <row r="100">
          <cell r="B100" t="str">
            <v>MCI-00007</v>
          </cell>
        </row>
        <row r="101">
          <cell r="B101" t="str">
            <v>MCI-00007</v>
          </cell>
        </row>
        <row r="102">
          <cell r="B102" t="str">
            <v>MCI-00008</v>
          </cell>
        </row>
        <row r="103">
          <cell r="B103" t="str">
            <v>MCI-00008</v>
          </cell>
        </row>
        <row r="104">
          <cell r="B104" t="str">
            <v>MCI-00008</v>
          </cell>
        </row>
        <row r="105">
          <cell r="B105" t="str">
            <v>MCI-00008</v>
          </cell>
        </row>
        <row r="106">
          <cell r="B106" t="str">
            <v>MCI-00008</v>
          </cell>
        </row>
        <row r="107">
          <cell r="B107" t="str">
            <v>MCI-00008</v>
          </cell>
        </row>
        <row r="108">
          <cell r="B108" t="str">
            <v>MCI-00008</v>
          </cell>
        </row>
        <row r="109">
          <cell r="B109" t="str">
            <v>MCI-00008</v>
          </cell>
        </row>
        <row r="110">
          <cell r="B110" t="str">
            <v>MCI-00008</v>
          </cell>
        </row>
        <row r="111">
          <cell r="B111" t="str">
            <v>MCI-00008</v>
          </cell>
        </row>
        <row r="112">
          <cell r="B112" t="str">
            <v>MCI-00009</v>
          </cell>
        </row>
        <row r="113">
          <cell r="B113" t="str">
            <v>MCI-00009</v>
          </cell>
        </row>
        <row r="114">
          <cell r="B114" t="str">
            <v>MCI-00009</v>
          </cell>
        </row>
        <row r="115">
          <cell r="B115" t="str">
            <v>MCI-00009</v>
          </cell>
        </row>
        <row r="116">
          <cell r="B116" t="str">
            <v>MCI-00009</v>
          </cell>
        </row>
        <row r="117">
          <cell r="B117" t="str">
            <v>MCI-00009</v>
          </cell>
        </row>
        <row r="118">
          <cell r="B118" t="str">
            <v>MCI-00009</v>
          </cell>
        </row>
        <row r="119">
          <cell r="B119" t="str">
            <v>MCI-00009</v>
          </cell>
        </row>
        <row r="120">
          <cell r="B120" t="str">
            <v>MCI-00010</v>
          </cell>
        </row>
        <row r="121">
          <cell r="B121" t="str">
            <v>MCI-00010</v>
          </cell>
        </row>
        <row r="122">
          <cell r="B122" t="str">
            <v>MCI-00010</v>
          </cell>
        </row>
        <row r="123">
          <cell r="B123" t="str">
            <v>MCI-00010</v>
          </cell>
        </row>
        <row r="124">
          <cell r="B124" t="str">
            <v>MCI-00010</v>
          </cell>
        </row>
        <row r="125">
          <cell r="B125" t="str">
            <v>MCI-00010</v>
          </cell>
        </row>
        <row r="126">
          <cell r="B126" t="str">
            <v>MCI-00010</v>
          </cell>
        </row>
        <row r="127">
          <cell r="B127" t="str">
            <v>MCI-00010</v>
          </cell>
        </row>
        <row r="128">
          <cell r="B128" t="str">
            <v>MCI-00010</v>
          </cell>
        </row>
        <row r="129">
          <cell r="B129" t="str">
            <v>MCI-00010</v>
          </cell>
        </row>
        <row r="130">
          <cell r="B130" t="str">
            <v>MCI-00014</v>
          </cell>
        </row>
        <row r="131">
          <cell r="B131" t="str">
            <v>MCI-00014</v>
          </cell>
        </row>
        <row r="132">
          <cell r="B132" t="str">
            <v>MCI-00014</v>
          </cell>
        </row>
        <row r="133">
          <cell r="B133" t="str">
            <v>MCI-00014</v>
          </cell>
        </row>
        <row r="134">
          <cell r="B134" t="str">
            <v>MCI-00014</v>
          </cell>
        </row>
        <row r="135">
          <cell r="B135" t="str">
            <v>MCI-00014</v>
          </cell>
        </row>
        <row r="136">
          <cell r="B136" t="str">
            <v>MCI-00015</v>
          </cell>
        </row>
        <row r="137">
          <cell r="B137" t="str">
            <v>MCI-00015</v>
          </cell>
        </row>
        <row r="138">
          <cell r="B138" t="str">
            <v>MCI-00015</v>
          </cell>
        </row>
        <row r="139">
          <cell r="B139" t="str">
            <v>MCI-00016</v>
          </cell>
        </row>
        <row r="140">
          <cell r="B140" t="str">
            <v>MCI-00016</v>
          </cell>
        </row>
        <row r="141">
          <cell r="B141" t="str">
            <v>MCI-00016</v>
          </cell>
        </row>
        <row r="142">
          <cell r="B142" t="str">
            <v>MCI-00016</v>
          </cell>
        </row>
        <row r="143">
          <cell r="B143" t="str">
            <v>MCI-00016</v>
          </cell>
        </row>
        <row r="144">
          <cell r="B144" t="str">
            <v>MCI-00019</v>
          </cell>
        </row>
        <row r="145">
          <cell r="B145" t="str">
            <v>MCI-00019</v>
          </cell>
        </row>
        <row r="146">
          <cell r="B146" t="str">
            <v>MCI-00019</v>
          </cell>
        </row>
        <row r="147">
          <cell r="B147" t="str">
            <v>MCI-00021</v>
          </cell>
        </row>
        <row r="148">
          <cell r="B148" t="str">
            <v>MCI-00021</v>
          </cell>
        </row>
        <row r="149">
          <cell r="B149" t="str">
            <v>MCI-00021</v>
          </cell>
        </row>
        <row r="150">
          <cell r="B150" t="str">
            <v>MCI-00021</v>
          </cell>
        </row>
        <row r="151">
          <cell r="B151" t="str">
            <v>MCI-00021</v>
          </cell>
        </row>
        <row r="152">
          <cell r="B152" t="str">
            <v>MCI-00022</v>
          </cell>
        </row>
        <row r="153">
          <cell r="B153" t="str">
            <v>MCI-00022</v>
          </cell>
        </row>
        <row r="154">
          <cell r="B154" t="str">
            <v>MCI-00022</v>
          </cell>
        </row>
        <row r="155">
          <cell r="B155" t="str">
            <v>MCI-00022</v>
          </cell>
        </row>
        <row r="156">
          <cell r="B156" t="str">
            <v>MCI-00022</v>
          </cell>
        </row>
        <row r="157">
          <cell r="B157" t="str">
            <v>MCI-00022</v>
          </cell>
        </row>
        <row r="158">
          <cell r="B158" t="str">
            <v>MCI-00022</v>
          </cell>
        </row>
        <row r="159">
          <cell r="B159" t="str">
            <v>MCI-00023</v>
          </cell>
        </row>
        <row r="160">
          <cell r="B160" t="str">
            <v>MCI-00023</v>
          </cell>
        </row>
        <row r="161">
          <cell r="B161" t="str">
            <v>MCI-00023</v>
          </cell>
        </row>
        <row r="162">
          <cell r="B162" t="str">
            <v>MCI-00024</v>
          </cell>
        </row>
        <row r="163">
          <cell r="B163" t="str">
            <v>MCI-00531</v>
          </cell>
        </row>
        <row r="164">
          <cell r="B164" t="str">
            <v>MCI-00531</v>
          </cell>
        </row>
        <row r="165">
          <cell r="B165" t="str">
            <v>MCI-00531</v>
          </cell>
        </row>
        <row r="166">
          <cell r="B166" t="str">
            <v>MCI-00531</v>
          </cell>
        </row>
        <row r="167">
          <cell r="B167" t="str">
            <v>MCI-00531</v>
          </cell>
        </row>
        <row r="168">
          <cell r="B168" t="str">
            <v>MCI-00531</v>
          </cell>
        </row>
        <row r="169">
          <cell r="B169" t="str">
            <v>MCI-00531</v>
          </cell>
        </row>
        <row r="170">
          <cell r="B170" t="str">
            <v>MCI-00531</v>
          </cell>
        </row>
        <row r="171">
          <cell r="B171" t="str">
            <v>MCI-00531</v>
          </cell>
        </row>
        <row r="172">
          <cell r="B172" t="str">
            <v>MCI-00531</v>
          </cell>
        </row>
        <row r="173">
          <cell r="B173" t="str">
            <v>MCI-00531</v>
          </cell>
        </row>
        <row r="174">
          <cell r="B174" t="str">
            <v>MCI-00532</v>
          </cell>
        </row>
        <row r="175">
          <cell r="B175" t="str">
            <v>MCI-00532</v>
          </cell>
        </row>
        <row r="176">
          <cell r="B176" t="str">
            <v>MCI-00532</v>
          </cell>
        </row>
        <row r="177">
          <cell r="B177" t="str">
            <v>MCI-00532</v>
          </cell>
        </row>
        <row r="178">
          <cell r="B178" t="str">
            <v>MCI-00532</v>
          </cell>
        </row>
        <row r="179">
          <cell r="B179" t="str">
            <v>MCI-00532</v>
          </cell>
        </row>
        <row r="180">
          <cell r="B180" t="str">
            <v>MCI-00532</v>
          </cell>
        </row>
        <row r="181">
          <cell r="B181" t="str">
            <v>MCI-00532</v>
          </cell>
        </row>
        <row r="182">
          <cell r="B182" t="str">
            <v>MCI-00532</v>
          </cell>
        </row>
        <row r="183">
          <cell r="B183" t="str">
            <v>MCI-00532</v>
          </cell>
        </row>
        <row r="184">
          <cell r="B184" t="str">
            <v>MCI-00533</v>
          </cell>
        </row>
        <row r="185">
          <cell r="B185" t="str">
            <v>MCI-00534</v>
          </cell>
        </row>
        <row r="186">
          <cell r="B186" t="str">
            <v>MCI-00534</v>
          </cell>
        </row>
        <row r="187">
          <cell r="B187" t="str">
            <v>MCI-00534</v>
          </cell>
        </row>
        <row r="188">
          <cell r="B188" t="str">
            <v>MCI-00534</v>
          </cell>
        </row>
        <row r="189">
          <cell r="B189" t="str">
            <v>MCI-00534</v>
          </cell>
        </row>
        <row r="190">
          <cell r="B190" t="str">
            <v>MCI-00534</v>
          </cell>
        </row>
        <row r="191">
          <cell r="B191" t="str">
            <v>MCI-00534</v>
          </cell>
        </row>
        <row r="192">
          <cell r="B192" t="str">
            <v>MCI-00534</v>
          </cell>
        </row>
        <row r="193">
          <cell r="B193" t="str">
            <v>MCI-00534</v>
          </cell>
        </row>
        <row r="194">
          <cell r="B194" t="str">
            <v>MCI-00534</v>
          </cell>
        </row>
        <row r="195">
          <cell r="B195" t="str">
            <v>MCI-00534</v>
          </cell>
        </row>
        <row r="196">
          <cell r="B196" t="str">
            <v>MCI-00535</v>
          </cell>
        </row>
        <row r="197">
          <cell r="B197" t="str">
            <v>MCI-00535</v>
          </cell>
        </row>
        <row r="198">
          <cell r="B198" t="str">
            <v>MCI-00535</v>
          </cell>
        </row>
        <row r="199">
          <cell r="B199" t="str">
            <v>MCI-00535</v>
          </cell>
        </row>
        <row r="200">
          <cell r="B200" t="str">
            <v>MCI-00535</v>
          </cell>
        </row>
        <row r="201">
          <cell r="B201" t="str">
            <v>MCI-00535</v>
          </cell>
        </row>
        <row r="202">
          <cell r="B202" t="str">
            <v>MCI-00535</v>
          </cell>
        </row>
        <row r="203">
          <cell r="B203" t="str">
            <v>MCI-00535</v>
          </cell>
        </row>
        <row r="204">
          <cell r="B204" t="str">
            <v>MCI-00536</v>
          </cell>
        </row>
        <row r="205">
          <cell r="B205" t="str">
            <v>MCI-00536</v>
          </cell>
        </row>
        <row r="222">
          <cell r="D222" t="str">
            <v>a1A360000013M04EAE</v>
          </cell>
        </row>
        <row r="231">
          <cell r="F231" t="str">
            <v>[Cost Grouping Number].[Cost Input Number] [Name]</v>
          </cell>
        </row>
        <row r="232">
          <cell r="F232" t="str">
            <v>1.0 Human Resources (HR)</v>
          </cell>
        </row>
        <row r="233">
          <cell r="F233" t="str">
            <v>1.1 Salaries - program management</v>
          </cell>
        </row>
        <row r="234">
          <cell r="F234" t="str">
            <v>1.2 Salaries - outreach workers, medical staff and other service providers</v>
          </cell>
        </row>
        <row r="235">
          <cell r="F235" t="str">
            <v>1.3 Performance based suppliments, incentives</v>
          </cell>
        </row>
        <row r="236">
          <cell r="F236" t="str">
            <v>1.4 Other HR Costs</v>
          </cell>
        </row>
        <row r="237">
          <cell r="F237" t="str">
            <v>2.0 Travel related costs (TRC)</v>
          </cell>
        </row>
        <row r="238">
          <cell r="F238" t="str">
            <v>2.1 Training related per diems/transport/other costs</v>
          </cell>
        </row>
        <row r="239">
          <cell r="F239" t="str">
            <v>2.2 Technical Assistance Fees/Consultants</v>
          </cell>
        </row>
        <row r="240">
          <cell r="F240" t="str">
            <v>2.3 Supervision/surveys/data collection related per diems/transport/other costs</v>
          </cell>
        </row>
        <row r="241">
          <cell r="F241" t="str">
            <v>2.4 Meeting/Advocacy related per diems/transport/other costs</v>
          </cell>
        </row>
        <row r="242">
          <cell r="F242" t="str">
            <v>2.5 Other Transportation costs</v>
          </cell>
        </row>
        <row r="243">
          <cell r="F243" t="str">
            <v>3.0 External Professional services (EPS)</v>
          </cell>
        </row>
        <row r="244">
          <cell r="F244" t="str">
            <v>3.1 TA Fees - Consultants</v>
          </cell>
        </row>
        <row r="245">
          <cell r="F245" t="str">
            <v>3.2 Fiscal/Fiduciary Agent fees</v>
          </cell>
        </row>
        <row r="246">
          <cell r="F246" t="str">
            <v>3.3 External audit fees</v>
          </cell>
        </row>
        <row r="247">
          <cell r="F247" t="str">
            <v>3.4 Other external professional services</v>
          </cell>
        </row>
        <row r="248">
          <cell r="F248" t="str">
            <v>4.0 Health Products - Pharmaceutical Products (HPPP)</v>
          </cell>
        </row>
        <row r="249">
          <cell r="F249" t="str">
            <v>4.1 Antiretroviral medicines</v>
          </cell>
        </row>
        <row r="250">
          <cell r="F250" t="str">
            <v>4.2 Anti-tuberculosis medicines</v>
          </cell>
        </row>
        <row r="251">
          <cell r="F251" t="str">
            <v>4.3 Antimalarial medicines</v>
          </cell>
        </row>
        <row r="252">
          <cell r="F252" t="str">
            <v>4.4 Opioid substitution medicines</v>
          </cell>
        </row>
        <row r="253">
          <cell r="F253" t="str">
            <v>4.5 Opportunistic infections and STI medicines</v>
          </cell>
        </row>
        <row r="254">
          <cell r="F254" t="str">
            <v>4.6 Private Sector subsidies for ACTs (co-payment to 4.3)</v>
          </cell>
        </row>
        <row r="255">
          <cell r="F255" t="str">
            <v>4.7 Other medicines</v>
          </cell>
        </row>
        <row r="256">
          <cell r="F256" t="str">
            <v>5.0 Health Products - Non-Pharmaceuticals (HPNP)</v>
          </cell>
        </row>
        <row r="257">
          <cell r="F257" t="str">
            <v>5.1 Insecticide-treated Nets (LLINs/ITNs)</v>
          </cell>
        </row>
        <row r="258">
          <cell r="F258" t="str">
            <v>5.2 Condoms - Male</v>
          </cell>
        </row>
        <row r="259">
          <cell r="F259" t="str">
            <v>5.3 Condoms - Female</v>
          </cell>
        </row>
        <row r="260">
          <cell r="F260" t="str">
            <v>5.4 Rapid Diagnostic Test</v>
          </cell>
        </row>
        <row r="261">
          <cell r="F261" t="str">
            <v>5.5 Insecticides</v>
          </cell>
        </row>
        <row r="262">
          <cell r="F262" t="str">
            <v>5.6 Laboratory reagents</v>
          </cell>
        </row>
        <row r="263">
          <cell r="F263" t="str">
            <v>5.7 Syringes and needles</v>
          </cell>
        </row>
        <row r="264">
          <cell r="F264" t="str">
            <v>5.8 Other consumables</v>
          </cell>
        </row>
        <row r="265">
          <cell r="F265" t="str">
            <v>5.9 Private Sector subsidies for RDTs (co-payment to 5.4)</v>
          </cell>
        </row>
        <row r="266">
          <cell r="F266" t="str">
            <v>6.0 Health Products - Equipment (HPE)</v>
          </cell>
        </row>
        <row r="267">
          <cell r="F267" t="str">
            <v>6.1 CD4 analyser/accessories</v>
          </cell>
        </row>
        <row r="268">
          <cell r="F268" t="str">
            <v>6.2 HIV Viral Load analyser/accessories</v>
          </cell>
        </row>
        <row r="269">
          <cell r="F269" t="str">
            <v>6.3 Microscopes</v>
          </cell>
        </row>
        <row r="270">
          <cell r="F270" t="str">
            <v>6.4 TB Molecular Test equipment</v>
          </cell>
        </row>
        <row r="271">
          <cell r="F271" t="str">
            <v>6.5 Maintenance and service costs for health equipment</v>
          </cell>
        </row>
        <row r="272">
          <cell r="F272" t="str">
            <v>6.6 Other health equipment</v>
          </cell>
        </row>
        <row r="273">
          <cell r="F273" t="str">
            <v>7.0 Procurement and Supply-Chain Management costs (PSM)</v>
          </cell>
        </row>
        <row r="274">
          <cell r="F274" t="str">
            <v>7.1 Procurement agent and handling fees</v>
          </cell>
        </row>
        <row r="275">
          <cell r="F275" t="str">
            <v>7.2 Freight and insurance costs (Health products)</v>
          </cell>
        </row>
        <row r="276">
          <cell r="F276" t="str">
            <v>7.3 Warehouse and Storage Costs</v>
          </cell>
        </row>
        <row r="277">
          <cell r="F277" t="str">
            <v>7.4 In-country distribution costs</v>
          </cell>
        </row>
        <row r="278">
          <cell r="F278" t="str">
            <v>7.5 Quality assurance and quality control costs (QA/QC)</v>
          </cell>
        </row>
        <row r="279">
          <cell r="F279" t="str">
            <v>7.6 PSM Customs Clearance</v>
          </cell>
        </row>
        <row r="280">
          <cell r="F280" t="str">
            <v>7.7 Other PSM costs</v>
          </cell>
        </row>
        <row r="281">
          <cell r="F281" t="str">
            <v>8.0 Infrastructure (INF)</v>
          </cell>
        </row>
        <row r="282">
          <cell r="F282" t="str">
            <v>8.1 Furniture</v>
          </cell>
        </row>
        <row r="283">
          <cell r="F283" t="str">
            <v>8.2 Renovation/constructions</v>
          </cell>
        </row>
        <row r="284">
          <cell r="F284" t="str">
            <v>8.3 Infrastructure maintenance and other INF costs</v>
          </cell>
        </row>
        <row r="285">
          <cell r="F285" t="str">
            <v>9.0 Non-health equipment (NHP)</v>
          </cell>
        </row>
        <row r="286">
          <cell r="F286" t="str">
            <v>9.1 IT - Computers, computer equipment, Software and applications</v>
          </cell>
        </row>
        <row r="287">
          <cell r="F287" t="str">
            <v>9.2 Vehicles</v>
          </cell>
        </row>
        <row r="288">
          <cell r="F288" t="str">
            <v>9.3 Other non-health equipment</v>
          </cell>
        </row>
        <row r="289">
          <cell r="F289" t="str">
            <v>9.4 Maintenance and service costs non-health equipment</v>
          </cell>
        </row>
        <row r="290">
          <cell r="F290" t="str">
            <v>10.0 Communication Material and Publications (CMP)</v>
          </cell>
        </row>
        <row r="291">
          <cell r="F291" t="str">
            <v>10.1 Printed materials (forms, books, guidelines, brochure, leaflets...)</v>
          </cell>
        </row>
        <row r="292">
          <cell r="F292" t="str">
            <v>10.2 Television/Radio spots and programmes</v>
          </cell>
        </row>
        <row r="293">
          <cell r="F293" t="str">
            <v>10.3 Promotional Material (t-shirts, mugs, pins...) and other CMP costs</v>
          </cell>
        </row>
        <row r="294">
          <cell r="F294" t="str">
            <v>11.0 Programme Administration costs (PA)</v>
          </cell>
        </row>
        <row r="295">
          <cell r="F295" t="str">
            <v>11.1 Office related costs</v>
          </cell>
        </row>
        <row r="296">
          <cell r="F296" t="str">
            <v>11.2 Unrecoverable taxes and duties</v>
          </cell>
        </row>
        <row r="297">
          <cell r="F297" t="str">
            <v>11.3 Indirect cost recovery (ICR) - % based</v>
          </cell>
        </row>
        <row r="298">
          <cell r="F298" t="str">
            <v>11.4 Other PA costs</v>
          </cell>
        </row>
        <row r="299">
          <cell r="F299" t="str">
            <v>12.0 Living support to client/ target population (LSCTP)</v>
          </cell>
        </row>
        <row r="300">
          <cell r="F300" t="str">
            <v>12.1 OVC Support (school fees, uniforms, books...)</v>
          </cell>
        </row>
        <row r="301">
          <cell r="F301" t="str">
            <v>12.2 Food and care packages</v>
          </cell>
        </row>
        <row r="302">
          <cell r="F302" t="str">
            <v>12.3 Cash incentives/transfer to patients/beneficiaries/counsellors/mediators</v>
          </cell>
        </row>
        <row r="303">
          <cell r="F303" t="str">
            <v>12.4 Micro-loans and micro-grants</v>
          </cell>
        </row>
        <row r="304">
          <cell r="F304" t="str">
            <v>12.5 Other LSCTP costs</v>
          </cell>
        </row>
        <row r="305">
          <cell r="F305" t="str">
            <v>13.0 Payment for Results</v>
          </cell>
        </row>
        <row r="306">
          <cell r="F306" t="str">
            <v>13.1 Payment for Results</v>
          </cell>
        </row>
      </sheetData>
      <sheetData sheetId="3" refreshError="1"/>
      <sheetData sheetId="4">
        <row r="2">
          <cell r="B2" t="str">
            <v>[Account (Name)]</v>
          </cell>
        </row>
        <row r="3">
          <cell r="B3" t="str">
            <v>United Nations Development Programme</v>
          </cell>
        </row>
        <row r="4">
          <cell r="B4" t="str">
            <v>Project HOPE  - the People to People Health Foundation</v>
          </cell>
        </row>
        <row r="5">
          <cell r="B5" t="str">
            <v/>
          </cell>
        </row>
        <row r="6">
          <cell r="B6" t="str">
            <v/>
          </cell>
        </row>
        <row r="7">
          <cell r="B7" t="str">
            <v/>
          </cell>
        </row>
        <row r="8">
          <cell r="B8" t="str">
            <v/>
          </cell>
        </row>
        <row r="26">
          <cell r="B26" t="str">
            <v>[Account (Name)]</v>
          </cell>
        </row>
        <row r="27">
          <cell r="B27" t="str">
            <v>United Nations Development Programme</v>
          </cell>
        </row>
        <row r="28">
          <cell r="B28" t="str">
            <v>United Nations Office for Project Services</v>
          </cell>
        </row>
      </sheetData>
      <sheetData sheetId="5">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XAF</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MZN</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South Sudanese Pound</v>
          </cell>
          <cell r="G176" t="str">
            <v>SSP</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TMT</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VEF</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ZMW</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U.S Dollar</v>
          </cell>
          <cell r="G211" t="str">
            <v>USD</v>
          </cell>
        </row>
        <row r="212">
          <cell r="B212" t="e">
            <v>#N/A</v>
          </cell>
          <cell r="C212" t="e">
            <v>#N/A</v>
          </cell>
          <cell r="D212" t="e">
            <v>#N/A</v>
          </cell>
          <cell r="E212" t="e">
            <v>#N/A</v>
          </cell>
          <cell r="F212" t="str">
            <v>U.S Dollar</v>
          </cell>
          <cell r="G212" t="str">
            <v>USD</v>
          </cell>
        </row>
        <row r="213">
          <cell r="B213" t="str">
            <v>Multicountry Southern Africa SADC</v>
          </cell>
          <cell r="C213" t="str">
            <v>Multicountry Southern Africa SADC</v>
          </cell>
          <cell r="D213" t="str">
            <v>Multicountry Southern Africa SADC</v>
          </cell>
          <cell r="E213" t="str">
            <v>Multicountry Southern Africa SADC</v>
          </cell>
          <cell r="F213" t="str">
            <v>U.S Dollar</v>
          </cell>
          <cell r="G213" t="str">
            <v>USD</v>
          </cell>
        </row>
        <row r="214">
          <cell r="F214" t="str">
            <v>U.S Dollar</v>
          </cell>
          <cell r="G214" t="str">
            <v>USD</v>
          </cell>
        </row>
        <row r="215">
          <cell r="B215" t="e">
            <v>#N/A</v>
          </cell>
          <cell r="C215" t="e">
            <v>#N/A</v>
          </cell>
          <cell r="D215" t="e">
            <v>#N/A</v>
          </cell>
          <cell r="E215" t="e">
            <v>#N/A</v>
          </cell>
          <cell r="F215" t="str">
            <v>U.S Dollar</v>
          </cell>
          <cell r="G215" t="str">
            <v>USD</v>
          </cell>
        </row>
        <row r="216">
          <cell r="B216" t="str">
            <v>Multicountry Caribbean CARICOM-PANCAP</v>
          </cell>
          <cell r="C216" t="str">
            <v>Multicountry Caribbean CARICOM-PANCAP</v>
          </cell>
          <cell r="D216" t="str">
            <v>Multicountry Caribbean CARICOM-PANCAP</v>
          </cell>
          <cell r="E216" t="str">
            <v>Multicountry Caribbean CARICOM-PANCAP</v>
          </cell>
          <cell r="F216" t="str">
            <v>U.S Dollar</v>
          </cell>
          <cell r="G216" t="str">
            <v>USD</v>
          </cell>
        </row>
        <row r="217">
          <cell r="B217" t="e">
            <v>#N/A</v>
          </cell>
          <cell r="C217" t="e">
            <v>#N/A</v>
          </cell>
          <cell r="D217" t="e">
            <v>#N/A</v>
          </cell>
          <cell r="E217" t="e">
            <v>#N/A</v>
          </cell>
          <cell r="F217" t="str">
            <v>U.S Dollar</v>
          </cell>
          <cell r="G217" t="str">
            <v>USD</v>
          </cell>
        </row>
        <row r="218">
          <cell r="B218" t="e">
            <v>#N/A</v>
          </cell>
          <cell r="C218" t="e">
            <v>#N/A</v>
          </cell>
          <cell r="D218" t="e">
            <v>#N/A</v>
          </cell>
          <cell r="E218" t="e">
            <v>#N/A</v>
          </cell>
          <cell r="F218" t="str">
            <v>U.S Dollar</v>
          </cell>
          <cell r="G218" t="str">
            <v>USD</v>
          </cell>
        </row>
        <row r="219">
          <cell r="B219" t="str">
            <v>Multicountry Americas EMMIE</v>
          </cell>
          <cell r="C219" t="str">
            <v>Multicountry Americas EMMIE</v>
          </cell>
          <cell r="D219" t="str">
            <v>Multicountry Americas EMMIE</v>
          </cell>
          <cell r="E219" t="str">
            <v>Multicountry Americas EMMIE</v>
          </cell>
          <cell r="F219" t="str">
            <v>U.S Dollar</v>
          </cell>
          <cell r="G219" t="str">
            <v>USD</v>
          </cell>
        </row>
        <row r="220">
          <cell r="B220" t="str">
            <v>Multicountry Caribbean MCC</v>
          </cell>
          <cell r="C220" t="str">
            <v>Multicountry Caribbean MCC</v>
          </cell>
          <cell r="D220" t="str">
            <v>Multicountry Caribbean MCC</v>
          </cell>
          <cell r="E220" t="str">
            <v>Multicountry Caribbean MCC</v>
          </cell>
          <cell r="F220" t="str">
            <v>U.S Dollar</v>
          </cell>
          <cell r="G220" t="str">
            <v>USD</v>
          </cell>
        </row>
        <row r="221">
          <cell r="B221" t="str">
            <v>Multicountry Central Americas REDCA</v>
          </cell>
          <cell r="C221" t="str">
            <v>Multicountry Central Americas REDCA</v>
          </cell>
          <cell r="D221" t="str">
            <v>Multicountry Central Americas REDCA</v>
          </cell>
          <cell r="E221" t="str">
            <v>Multicountry Central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HIVOS</v>
          </cell>
          <cell r="C224" t="str">
            <v>Multicountry East Asia and Pacific HIVOS</v>
          </cell>
          <cell r="D224" t="str">
            <v>Multicountry East Asia and Pacific HIVOS</v>
          </cell>
          <cell r="E224" t="str">
            <v>Multicountry East Asia and Pacific 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EECA EHRN</v>
          </cell>
          <cell r="C226" t="str">
            <v>Multicountry EECA EHRN</v>
          </cell>
          <cell r="D226" t="str">
            <v>Multicountry EECA EHRN</v>
          </cell>
          <cell r="E226" t="str">
            <v>Multicountry EECA EHRN</v>
          </cell>
          <cell r="F226" t="str">
            <v>U.S Dollar</v>
          </cell>
          <cell r="G226" t="str">
            <v>USD</v>
          </cell>
        </row>
        <row r="227">
          <cell r="B227" t="str">
            <v>Multicountry MENA HRA</v>
          </cell>
          <cell r="C227" t="str">
            <v>Multicountry MENA HRA</v>
          </cell>
          <cell r="D227" t="str">
            <v>Multicountry MENA HRA</v>
          </cell>
          <cell r="E227" t="str">
            <v>Multicountry MENA 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row r="230">
          <cell r="B230" t="str">
            <v>Multicountry Southern Africa HIVOS</v>
          </cell>
          <cell r="C230" t="str">
            <v>Multicountry Southern Africa HIVOS</v>
          </cell>
          <cell r="D230" t="str">
            <v>Multicountry Southern Africa HIVOS</v>
          </cell>
          <cell r="E230" t="str">
            <v>Multicountry Southern Africa HIVOS</v>
          </cell>
          <cell r="F230" t="str">
            <v>U.S Dollar</v>
          </cell>
          <cell r="G230" t="str">
            <v>USD</v>
          </cell>
        </row>
        <row r="231">
          <cell r="B231" t="str">
            <v>Multicountry Southern Africa ARASA</v>
          </cell>
          <cell r="C231" t="str">
            <v>Multicountry Southern Africa ARASA</v>
          </cell>
          <cell r="D231" t="str">
            <v>Multicountry Southern Africa ARASA</v>
          </cell>
          <cell r="E231" t="str">
            <v>Multicountry Southern Africa ARASA</v>
          </cell>
          <cell r="F231" t="str">
            <v>U.S Dollar</v>
          </cell>
          <cell r="G231" t="str">
            <v>USD</v>
          </cell>
        </row>
        <row r="232">
          <cell r="B232" t="str">
            <v>Multicountry Eastern Africa KANCO</v>
          </cell>
          <cell r="C232" t="str">
            <v>Multicountry Eastern Africa KANCO</v>
          </cell>
          <cell r="D232" t="str">
            <v>Multicountry Eastern Africa KANCO</v>
          </cell>
          <cell r="E232" t="str">
            <v>Multicountry Eastern Africa KANCO</v>
          </cell>
          <cell r="F232" t="str">
            <v>U.S Dollar</v>
          </cell>
          <cell r="G232" t="str">
            <v>USD</v>
          </cell>
        </row>
        <row r="233">
          <cell r="B233" t="str">
            <v>Multicountry Eastern Africa ANECCA</v>
          </cell>
          <cell r="C233" t="str">
            <v>Multicountry Eastern Africa ANECCA</v>
          </cell>
          <cell r="D233" t="str">
            <v>Multicountry Eastern Africa ANECCA</v>
          </cell>
          <cell r="E233" t="str">
            <v>Multicountry Eastern Africa ANECCA</v>
          </cell>
          <cell r="F233" t="str">
            <v>U.S Dollar</v>
          </cell>
          <cell r="G233" t="str">
            <v>USD</v>
          </cell>
        </row>
        <row r="234">
          <cell r="B234" t="str">
            <v>Multicountry West Africa ALCO</v>
          </cell>
          <cell r="C234" t="str">
            <v>Multicountry West Africa ALCO</v>
          </cell>
          <cell r="D234" t="str">
            <v>Multicountry West Africa ALCO</v>
          </cell>
          <cell r="E234" t="str">
            <v>Multicountry West Africa ALCO</v>
          </cell>
          <cell r="F234" t="str">
            <v>CFA Franc</v>
          </cell>
          <cell r="G234" t="str">
            <v>XOF</v>
          </cell>
        </row>
        <row r="235">
          <cell r="B235" t="str">
            <v>Multicountry Eastern Africa IGAD</v>
          </cell>
          <cell r="C235" t="str">
            <v>Multicountry Eastern Africa IGAD</v>
          </cell>
          <cell r="D235" t="str">
            <v>Multicountry Eastern Africa IGAD</v>
          </cell>
          <cell r="E235" t="str">
            <v>Multicountry Eastern Africa IGAD</v>
          </cell>
          <cell r="F235" t="str">
            <v>U.S Dollar</v>
          </cell>
          <cell r="G235" t="str">
            <v>USD</v>
          </cell>
        </row>
        <row r="236">
          <cell r="B236" t="str">
            <v>Multicountry Southern Africa E9</v>
          </cell>
          <cell r="C236" t="str">
            <v>Multicountry Southern Africa E10</v>
          </cell>
          <cell r="D236" t="str">
            <v>Multicountry Southern Africa E11</v>
          </cell>
          <cell r="E236" t="str">
            <v>Multicountry Southern Africa E12</v>
          </cell>
          <cell r="F236" t="str">
            <v>U.S Dollar</v>
          </cell>
          <cell r="G236" t="str">
            <v>USD</v>
          </cell>
        </row>
        <row r="237">
          <cell r="B237" t="str">
            <v>Multicountry Southern Africa WHC</v>
          </cell>
          <cell r="C237" t="str">
            <v>Multicountry Southern Africa WHC</v>
          </cell>
          <cell r="D237" t="str">
            <v>Multicountry Southern Africa WHC</v>
          </cell>
          <cell r="E237" t="str">
            <v>Multicountry Southern Africa WHC</v>
          </cell>
          <cell r="F237" t="str">
            <v>U.S Dollar</v>
          </cell>
          <cell r="G237" t="str">
            <v>USD</v>
          </cell>
        </row>
        <row r="238">
          <cell r="B238" t="str">
            <v>Multicountry Africa ECSA-HC</v>
          </cell>
          <cell r="C238" t="str">
            <v>Multicountry Africa ECSA-HC</v>
          </cell>
          <cell r="D238" t="str">
            <v>Multicountry Africa ECSA-HC</v>
          </cell>
          <cell r="E238" t="str">
            <v>Multicountry Africa ECSA-HC</v>
          </cell>
          <cell r="F238" t="str">
            <v>U.S Dollar</v>
          </cell>
          <cell r="G238" t="str">
            <v>USD</v>
          </cell>
        </row>
        <row r="239">
          <cell r="B239" t="e">
            <v>#N/A</v>
          </cell>
          <cell r="C239" t="e">
            <v>#N/A</v>
          </cell>
          <cell r="D239" t="e">
            <v>#N/A</v>
          </cell>
          <cell r="E239" t="e">
            <v>#N/A</v>
          </cell>
          <cell r="F239" t="str">
            <v>U.S Dollar</v>
          </cell>
          <cell r="G239" t="str">
            <v>USD</v>
          </cell>
        </row>
        <row r="240">
          <cell r="B240" t="str">
            <v>Multicountry EECA ECUO</v>
          </cell>
          <cell r="C240" t="str">
            <v>Multicountry EECA ECUO</v>
          </cell>
          <cell r="D240" t="str">
            <v>Multicountry EECA ECUO</v>
          </cell>
          <cell r="E240" t="str">
            <v>Multicountry EECA ECUO</v>
          </cell>
          <cell r="F240" t="str">
            <v>Euro</v>
          </cell>
          <cell r="G240" t="str">
            <v>EUR</v>
          </cell>
        </row>
        <row r="241">
          <cell r="B241" t="str">
            <v>Multicountry EECA PAS</v>
          </cell>
          <cell r="C241" t="str">
            <v>Multicountry EECA PAS</v>
          </cell>
          <cell r="D241" t="str">
            <v>Multicountry EECA PAS</v>
          </cell>
          <cell r="E241" t="str">
            <v>Multicountry EECA PAS</v>
          </cell>
          <cell r="F241" t="str">
            <v>U.S Dollar</v>
          </cell>
          <cell r="G241" t="str">
            <v>USD</v>
          </cell>
        </row>
        <row r="242">
          <cell r="B242" t="e">
            <v>#N/A</v>
          </cell>
          <cell r="C242" t="e">
            <v>#N/A</v>
          </cell>
          <cell r="D242" t="e">
            <v>#N/A</v>
          </cell>
          <cell r="E242" t="e">
            <v>#N/A</v>
          </cell>
          <cell r="F242" t="str">
            <v>U.S Dollar</v>
          </cell>
          <cell r="G242" t="str">
            <v>USD</v>
          </cell>
        </row>
        <row r="243">
          <cell r="B243" t="str">
            <v>Multicountry Americas ICW</v>
          </cell>
          <cell r="C243" t="str">
            <v>Multicountry Americas ICW</v>
          </cell>
          <cell r="D243" t="str">
            <v>Multicountry Americas ICW</v>
          </cell>
          <cell r="E243" t="str">
            <v>Multicountry Americas ICW</v>
          </cell>
          <cell r="F243" t="str">
            <v>U.S Dollar</v>
          </cell>
          <cell r="G243" t="str">
            <v>USD</v>
          </cell>
        </row>
        <row r="244">
          <cell r="B244" t="str">
            <v>Multicountry Americas REDLACTRANS</v>
          </cell>
          <cell r="C244" t="str">
            <v>Multicountry Americas REDLACTRANS</v>
          </cell>
          <cell r="D244" t="str">
            <v>Multicountry Americas REDLACTRANS</v>
          </cell>
          <cell r="E244" t="str">
            <v>Multicountry Americas REDLACTRANS</v>
          </cell>
          <cell r="F244" t="str">
            <v>U.S Dollar</v>
          </cell>
          <cell r="G244" t="str">
            <v>USD</v>
          </cell>
        </row>
        <row r="245">
          <cell r="B245" t="e">
            <v>#N/A</v>
          </cell>
          <cell r="C245" t="e">
            <v>#N/A</v>
          </cell>
          <cell r="D245" t="e">
            <v>#N/A</v>
          </cell>
          <cell r="E245" t="e">
            <v>#N/A</v>
          </cell>
          <cell r="F245" t="str">
            <v>U.S Dollar</v>
          </cell>
          <cell r="G245" t="str">
            <v>USD</v>
          </cell>
        </row>
        <row r="246">
          <cell r="B246" t="str">
            <v>Multicountry EECA ECOM</v>
          </cell>
          <cell r="C246" t="str">
            <v>Multicountry EECA ECOM</v>
          </cell>
          <cell r="D246" t="str">
            <v>Multicountry EECA ECOM</v>
          </cell>
          <cell r="E246" t="str">
            <v>Multicountry EECA ECOM</v>
          </cell>
        </row>
        <row r="247">
          <cell r="B247" t="str">
            <v>Multicountry Western Africa ANCS</v>
          </cell>
          <cell r="C247" t="str">
            <v>Multicountry Western Africa ANCS</v>
          </cell>
          <cell r="D247" t="str">
            <v>Multicountry Western Africa ANCS</v>
          </cell>
          <cell r="E247" t="str">
            <v>Multicountry Western Africa ANCS</v>
          </cell>
        </row>
        <row r="248">
          <cell r="B248" t="str">
            <v>Multicountry Middle East MER</v>
          </cell>
          <cell r="C248" t="str">
            <v>Multicountry Middle East MER</v>
          </cell>
          <cell r="D248" t="str">
            <v>Multicountry Middle East MER</v>
          </cell>
          <cell r="E248" t="str">
            <v>Multicountry Middle East MER</v>
          </cell>
        </row>
        <row r="249">
          <cell r="B249" t="str">
            <v>Multicountry EECA IHAU</v>
          </cell>
          <cell r="C249" t="str">
            <v>Multicountry EECA IHAU</v>
          </cell>
          <cell r="D249" t="str">
            <v>Multicountry EECA IHAU</v>
          </cell>
          <cell r="E249" t="str">
            <v>Multicountry EECA IHAU</v>
          </cell>
        </row>
        <row r="250">
          <cell r="B250" t="str">
            <v>Multicountry Western Africa HI</v>
          </cell>
          <cell r="C250" t="str">
            <v>Multicountry Western Africa HI</v>
          </cell>
          <cell r="D250" t="str">
            <v>Multicountry Western Africa HI</v>
          </cell>
          <cell r="E250" t="str">
            <v>Multicountry Western Africa HI</v>
          </cell>
        </row>
      </sheetData>
      <sheetData sheetId="6">
        <row r="1">
          <cell r="C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3">
          <cell r="R3" t="str">
            <v>Yes</v>
          </cell>
        </row>
        <row r="4">
          <cell r="R4" t="str">
            <v>No</v>
          </cell>
        </row>
      </sheetData>
      <sheetData sheetId="18">
        <row r="1">
          <cell r="B1" t="str">
            <v xml:space="preserve">     </v>
          </cell>
        </row>
      </sheetData>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pop"/>
      <sheetName val="_pvt_epicountry"/>
      <sheetName val="_epibycountry"/>
      <sheetName val="_pvt_epiregion"/>
      <sheetName val="_epibyregion"/>
      <sheetName val="_pvt_costsregion"/>
      <sheetName val="_costbyregion"/>
      <sheetName val="_pvt_costscountry"/>
      <sheetName val="_costbycountry"/>
      <sheetName val="_ref_tables"/>
      <sheetName val="_settings"/>
      <sheetName val="Welcome"/>
      <sheetName val="Options"/>
      <sheetName val="Guidelines"/>
      <sheetName val="Baseline Budget"/>
      <sheetName val="Epidemiology"/>
      <sheetName val="1.2 Improving diagnosis"/>
      <sheetName val="Lab items list"/>
      <sheetName val="1.3 Patient support"/>
      <sheetName val="1.4 First-line drugs"/>
      <sheetName val="1.5.1 M&amp;E"/>
      <sheetName val="1.5.2 Management &amp; supervision"/>
      <sheetName val="1.5.3.1 Staff"/>
      <sheetName val="1.5.3.2 International TA"/>
      <sheetName val="1.5.3.3 Training"/>
      <sheetName val="2.1 TB HIV"/>
      <sheetName val="2.2 MDR TB"/>
      <sheetName val="2.3.1 High risk grups"/>
      <sheetName val="2.3.2 Infection control"/>
      <sheetName val="2.3.3 Childhood"/>
      <sheetName val="3.2 PAL"/>
      <sheetName val="4.1 PPM"/>
      <sheetName val="5.1 ACSM"/>
      <sheetName val="5.2 Community involvement"/>
      <sheetName val="6.1 OR"/>
      <sheetName val="Other"/>
      <sheetName val="Use general health services"/>
      <sheetName val="Table Costs Funding"/>
      <sheetName val="Table Costs by activity"/>
      <sheetName val="Fig Costs"/>
      <sheetName val="Fig Funding"/>
      <sheetName val="Table budget &amp; funding"/>
      <sheetName val="Table CostCategoriesGF"/>
      <sheetName val="Definitions"/>
      <sheetName val="HIV"/>
      <sheetName val="Malaria"/>
      <sheetName val="TB"/>
      <sheetName val="HSS"/>
      <sheetName val="SDAs"/>
    </sheetNames>
    <sheetDataSet>
      <sheetData sheetId="0">
        <row r="1">
          <cell r="A1" t="str">
            <v>Countryname</v>
          </cell>
          <cell r="B1" t="str">
            <v>UnitCode</v>
          </cell>
          <cell r="C1" t="str">
            <v>GP2region</v>
          </cell>
          <cell r="D1" t="str">
            <v xml:space="preserve">Currency </v>
          </cell>
          <cell r="E1" t="str">
            <v>Exchange Rate</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row>
        <row r="2">
          <cell r="A2">
            <v>1</v>
          </cell>
          <cell r="B2" t="str">
            <v>o</v>
          </cell>
          <cell r="C2" t="str">
            <v>o</v>
          </cell>
          <cell r="D2" t="str">
            <v>o</v>
          </cell>
          <cell r="E2" t="str">
            <v>o</v>
          </cell>
          <cell r="F2" t="str">
            <v>(dummy variable to deal with vlookup limitation)</v>
          </cell>
        </row>
        <row r="3">
          <cell r="A3" t="str">
            <v>Afghanistan</v>
          </cell>
          <cell r="B3" t="str">
            <v>AFG</v>
          </cell>
          <cell r="C3" t="str">
            <v>EMR</v>
          </cell>
          <cell r="D3" t="str">
            <v>Afghani</v>
          </cell>
          <cell r="E3">
            <v>3000</v>
          </cell>
          <cell r="F3">
            <v>20737253</v>
          </cell>
          <cell r="G3">
            <v>21414146</v>
          </cell>
          <cell r="H3">
            <v>22213871</v>
          </cell>
          <cell r="I3">
            <v>23114783</v>
          </cell>
          <cell r="J3">
            <v>24076396</v>
          </cell>
          <cell r="K3">
            <v>25067407</v>
          </cell>
          <cell r="L3">
            <v>26087654</v>
          </cell>
          <cell r="M3">
            <v>27145277</v>
          </cell>
          <cell r="N3">
            <v>28225646</v>
          </cell>
          <cell r="O3">
            <v>29311261</v>
          </cell>
          <cell r="P3">
            <v>30389185</v>
          </cell>
          <cell r="Q3">
            <v>31453049</v>
          </cell>
          <cell r="R3">
            <v>32503789</v>
          </cell>
          <cell r="S3">
            <v>33545374.000000004</v>
          </cell>
          <cell r="T3">
            <v>34585545</v>
          </cell>
          <cell r="U3">
            <v>35630707</v>
          </cell>
        </row>
        <row r="4">
          <cell r="A4" t="str">
            <v>Albania</v>
          </cell>
          <cell r="B4" t="str">
            <v>ALB</v>
          </cell>
          <cell r="C4" t="str">
            <v>CEUR</v>
          </cell>
          <cell r="F4">
            <v>3080066</v>
          </cell>
          <cell r="G4">
            <v>3085325</v>
          </cell>
          <cell r="H4">
            <v>3097648</v>
          </cell>
          <cell r="I4">
            <v>3114978</v>
          </cell>
          <cell r="J4">
            <v>3134402</v>
          </cell>
          <cell r="K4">
            <v>3153731</v>
          </cell>
          <cell r="L4">
            <v>3172155</v>
          </cell>
          <cell r="M4">
            <v>3190011</v>
          </cell>
          <cell r="N4">
            <v>3207639</v>
          </cell>
          <cell r="O4">
            <v>3225804</v>
          </cell>
          <cell r="P4">
            <v>3245003</v>
          </cell>
          <cell r="Q4">
            <v>3265136</v>
          </cell>
          <cell r="R4">
            <v>3285697</v>
          </cell>
          <cell r="S4">
            <v>3306332</v>
          </cell>
          <cell r="T4">
            <v>3326585</v>
          </cell>
          <cell r="U4">
            <v>3346103</v>
          </cell>
        </row>
        <row r="5">
          <cell r="A5" t="str">
            <v>Algeria</v>
          </cell>
          <cell r="B5" t="str">
            <v>ALG</v>
          </cell>
          <cell r="C5" t="str">
            <v>AFRlow</v>
          </cell>
          <cell r="D5" t="str">
            <v>Dinar</v>
          </cell>
          <cell r="E5">
            <v>77.668000000000006</v>
          </cell>
          <cell r="F5">
            <v>30506054</v>
          </cell>
          <cell r="G5">
            <v>30954219</v>
          </cell>
          <cell r="H5">
            <v>31413946</v>
          </cell>
          <cell r="I5">
            <v>31885164</v>
          </cell>
          <cell r="J5">
            <v>32365777</v>
          </cell>
          <cell r="K5">
            <v>32854159</v>
          </cell>
          <cell r="L5">
            <v>33351137.000000004</v>
          </cell>
          <cell r="M5">
            <v>33857913</v>
          </cell>
          <cell r="N5">
            <v>34373272</v>
          </cell>
          <cell r="O5">
            <v>34895385</v>
          </cell>
          <cell r="P5">
            <v>35422505</v>
          </cell>
          <cell r="Q5">
            <v>35953821</v>
          </cell>
          <cell r="R5">
            <v>36488354</v>
          </cell>
          <cell r="S5">
            <v>37023859</v>
          </cell>
          <cell r="T5">
            <v>37557691</v>
          </cell>
          <cell r="U5">
            <v>38087539</v>
          </cell>
        </row>
        <row r="6">
          <cell r="A6" t="str">
            <v>American Samoa</v>
          </cell>
          <cell r="B6" t="str">
            <v>AMS</v>
          </cell>
          <cell r="C6" t="str">
            <v>WPR</v>
          </cell>
          <cell r="F6">
            <v>57054</v>
          </cell>
          <cell r="G6">
            <v>58269</v>
          </cell>
          <cell r="H6">
            <v>59636</v>
          </cell>
          <cell r="I6">
            <v>61105</v>
          </cell>
          <cell r="J6">
            <v>62595</v>
          </cell>
          <cell r="K6">
            <v>64051</v>
          </cell>
          <cell r="L6">
            <v>65458</v>
          </cell>
          <cell r="M6">
            <v>66829</v>
          </cell>
          <cell r="N6">
            <v>68169</v>
          </cell>
          <cell r="O6">
            <v>69491</v>
          </cell>
          <cell r="P6">
            <v>70804</v>
          </cell>
          <cell r="Q6">
            <v>72104</v>
          </cell>
          <cell r="R6">
            <v>73388</v>
          </cell>
          <cell r="S6">
            <v>74659</v>
          </cell>
          <cell r="T6">
            <v>75923</v>
          </cell>
          <cell r="U6">
            <v>77185</v>
          </cell>
        </row>
        <row r="7">
          <cell r="A7" t="str">
            <v>Andorra</v>
          </cell>
          <cell r="B7" t="str">
            <v>AND</v>
          </cell>
          <cell r="C7" t="str">
            <v>EME</v>
          </cell>
          <cell r="F7">
            <v>66458</v>
          </cell>
          <cell r="G7">
            <v>67526</v>
          </cell>
          <cell r="H7">
            <v>69026</v>
          </cell>
          <cell r="I7">
            <v>70730</v>
          </cell>
          <cell r="J7">
            <v>72296</v>
          </cell>
          <cell r="K7">
            <v>73483</v>
          </cell>
          <cell r="L7">
            <v>74221</v>
          </cell>
          <cell r="M7">
            <v>74601</v>
          </cell>
          <cell r="N7">
            <v>74725</v>
          </cell>
          <cell r="O7">
            <v>74756</v>
          </cell>
          <cell r="P7">
            <v>74813</v>
          </cell>
          <cell r="Q7">
            <v>74922</v>
          </cell>
          <cell r="R7">
            <v>75045</v>
          </cell>
          <cell r="S7">
            <v>75168</v>
          </cell>
          <cell r="T7">
            <v>75263</v>
          </cell>
          <cell r="U7">
            <v>75309</v>
          </cell>
        </row>
        <row r="8">
          <cell r="A8" t="str">
            <v>Angola</v>
          </cell>
          <cell r="B8" t="str">
            <v>ANG</v>
          </cell>
          <cell r="C8" t="str">
            <v>AFRlow</v>
          </cell>
          <cell r="D8" t="str">
            <v>Kwanzas</v>
          </cell>
          <cell r="E8">
            <v>78643.899999999994</v>
          </cell>
          <cell r="F8">
            <v>13930006</v>
          </cell>
          <cell r="G8">
            <v>14318050</v>
          </cell>
          <cell r="H8">
            <v>14737151</v>
          </cell>
          <cell r="I8">
            <v>15180100</v>
          </cell>
          <cell r="J8">
            <v>15635519</v>
          </cell>
          <cell r="K8">
            <v>16095214</v>
          </cell>
          <cell r="L8">
            <v>16557050</v>
          </cell>
          <cell r="M8">
            <v>17024086</v>
          </cell>
          <cell r="N8">
            <v>17499407</v>
          </cell>
          <cell r="O8">
            <v>17987937</v>
          </cell>
          <cell r="P8">
            <v>18493048</v>
          </cell>
          <cell r="Q8">
            <v>19015505</v>
          </cell>
          <cell r="R8">
            <v>19553392</v>
          </cell>
          <cell r="S8">
            <v>20104223</v>
          </cell>
          <cell r="T8">
            <v>20664412</v>
          </cell>
          <cell r="U8">
            <v>21231329</v>
          </cell>
        </row>
        <row r="9">
          <cell r="A9" t="str">
            <v>Anguilla</v>
          </cell>
          <cell r="B9" t="str">
            <v>ANU</v>
          </cell>
          <cell r="C9" t="str">
            <v>LAC</v>
          </cell>
          <cell r="F9">
            <v>11233</v>
          </cell>
          <cell r="G9">
            <v>11430</v>
          </cell>
          <cell r="H9">
            <v>11637</v>
          </cell>
          <cell r="I9">
            <v>11848</v>
          </cell>
          <cell r="J9">
            <v>12057</v>
          </cell>
          <cell r="K9">
            <v>12256</v>
          </cell>
          <cell r="L9">
            <v>12445</v>
          </cell>
          <cell r="M9">
            <v>12625</v>
          </cell>
          <cell r="N9">
            <v>12799</v>
          </cell>
          <cell r="O9">
            <v>12973</v>
          </cell>
          <cell r="P9">
            <v>13149</v>
          </cell>
          <cell r="Q9">
            <v>13328</v>
          </cell>
          <cell r="R9">
            <v>13510</v>
          </cell>
          <cell r="S9">
            <v>13690</v>
          </cell>
          <cell r="T9">
            <v>13869</v>
          </cell>
          <cell r="U9">
            <v>14042</v>
          </cell>
        </row>
        <row r="10">
          <cell r="A10" t="str">
            <v>Antigua &amp; Barbuda</v>
          </cell>
          <cell r="B10" t="str">
            <v>ANI</v>
          </cell>
          <cell r="C10" t="str">
            <v>LAC</v>
          </cell>
          <cell r="F10">
            <v>76781</v>
          </cell>
          <cell r="G10">
            <v>78274</v>
          </cell>
          <cell r="H10">
            <v>79609</v>
          </cell>
          <cell r="I10">
            <v>80816</v>
          </cell>
          <cell r="J10">
            <v>81947</v>
          </cell>
          <cell r="K10">
            <v>83039</v>
          </cell>
          <cell r="L10">
            <v>84097</v>
          </cell>
          <cell r="M10">
            <v>85109</v>
          </cell>
          <cell r="N10">
            <v>86087</v>
          </cell>
          <cell r="O10">
            <v>87043</v>
          </cell>
          <cell r="P10">
            <v>87986</v>
          </cell>
          <cell r="Q10">
            <v>88922</v>
          </cell>
          <cell r="R10">
            <v>89855</v>
          </cell>
          <cell r="S10">
            <v>90779</v>
          </cell>
          <cell r="T10">
            <v>91693</v>
          </cell>
          <cell r="U10">
            <v>92589</v>
          </cell>
        </row>
        <row r="11">
          <cell r="A11" t="str">
            <v>Argentina</v>
          </cell>
          <cell r="B11" t="str">
            <v>ARG</v>
          </cell>
          <cell r="C11" t="str">
            <v>LAC</v>
          </cell>
          <cell r="D11" t="str">
            <v>Peso</v>
          </cell>
          <cell r="E11">
            <v>2.8706</v>
          </cell>
          <cell r="F11">
            <v>36895712</v>
          </cell>
          <cell r="G11">
            <v>37274397</v>
          </cell>
          <cell r="H11">
            <v>37642174</v>
          </cell>
          <cell r="I11">
            <v>38005141</v>
          </cell>
          <cell r="J11">
            <v>38371527</v>
          </cell>
          <cell r="K11">
            <v>38747148</v>
          </cell>
          <cell r="L11">
            <v>39134297</v>
          </cell>
          <cell r="M11">
            <v>39531118</v>
          </cell>
          <cell r="N11">
            <v>39934110</v>
          </cell>
          <cell r="O11">
            <v>40337793</v>
          </cell>
          <cell r="P11">
            <v>40737988</v>
          </cell>
          <cell r="Q11">
            <v>41133671</v>
          </cell>
          <cell r="R11">
            <v>41525585</v>
          </cell>
          <cell r="S11">
            <v>41913345</v>
          </cell>
          <cell r="T11">
            <v>42296916</v>
          </cell>
          <cell r="U11">
            <v>42676138</v>
          </cell>
        </row>
        <row r="12">
          <cell r="A12" t="str">
            <v>Armenia</v>
          </cell>
          <cell r="B12" t="str">
            <v>ARM</v>
          </cell>
          <cell r="C12" t="str">
            <v>EEUR</v>
          </cell>
          <cell r="D12" t="str">
            <v>Dram</v>
          </cell>
          <cell r="E12">
            <v>574.77</v>
          </cell>
          <cell r="F12">
            <v>3082000</v>
          </cell>
          <cell r="G12">
            <v>3064815</v>
          </cell>
          <cell r="H12">
            <v>3050157</v>
          </cell>
          <cell r="I12">
            <v>3037617</v>
          </cell>
          <cell r="J12">
            <v>3026879</v>
          </cell>
          <cell r="K12">
            <v>3017661</v>
          </cell>
          <cell r="L12">
            <v>3009549</v>
          </cell>
          <cell r="M12">
            <v>3002271</v>
          </cell>
          <cell r="N12">
            <v>2995890</v>
          </cell>
          <cell r="O12">
            <v>2990612</v>
          </cell>
          <cell r="P12">
            <v>2986527</v>
          </cell>
          <cell r="Q12">
            <v>2983525</v>
          </cell>
          <cell r="R12">
            <v>2981300</v>
          </cell>
          <cell r="S12">
            <v>2979517</v>
          </cell>
          <cell r="T12">
            <v>2977768</v>
          </cell>
          <cell r="U12">
            <v>2975711</v>
          </cell>
        </row>
        <row r="13">
          <cell r="A13" t="str">
            <v>Australia</v>
          </cell>
          <cell r="B13" t="str">
            <v>AUS</v>
          </cell>
          <cell r="C13" t="str">
            <v>EME</v>
          </cell>
          <cell r="F13">
            <v>19138735</v>
          </cell>
          <cell r="G13">
            <v>19367340</v>
          </cell>
          <cell r="H13">
            <v>19603872</v>
          </cell>
          <cell r="I13">
            <v>19843893</v>
          </cell>
          <cell r="J13">
            <v>20080889</v>
          </cell>
          <cell r="K13">
            <v>20310208</v>
          </cell>
          <cell r="L13">
            <v>20530423</v>
          </cell>
          <cell r="M13">
            <v>20743178</v>
          </cell>
          <cell r="N13">
            <v>20950604</v>
          </cell>
          <cell r="O13">
            <v>21156083</v>
          </cell>
          <cell r="P13">
            <v>21362106</v>
          </cell>
          <cell r="Q13">
            <v>21569099</v>
          </cell>
          <cell r="R13">
            <v>21776292</v>
          </cell>
          <cell r="S13">
            <v>21983583</v>
          </cell>
          <cell r="T13">
            <v>22190601</v>
          </cell>
          <cell r="U13">
            <v>22397030</v>
          </cell>
        </row>
        <row r="14">
          <cell r="A14" t="str">
            <v>Austria</v>
          </cell>
          <cell r="B14" t="str">
            <v>AUT</v>
          </cell>
          <cell r="C14" t="str">
            <v>EME</v>
          </cell>
          <cell r="F14">
            <v>8111408</v>
          </cell>
          <cell r="G14">
            <v>8137190</v>
          </cell>
          <cell r="H14">
            <v>8171742</v>
          </cell>
          <cell r="I14">
            <v>8212087</v>
          </cell>
          <cell r="J14">
            <v>8253379.9999999991</v>
          </cell>
          <cell r="K14">
            <v>8291978.9999999991</v>
          </cell>
          <cell r="L14">
            <v>8327446</v>
          </cell>
          <cell r="M14">
            <v>8360745.9999999991</v>
          </cell>
          <cell r="N14">
            <v>8391254</v>
          </cell>
          <cell r="O14">
            <v>8418472</v>
          </cell>
          <cell r="P14">
            <v>8442118</v>
          </cell>
          <cell r="Q14">
            <v>8461676</v>
          </cell>
          <cell r="R14">
            <v>8477259</v>
          </cell>
          <cell r="S14">
            <v>8490052</v>
          </cell>
          <cell r="T14">
            <v>8501754</v>
          </cell>
          <cell r="U14">
            <v>8513619</v>
          </cell>
        </row>
        <row r="15">
          <cell r="A15" t="str">
            <v>Azerbaijan</v>
          </cell>
          <cell r="B15" t="str">
            <v>AZE</v>
          </cell>
          <cell r="C15" t="str">
            <v>EEUR</v>
          </cell>
          <cell r="D15" t="str">
            <v>Manat</v>
          </cell>
          <cell r="E15">
            <v>4909.91</v>
          </cell>
          <cell r="F15">
            <v>8143111</v>
          </cell>
          <cell r="G15">
            <v>8189264</v>
          </cell>
          <cell r="H15">
            <v>8228955</v>
          </cell>
          <cell r="I15">
            <v>8266145</v>
          </cell>
          <cell r="J15">
            <v>8305941.0000000009</v>
          </cell>
          <cell r="K15">
            <v>8352021.0000000009</v>
          </cell>
          <cell r="L15">
            <v>8406028</v>
          </cell>
          <cell r="M15">
            <v>8467171</v>
          </cell>
          <cell r="N15">
            <v>8533620</v>
          </cell>
          <cell r="O15">
            <v>8602339</v>
          </cell>
          <cell r="P15">
            <v>8671004</v>
          </cell>
          <cell r="Q15">
            <v>8739108</v>
          </cell>
          <cell r="R15">
            <v>8807098</v>
          </cell>
          <cell r="S15">
            <v>8874658</v>
          </cell>
          <cell r="T15">
            <v>8941605</v>
          </cell>
          <cell r="U15">
            <v>9007672</v>
          </cell>
        </row>
        <row r="16">
          <cell r="A16" t="str">
            <v>Bahamas</v>
          </cell>
          <cell r="B16" t="str">
            <v>BAH</v>
          </cell>
          <cell r="C16" t="str">
            <v>LAC</v>
          </cell>
          <cell r="F16">
            <v>303150</v>
          </cell>
          <cell r="G16">
            <v>307333</v>
          </cell>
          <cell r="H16">
            <v>311397</v>
          </cell>
          <cell r="I16">
            <v>315379</v>
          </cell>
          <cell r="J16">
            <v>319333</v>
          </cell>
          <cell r="K16">
            <v>323295</v>
          </cell>
          <cell r="L16">
            <v>327279</v>
          </cell>
          <cell r="M16">
            <v>331277</v>
          </cell>
          <cell r="N16">
            <v>335286</v>
          </cell>
          <cell r="O16">
            <v>339296</v>
          </cell>
          <cell r="P16">
            <v>343295</v>
          </cell>
          <cell r="Q16">
            <v>347288</v>
          </cell>
          <cell r="R16">
            <v>351274</v>
          </cell>
          <cell r="S16">
            <v>355228</v>
          </cell>
          <cell r="T16">
            <v>359120</v>
          </cell>
          <cell r="U16">
            <v>362929</v>
          </cell>
        </row>
        <row r="17">
          <cell r="A17" t="str">
            <v>Bahrain</v>
          </cell>
          <cell r="B17" t="str">
            <v>BAA</v>
          </cell>
          <cell r="C17" t="str">
            <v>EMR</v>
          </cell>
          <cell r="F17">
            <v>650080</v>
          </cell>
          <cell r="G17">
            <v>664889</v>
          </cell>
          <cell r="H17">
            <v>679991</v>
          </cell>
          <cell r="I17">
            <v>695192</v>
          </cell>
          <cell r="J17">
            <v>710195</v>
          </cell>
          <cell r="K17">
            <v>724788</v>
          </cell>
          <cell r="L17">
            <v>738913</v>
          </cell>
          <cell r="M17">
            <v>752647</v>
          </cell>
          <cell r="N17">
            <v>766071</v>
          </cell>
          <cell r="O17">
            <v>779315</v>
          </cell>
          <cell r="P17">
            <v>792476</v>
          </cell>
          <cell r="Q17">
            <v>805570</v>
          </cell>
          <cell r="R17">
            <v>818563</v>
          </cell>
          <cell r="S17">
            <v>831432</v>
          </cell>
          <cell r="T17">
            <v>844142</v>
          </cell>
          <cell r="U17">
            <v>856668</v>
          </cell>
        </row>
        <row r="18">
          <cell r="A18" t="str">
            <v>Bangladesh</v>
          </cell>
          <cell r="B18" t="str">
            <v>BAN</v>
          </cell>
          <cell r="C18" t="str">
            <v>SEAR</v>
          </cell>
          <cell r="D18" t="str">
            <v>Taka</v>
          </cell>
          <cell r="E18">
            <v>58.423999999999999</v>
          </cell>
          <cell r="F18">
            <v>139434376</v>
          </cell>
          <cell r="G18">
            <v>142166620</v>
          </cell>
          <cell r="H18">
            <v>144943171</v>
          </cell>
          <cell r="I18">
            <v>147741226</v>
          </cell>
          <cell r="J18">
            <v>150528256</v>
          </cell>
          <cell r="K18">
            <v>153281120</v>
          </cell>
          <cell r="L18">
            <v>155990777</v>
          </cell>
          <cell r="M18">
            <v>158664960</v>
          </cell>
          <cell r="N18">
            <v>161317626</v>
          </cell>
          <cell r="O18">
            <v>163970361</v>
          </cell>
          <cell r="P18">
            <v>166638440</v>
          </cell>
          <cell r="Q18">
            <v>169324836</v>
          </cell>
          <cell r="R18">
            <v>172022820</v>
          </cell>
          <cell r="S18">
            <v>174726308</v>
          </cell>
          <cell r="T18">
            <v>177425806</v>
          </cell>
          <cell r="U18">
            <v>180113822</v>
          </cell>
        </row>
        <row r="19">
          <cell r="A19" t="str">
            <v>Barbados</v>
          </cell>
          <cell r="B19" t="str">
            <v>BAR</v>
          </cell>
          <cell r="C19" t="str">
            <v>LAC</v>
          </cell>
          <cell r="F19">
            <v>286437</v>
          </cell>
          <cell r="G19">
            <v>287600</v>
          </cell>
          <cell r="H19">
            <v>288732</v>
          </cell>
          <cell r="I19">
            <v>289834</v>
          </cell>
          <cell r="J19">
            <v>290901</v>
          </cell>
          <cell r="K19">
            <v>291933</v>
          </cell>
          <cell r="L19">
            <v>292930</v>
          </cell>
          <cell r="M19">
            <v>293894</v>
          </cell>
          <cell r="N19">
            <v>294826</v>
          </cell>
          <cell r="O19">
            <v>295725</v>
          </cell>
          <cell r="P19">
            <v>296590</v>
          </cell>
          <cell r="Q19">
            <v>297421</v>
          </cell>
          <cell r="R19">
            <v>298215</v>
          </cell>
          <cell r="S19">
            <v>298969</v>
          </cell>
          <cell r="T19">
            <v>299679</v>
          </cell>
          <cell r="U19">
            <v>300341</v>
          </cell>
        </row>
        <row r="20">
          <cell r="A20" t="str">
            <v>Belarus</v>
          </cell>
          <cell r="B20" t="str">
            <v>BLR</v>
          </cell>
          <cell r="C20" t="str">
            <v>EEUR</v>
          </cell>
          <cell r="F20">
            <v>10052186</v>
          </cell>
          <cell r="G20">
            <v>10001408</v>
          </cell>
          <cell r="H20">
            <v>9950507</v>
          </cell>
          <cell r="I20">
            <v>9899464</v>
          </cell>
          <cell r="J20">
            <v>9847822</v>
          </cell>
          <cell r="K20">
            <v>9795287</v>
          </cell>
          <cell r="L20">
            <v>9742122</v>
          </cell>
          <cell r="M20">
            <v>9688796</v>
          </cell>
          <cell r="N20">
            <v>9635397</v>
          </cell>
          <cell r="O20">
            <v>9581970</v>
          </cell>
          <cell r="P20">
            <v>9528528</v>
          </cell>
          <cell r="Q20">
            <v>9475150</v>
          </cell>
          <cell r="R20">
            <v>9421819</v>
          </cell>
          <cell r="S20">
            <v>9368319</v>
          </cell>
          <cell r="T20">
            <v>9314344</v>
          </cell>
          <cell r="U20">
            <v>9259657</v>
          </cell>
        </row>
        <row r="21">
          <cell r="A21" t="str">
            <v>Belgium</v>
          </cell>
          <cell r="B21" t="str">
            <v>BEL</v>
          </cell>
          <cell r="C21" t="str">
            <v>EME</v>
          </cell>
          <cell r="F21">
            <v>10193094</v>
          </cell>
          <cell r="G21">
            <v>10229003</v>
          </cell>
          <cell r="H21">
            <v>10271133</v>
          </cell>
          <cell r="I21">
            <v>10316246</v>
          </cell>
          <cell r="J21">
            <v>10359678</v>
          </cell>
          <cell r="K21">
            <v>10398049</v>
          </cell>
          <cell r="L21">
            <v>10430281</v>
          </cell>
          <cell r="M21">
            <v>10457344</v>
          </cell>
          <cell r="N21">
            <v>10480390</v>
          </cell>
          <cell r="O21">
            <v>10501376</v>
          </cell>
          <cell r="P21">
            <v>10521760</v>
          </cell>
          <cell r="Q21">
            <v>10541735</v>
          </cell>
          <cell r="R21">
            <v>10560832</v>
          </cell>
          <cell r="S21">
            <v>10579085</v>
          </cell>
          <cell r="T21">
            <v>10596425</v>
          </cell>
          <cell r="U21">
            <v>10612819</v>
          </cell>
        </row>
        <row r="22">
          <cell r="A22" t="str">
            <v>Belize</v>
          </cell>
          <cell r="B22" t="str">
            <v>BLZ</v>
          </cell>
          <cell r="C22" t="str">
            <v>LAC</v>
          </cell>
          <cell r="D22" t="str">
            <v>Belize Dollar</v>
          </cell>
          <cell r="E22">
            <v>2</v>
          </cell>
          <cell r="F22">
            <v>244661</v>
          </cell>
          <cell r="G22">
            <v>250858</v>
          </cell>
          <cell r="H22">
            <v>257056</v>
          </cell>
          <cell r="I22">
            <v>263242</v>
          </cell>
          <cell r="J22">
            <v>269409</v>
          </cell>
          <cell r="K22">
            <v>275546</v>
          </cell>
          <cell r="L22">
            <v>281644</v>
          </cell>
          <cell r="M22">
            <v>287698</v>
          </cell>
          <cell r="N22">
            <v>293717</v>
          </cell>
          <cell r="O22">
            <v>299708</v>
          </cell>
          <cell r="P22">
            <v>305680</v>
          </cell>
          <cell r="Q22">
            <v>311634</v>
          </cell>
          <cell r="R22">
            <v>317562</v>
          </cell>
          <cell r="S22">
            <v>323450</v>
          </cell>
          <cell r="T22">
            <v>329281</v>
          </cell>
          <cell r="U22">
            <v>335042</v>
          </cell>
        </row>
        <row r="23">
          <cell r="A23" t="str">
            <v>Benin</v>
          </cell>
          <cell r="B23" t="str">
            <v>BEN</v>
          </cell>
          <cell r="C23" t="str">
            <v>AFRlow</v>
          </cell>
          <cell r="D23" t="str">
            <v>Franc</v>
          </cell>
          <cell r="E23">
            <v>561.04999999999995</v>
          </cell>
          <cell r="F23">
            <v>7227219</v>
          </cell>
          <cell r="G23">
            <v>7460067</v>
          </cell>
          <cell r="H23">
            <v>7705654</v>
          </cell>
          <cell r="I23">
            <v>7961594</v>
          </cell>
          <cell r="J23">
            <v>8224097</v>
          </cell>
          <cell r="K23">
            <v>8490301</v>
          </cell>
          <cell r="L23">
            <v>8759655</v>
          </cell>
          <cell r="M23">
            <v>9032787</v>
          </cell>
          <cell r="N23">
            <v>9309370</v>
          </cell>
          <cell r="O23">
            <v>9589269</v>
          </cell>
          <cell r="P23">
            <v>9872366</v>
          </cell>
          <cell r="Q23">
            <v>10158201</v>
          </cell>
          <cell r="R23">
            <v>10446525</v>
          </cell>
          <cell r="S23">
            <v>10737735</v>
          </cell>
          <cell r="T23">
            <v>11032474</v>
          </cell>
          <cell r="U23">
            <v>11331143</v>
          </cell>
        </row>
        <row r="24">
          <cell r="A24" t="str">
            <v>Bermuda</v>
          </cell>
          <cell r="B24" t="str">
            <v>BER</v>
          </cell>
          <cell r="C24" t="str">
            <v>LAC</v>
          </cell>
          <cell r="F24">
            <v>62864</v>
          </cell>
          <cell r="G24">
            <v>63145</v>
          </cell>
          <cell r="H24">
            <v>63423</v>
          </cell>
          <cell r="I24">
            <v>63692</v>
          </cell>
          <cell r="J24">
            <v>63944</v>
          </cell>
          <cell r="K24">
            <v>64174</v>
          </cell>
          <cell r="L24">
            <v>64378</v>
          </cell>
          <cell r="M24">
            <v>64559</v>
          </cell>
          <cell r="N24">
            <v>64719</v>
          </cell>
          <cell r="O24">
            <v>64863</v>
          </cell>
          <cell r="P24">
            <v>64995</v>
          </cell>
          <cell r="Q24">
            <v>65115</v>
          </cell>
          <cell r="R24">
            <v>65222</v>
          </cell>
          <cell r="S24">
            <v>65321</v>
          </cell>
          <cell r="T24">
            <v>65411</v>
          </cell>
          <cell r="U24">
            <v>65497</v>
          </cell>
        </row>
        <row r="25">
          <cell r="A25" t="str">
            <v>Bhutan</v>
          </cell>
          <cell r="B25" t="str">
            <v>BHU</v>
          </cell>
          <cell r="C25" t="str">
            <v>SEAR</v>
          </cell>
          <cell r="D25" t="str">
            <v>Ngultrum</v>
          </cell>
          <cell r="E25">
            <v>45.393999999999998</v>
          </cell>
          <cell r="F25">
            <v>558565</v>
          </cell>
          <cell r="G25">
            <v>574296</v>
          </cell>
          <cell r="H25">
            <v>590883</v>
          </cell>
          <cell r="I25">
            <v>607475</v>
          </cell>
          <cell r="J25">
            <v>623082</v>
          </cell>
          <cell r="K25">
            <v>637013</v>
          </cell>
          <cell r="L25">
            <v>648766</v>
          </cell>
          <cell r="M25">
            <v>658481</v>
          </cell>
          <cell r="N25">
            <v>666918</v>
          </cell>
          <cell r="O25">
            <v>675241</v>
          </cell>
          <cell r="P25">
            <v>684282</v>
          </cell>
          <cell r="Q25">
            <v>694271</v>
          </cell>
          <cell r="R25">
            <v>704908</v>
          </cell>
          <cell r="S25">
            <v>715857</v>
          </cell>
          <cell r="T25">
            <v>726585</v>
          </cell>
          <cell r="U25">
            <v>736707</v>
          </cell>
        </row>
        <row r="26">
          <cell r="A26" t="str">
            <v>Bolivia</v>
          </cell>
          <cell r="B26" t="str">
            <v>BOL</v>
          </cell>
          <cell r="C26" t="str">
            <v>LAC</v>
          </cell>
          <cell r="D26" t="str">
            <v>Bolivianos</v>
          </cell>
          <cell r="E26">
            <v>7.7503000000000002</v>
          </cell>
          <cell r="F26">
            <v>8316647.9999999991</v>
          </cell>
          <cell r="G26">
            <v>8488241</v>
          </cell>
          <cell r="H26">
            <v>8661336</v>
          </cell>
          <cell r="I26">
            <v>8835246</v>
          </cell>
          <cell r="J26">
            <v>9009045</v>
          </cell>
          <cell r="K26">
            <v>9182015</v>
          </cell>
          <cell r="L26">
            <v>9353846</v>
          </cell>
          <cell r="M26">
            <v>9524569</v>
          </cell>
          <cell r="N26">
            <v>9694231</v>
          </cell>
          <cell r="O26">
            <v>9863010</v>
          </cell>
          <cell r="P26">
            <v>10031005</v>
          </cell>
          <cell r="Q26">
            <v>10198116</v>
          </cell>
          <cell r="R26">
            <v>10364136</v>
          </cell>
          <cell r="S26">
            <v>10528938</v>
          </cell>
          <cell r="T26">
            <v>10692383</v>
          </cell>
          <cell r="U26">
            <v>10854338</v>
          </cell>
        </row>
        <row r="27">
          <cell r="A27" t="str">
            <v>Bosnia &amp; Herzegovina</v>
          </cell>
          <cell r="B27" t="str">
            <v>BIH</v>
          </cell>
          <cell r="C27" t="str">
            <v>CEUR</v>
          </cell>
          <cell r="F27">
            <v>3787258</v>
          </cell>
          <cell r="G27">
            <v>3846296</v>
          </cell>
          <cell r="H27">
            <v>3880775</v>
          </cell>
          <cell r="I27">
            <v>3896625</v>
          </cell>
          <cell r="J27">
            <v>3905323</v>
          </cell>
          <cell r="K27">
            <v>3915238</v>
          </cell>
          <cell r="L27">
            <v>3926406</v>
          </cell>
          <cell r="M27">
            <v>3934818</v>
          </cell>
          <cell r="N27">
            <v>3940397</v>
          </cell>
          <cell r="O27">
            <v>3942702</v>
          </cell>
          <cell r="P27">
            <v>3941513</v>
          </cell>
          <cell r="Q27">
            <v>3937058</v>
          </cell>
          <cell r="R27">
            <v>3929946</v>
          </cell>
          <cell r="S27">
            <v>3920763</v>
          </cell>
          <cell r="T27">
            <v>3910208</v>
          </cell>
          <cell r="U27">
            <v>3898819</v>
          </cell>
        </row>
        <row r="28">
          <cell r="A28" t="str">
            <v>Botswana</v>
          </cell>
          <cell r="B28" t="str">
            <v>BOT</v>
          </cell>
          <cell r="C28" t="str">
            <v>AFRhigh</v>
          </cell>
          <cell r="D28" t="str">
            <v>Pula</v>
          </cell>
          <cell r="E28">
            <v>4.6512000000000002</v>
          </cell>
          <cell r="F28">
            <v>1728872</v>
          </cell>
          <cell r="G28">
            <v>1753407</v>
          </cell>
          <cell r="H28">
            <v>1775148</v>
          </cell>
          <cell r="I28">
            <v>1795203</v>
          </cell>
          <cell r="J28">
            <v>1815097</v>
          </cell>
          <cell r="K28">
            <v>1835938</v>
          </cell>
          <cell r="L28">
            <v>1858163</v>
          </cell>
          <cell r="M28">
            <v>1881507</v>
          </cell>
          <cell r="N28">
            <v>1905516</v>
          </cell>
          <cell r="O28">
            <v>1929429</v>
          </cell>
          <cell r="P28">
            <v>1952694</v>
          </cell>
          <cell r="Q28">
            <v>1975236</v>
          </cell>
          <cell r="R28">
            <v>1997279</v>
          </cell>
          <cell r="S28">
            <v>2018907</v>
          </cell>
          <cell r="T28">
            <v>2040279</v>
          </cell>
          <cell r="U28">
            <v>2061508</v>
          </cell>
        </row>
        <row r="29">
          <cell r="A29" t="str">
            <v>Brazil</v>
          </cell>
          <cell r="B29" t="str">
            <v>BRA</v>
          </cell>
          <cell r="C29" t="str">
            <v>LAC</v>
          </cell>
          <cell r="D29" t="str">
            <v>Reai</v>
          </cell>
          <cell r="E29">
            <v>2.8610000000000002</v>
          </cell>
          <cell r="F29">
            <v>174160601</v>
          </cell>
          <cell r="G29">
            <v>176701773</v>
          </cell>
          <cell r="H29">
            <v>179246095</v>
          </cell>
          <cell r="I29">
            <v>181787237</v>
          </cell>
          <cell r="J29">
            <v>184317696</v>
          </cell>
          <cell r="K29">
            <v>186830759</v>
          </cell>
          <cell r="L29">
            <v>189322987</v>
          </cell>
          <cell r="M29">
            <v>191790931</v>
          </cell>
          <cell r="N29">
            <v>194227983</v>
          </cell>
          <cell r="O29">
            <v>196626882</v>
          </cell>
          <cell r="P29">
            <v>198981989</v>
          </cell>
          <cell r="Q29">
            <v>201289457</v>
          </cell>
          <cell r="R29">
            <v>203548242</v>
          </cell>
          <cell r="S29">
            <v>205759257</v>
          </cell>
          <cell r="T29">
            <v>207925074</v>
          </cell>
          <cell r="U29">
            <v>210047545</v>
          </cell>
        </row>
        <row r="30">
          <cell r="A30" t="str">
            <v>British Virgin Islands</v>
          </cell>
          <cell r="B30" t="str">
            <v>VIB</v>
          </cell>
          <cell r="C30" t="str">
            <v>LAC</v>
          </cell>
          <cell r="F30">
            <v>20522</v>
          </cell>
          <cell r="G30">
            <v>20867</v>
          </cell>
          <cell r="H30">
            <v>21180</v>
          </cell>
          <cell r="I30">
            <v>21469</v>
          </cell>
          <cell r="J30">
            <v>21745</v>
          </cell>
          <cell r="K30">
            <v>22016</v>
          </cell>
          <cell r="L30">
            <v>22283</v>
          </cell>
          <cell r="M30">
            <v>22545</v>
          </cell>
          <cell r="N30">
            <v>22802</v>
          </cell>
          <cell r="O30">
            <v>23052</v>
          </cell>
          <cell r="P30">
            <v>23296</v>
          </cell>
          <cell r="Q30">
            <v>23534</v>
          </cell>
          <cell r="R30">
            <v>23768</v>
          </cell>
          <cell r="S30">
            <v>23997</v>
          </cell>
          <cell r="T30">
            <v>24222</v>
          </cell>
          <cell r="U30">
            <v>24445</v>
          </cell>
        </row>
        <row r="31">
          <cell r="A31" t="str">
            <v>Brunei Darussalam</v>
          </cell>
          <cell r="B31" t="str">
            <v>BRU</v>
          </cell>
          <cell r="C31" t="str">
            <v>WPR</v>
          </cell>
          <cell r="F31">
            <v>333469</v>
          </cell>
          <cell r="G31">
            <v>341416</v>
          </cell>
          <cell r="H31">
            <v>349456</v>
          </cell>
          <cell r="I31">
            <v>357562</v>
          </cell>
          <cell r="J31">
            <v>365697</v>
          </cell>
          <cell r="K31">
            <v>373831</v>
          </cell>
          <cell r="L31">
            <v>381952</v>
          </cell>
          <cell r="M31">
            <v>390058</v>
          </cell>
          <cell r="N31">
            <v>398142</v>
          </cell>
          <cell r="O31">
            <v>406196</v>
          </cell>
          <cell r="P31">
            <v>414215</v>
          </cell>
          <cell r="Q31">
            <v>422191</v>
          </cell>
          <cell r="R31">
            <v>430117</v>
          </cell>
          <cell r="S31">
            <v>437981</v>
          </cell>
          <cell r="T31">
            <v>445775</v>
          </cell>
          <cell r="U31">
            <v>453488</v>
          </cell>
        </row>
        <row r="32">
          <cell r="A32" t="str">
            <v>Bulgaria</v>
          </cell>
          <cell r="B32" t="str">
            <v>BUL</v>
          </cell>
          <cell r="C32" t="str">
            <v>EEUR</v>
          </cell>
          <cell r="F32">
            <v>8002519</v>
          </cell>
          <cell r="G32">
            <v>7945937</v>
          </cell>
          <cell r="H32">
            <v>7893633</v>
          </cell>
          <cell r="I32">
            <v>7843980</v>
          </cell>
          <cell r="J32">
            <v>7794837</v>
          </cell>
          <cell r="K32">
            <v>7744591</v>
          </cell>
          <cell r="L32">
            <v>7692546</v>
          </cell>
          <cell r="M32">
            <v>7638830</v>
          </cell>
          <cell r="N32">
            <v>7583684</v>
          </cell>
          <cell r="O32">
            <v>7527700</v>
          </cell>
          <cell r="P32">
            <v>7471300</v>
          </cell>
          <cell r="Q32">
            <v>7414396</v>
          </cell>
          <cell r="R32">
            <v>7356711</v>
          </cell>
          <cell r="S32">
            <v>7298300</v>
          </cell>
          <cell r="T32">
            <v>7239239</v>
          </cell>
          <cell r="U32">
            <v>7179590</v>
          </cell>
        </row>
        <row r="33">
          <cell r="A33" t="str">
            <v>Burkina Faso</v>
          </cell>
          <cell r="B33" t="str">
            <v>BFA</v>
          </cell>
          <cell r="C33" t="str">
            <v>AFRlow</v>
          </cell>
          <cell r="D33" t="str">
            <v>Franc</v>
          </cell>
          <cell r="E33">
            <v>561.04999999999995</v>
          </cell>
          <cell r="F33">
            <v>11881774</v>
          </cell>
          <cell r="G33">
            <v>12261952</v>
          </cell>
          <cell r="H33">
            <v>12663998</v>
          </cell>
          <cell r="I33">
            <v>13081911</v>
          </cell>
          <cell r="J33">
            <v>13507102</v>
          </cell>
          <cell r="K33">
            <v>13933363</v>
          </cell>
          <cell r="L33">
            <v>14358500</v>
          </cell>
          <cell r="M33">
            <v>14784289</v>
          </cell>
          <cell r="N33">
            <v>15213314</v>
          </cell>
          <cell r="O33">
            <v>15649816</v>
          </cell>
          <cell r="P33">
            <v>16096848</v>
          </cell>
          <cell r="Q33">
            <v>16554801</v>
          </cell>
          <cell r="R33">
            <v>17022377</v>
          </cell>
          <cell r="S33">
            <v>17498962</v>
          </cell>
          <cell r="T33">
            <v>17983503</v>
          </cell>
          <cell r="U33">
            <v>18475153</v>
          </cell>
        </row>
        <row r="34">
          <cell r="A34" t="str">
            <v>Burundi</v>
          </cell>
          <cell r="B34" t="str">
            <v>BUU</v>
          </cell>
          <cell r="C34" t="str">
            <v>AFRhigh</v>
          </cell>
          <cell r="D34" t="str">
            <v>Franc</v>
          </cell>
          <cell r="E34">
            <v>1073.25</v>
          </cell>
          <cell r="F34">
            <v>6668084</v>
          </cell>
          <cell r="G34">
            <v>6839210</v>
          </cell>
          <cell r="H34">
            <v>7049129</v>
          </cell>
          <cell r="I34">
            <v>7293788</v>
          </cell>
          <cell r="J34">
            <v>7565782</v>
          </cell>
          <cell r="K34">
            <v>7858791</v>
          </cell>
          <cell r="L34">
            <v>8173070</v>
          </cell>
          <cell r="M34">
            <v>8508229</v>
          </cell>
          <cell r="N34">
            <v>8856221</v>
          </cell>
          <cell r="O34">
            <v>9206890</v>
          </cell>
          <cell r="P34">
            <v>9552918</v>
          </cell>
          <cell r="Q34">
            <v>9890426</v>
          </cell>
          <cell r="R34">
            <v>10220757</v>
          </cell>
          <cell r="S34">
            <v>10548390</v>
          </cell>
          <cell r="T34">
            <v>10880570</v>
          </cell>
          <cell r="U34">
            <v>11222569</v>
          </cell>
        </row>
        <row r="35">
          <cell r="A35" t="str">
            <v>Cambodia</v>
          </cell>
          <cell r="B35" t="str">
            <v>CAM</v>
          </cell>
          <cell r="C35" t="str">
            <v>WPR</v>
          </cell>
          <cell r="D35" t="str">
            <v>Riel</v>
          </cell>
          <cell r="E35">
            <v>4001</v>
          </cell>
          <cell r="F35">
            <v>12779568</v>
          </cell>
          <cell r="G35">
            <v>13023501</v>
          </cell>
          <cell r="H35">
            <v>13258758</v>
          </cell>
          <cell r="I35">
            <v>13489330</v>
          </cell>
          <cell r="J35">
            <v>13720274</v>
          </cell>
          <cell r="K35">
            <v>13955507</v>
          </cell>
          <cell r="L35">
            <v>14196611</v>
          </cell>
          <cell r="M35">
            <v>14443678</v>
          </cell>
          <cell r="N35">
            <v>14697217</v>
          </cell>
          <cell r="O35">
            <v>14957208</v>
          </cell>
          <cell r="P35">
            <v>15223505</v>
          </cell>
          <cell r="Q35">
            <v>15496504</v>
          </cell>
          <cell r="R35">
            <v>15776188</v>
          </cell>
          <cell r="S35">
            <v>16061313</v>
          </cell>
          <cell r="T35">
            <v>16350115</v>
          </cell>
          <cell r="U35">
            <v>16641072</v>
          </cell>
        </row>
        <row r="36">
          <cell r="A36" t="str">
            <v>Cameroon</v>
          </cell>
          <cell r="B36" t="str">
            <v>CAE</v>
          </cell>
          <cell r="C36" t="str">
            <v>AFRhigh</v>
          </cell>
          <cell r="D36" t="str">
            <v>Franc</v>
          </cell>
          <cell r="E36">
            <v>564.41</v>
          </cell>
          <cell r="F36">
            <v>15860778</v>
          </cell>
          <cell r="G36">
            <v>16240110</v>
          </cell>
          <cell r="H36">
            <v>16627376</v>
          </cell>
          <cell r="I36">
            <v>17018907</v>
          </cell>
          <cell r="J36">
            <v>17409433</v>
          </cell>
          <cell r="K36">
            <v>17795149</v>
          </cell>
          <cell r="L36">
            <v>18174696</v>
          </cell>
          <cell r="M36">
            <v>18549179</v>
          </cell>
          <cell r="N36">
            <v>18920236</v>
          </cell>
          <cell r="O36">
            <v>19290538</v>
          </cell>
          <cell r="P36">
            <v>19661991</v>
          </cell>
          <cell r="Q36">
            <v>20034913</v>
          </cell>
          <cell r="R36">
            <v>20408452</v>
          </cell>
          <cell r="S36">
            <v>20781972</v>
          </cell>
          <cell r="T36">
            <v>21154471</v>
          </cell>
          <cell r="U36">
            <v>21525198</v>
          </cell>
        </row>
        <row r="37">
          <cell r="A37" t="str">
            <v>Canada</v>
          </cell>
          <cell r="B37" t="str">
            <v>CAN</v>
          </cell>
          <cell r="C37" t="str">
            <v>EME</v>
          </cell>
          <cell r="F37">
            <v>30689036</v>
          </cell>
          <cell r="G37">
            <v>30991926</v>
          </cell>
          <cell r="H37">
            <v>31308230</v>
          </cell>
          <cell r="I37">
            <v>31632169</v>
          </cell>
          <cell r="J37">
            <v>31955042</v>
          </cell>
          <cell r="K37">
            <v>32270507</v>
          </cell>
          <cell r="L37">
            <v>32576860</v>
          </cell>
          <cell r="M37">
            <v>32876045</v>
          </cell>
          <cell r="N37">
            <v>33169733.999999996</v>
          </cell>
          <cell r="O37">
            <v>33460860.999999996</v>
          </cell>
          <cell r="P37">
            <v>33751570</v>
          </cell>
          <cell r="Q37">
            <v>34041966</v>
          </cell>
          <cell r="R37">
            <v>34331141</v>
          </cell>
          <cell r="S37">
            <v>34619080</v>
          </cell>
          <cell r="T37">
            <v>34905630</v>
          </cell>
          <cell r="U37">
            <v>35190631</v>
          </cell>
        </row>
        <row r="38">
          <cell r="A38" t="str">
            <v>Cape Verde</v>
          </cell>
          <cell r="B38" t="str">
            <v>CAV</v>
          </cell>
          <cell r="C38" t="str">
            <v>AFRlow</v>
          </cell>
          <cell r="D38" t="str">
            <v>Escudo</v>
          </cell>
          <cell r="E38">
            <v>94.316000000000003</v>
          </cell>
          <cell r="F38">
            <v>450597</v>
          </cell>
          <cell r="G38">
            <v>461331</v>
          </cell>
          <cell r="H38">
            <v>472372</v>
          </cell>
          <cell r="I38">
            <v>483675</v>
          </cell>
          <cell r="J38">
            <v>495171</v>
          </cell>
          <cell r="K38">
            <v>506807</v>
          </cell>
          <cell r="L38">
            <v>518562</v>
          </cell>
          <cell r="M38">
            <v>530438</v>
          </cell>
          <cell r="N38">
            <v>542422</v>
          </cell>
          <cell r="O38">
            <v>554505</v>
          </cell>
          <cell r="P38">
            <v>566677</v>
          </cell>
          <cell r="Q38">
            <v>578925</v>
          </cell>
          <cell r="R38">
            <v>591231</v>
          </cell>
          <cell r="S38">
            <v>603575</v>
          </cell>
          <cell r="T38">
            <v>615934</v>
          </cell>
          <cell r="U38">
            <v>628293</v>
          </cell>
        </row>
        <row r="39">
          <cell r="A39" t="str">
            <v>Cayman Islands</v>
          </cell>
          <cell r="B39" t="str">
            <v>CAY</v>
          </cell>
          <cell r="C39" t="str">
            <v>LAC</v>
          </cell>
          <cell r="F39">
            <v>40232</v>
          </cell>
          <cell r="G39">
            <v>41494</v>
          </cell>
          <cell r="H39">
            <v>42649</v>
          </cell>
          <cell r="I39">
            <v>43706</v>
          </cell>
          <cell r="J39">
            <v>44682</v>
          </cell>
          <cell r="K39">
            <v>45591</v>
          </cell>
          <cell r="L39">
            <v>46435</v>
          </cell>
          <cell r="M39">
            <v>47210</v>
          </cell>
          <cell r="N39">
            <v>47919</v>
          </cell>
          <cell r="O39">
            <v>48565</v>
          </cell>
          <cell r="P39">
            <v>49153</v>
          </cell>
          <cell r="Q39">
            <v>49684</v>
          </cell>
          <cell r="R39">
            <v>50165</v>
          </cell>
          <cell r="S39">
            <v>50610</v>
          </cell>
          <cell r="T39">
            <v>51037</v>
          </cell>
          <cell r="U39">
            <v>51459</v>
          </cell>
        </row>
        <row r="40">
          <cell r="A40" t="str">
            <v>Central African Republic</v>
          </cell>
          <cell r="B40" t="str">
            <v>CAF</v>
          </cell>
          <cell r="C40" t="str">
            <v>AFRhigh</v>
          </cell>
          <cell r="D40" t="str">
            <v>Franc</v>
          </cell>
          <cell r="E40">
            <v>561.04999999999995</v>
          </cell>
          <cell r="F40">
            <v>3863718</v>
          </cell>
          <cell r="G40">
            <v>3933039</v>
          </cell>
          <cell r="H40">
            <v>3997410</v>
          </cell>
          <cell r="I40">
            <v>4059572</v>
          </cell>
          <cell r="J40">
            <v>4123325</v>
          </cell>
          <cell r="K40">
            <v>4191429</v>
          </cell>
          <cell r="L40">
            <v>4264806</v>
          </cell>
          <cell r="M40">
            <v>4342736</v>
          </cell>
          <cell r="N40">
            <v>4424292</v>
          </cell>
          <cell r="O40">
            <v>4507875</v>
          </cell>
          <cell r="P40">
            <v>4592236</v>
          </cell>
          <cell r="Q40">
            <v>4677254</v>
          </cell>
          <cell r="R40">
            <v>4763160</v>
          </cell>
          <cell r="S40">
            <v>4849423</v>
          </cell>
          <cell r="T40">
            <v>4935455</v>
          </cell>
          <cell r="U40">
            <v>5020797</v>
          </cell>
        </row>
        <row r="41">
          <cell r="A41" t="str">
            <v>Chad</v>
          </cell>
          <cell r="B41" t="str">
            <v>CHA</v>
          </cell>
          <cell r="C41" t="str">
            <v>AFRlow</v>
          </cell>
          <cell r="D41" t="str">
            <v>Franc</v>
          </cell>
          <cell r="E41">
            <v>561.04999999999995</v>
          </cell>
          <cell r="F41">
            <v>8465430</v>
          </cell>
          <cell r="G41">
            <v>8782786</v>
          </cell>
          <cell r="H41">
            <v>9118887</v>
          </cell>
          <cell r="I41">
            <v>9465233</v>
          </cell>
          <cell r="J41">
            <v>9810218</v>
          </cell>
          <cell r="K41">
            <v>10145609</v>
          </cell>
          <cell r="L41">
            <v>10468179</v>
          </cell>
          <cell r="M41">
            <v>10780573</v>
          </cell>
          <cell r="N41">
            <v>11087698</v>
          </cell>
          <cell r="O41">
            <v>11397225</v>
          </cell>
          <cell r="P41">
            <v>11714904</v>
          </cell>
          <cell r="Q41">
            <v>12042161</v>
          </cell>
          <cell r="R41">
            <v>12377650</v>
          </cell>
          <cell r="S41">
            <v>12721125</v>
          </cell>
          <cell r="T41">
            <v>13071630</v>
          </cell>
          <cell r="U41">
            <v>13428620</v>
          </cell>
        </row>
        <row r="42">
          <cell r="A42" t="str">
            <v>Chile</v>
          </cell>
          <cell r="B42" t="str">
            <v>CHI</v>
          </cell>
          <cell r="C42" t="str">
            <v>LAC</v>
          </cell>
          <cell r="F42">
            <v>15411830</v>
          </cell>
          <cell r="G42">
            <v>15596338</v>
          </cell>
          <cell r="H42">
            <v>15775677</v>
          </cell>
          <cell r="I42">
            <v>15951029</v>
          </cell>
          <cell r="J42">
            <v>16123815</v>
          </cell>
          <cell r="K42">
            <v>16295102</v>
          </cell>
          <cell r="L42">
            <v>16465419.000000002</v>
          </cell>
          <cell r="M42">
            <v>16634758.000000002</v>
          </cell>
          <cell r="N42">
            <v>16802953</v>
          </cell>
          <cell r="O42">
            <v>16969574</v>
          </cell>
          <cell r="P42">
            <v>17134263</v>
          </cell>
          <cell r="Q42">
            <v>17297076</v>
          </cell>
          <cell r="R42">
            <v>17458066</v>
          </cell>
          <cell r="S42">
            <v>17616820</v>
          </cell>
          <cell r="T42">
            <v>17772805</v>
          </cell>
          <cell r="U42">
            <v>17925603</v>
          </cell>
        </row>
        <row r="43">
          <cell r="A43" t="str">
            <v>China</v>
          </cell>
          <cell r="B43" t="str">
            <v>CHN</v>
          </cell>
          <cell r="C43" t="str">
            <v>WPR</v>
          </cell>
          <cell r="D43" t="str">
            <v>Yuan</v>
          </cell>
          <cell r="E43">
            <v>8.2767999999999997</v>
          </cell>
          <cell r="F43">
            <v>1269961711</v>
          </cell>
          <cell r="G43">
            <v>1279485526</v>
          </cell>
          <cell r="H43">
            <v>1288400832</v>
          </cell>
          <cell r="I43">
            <v>1296838416</v>
          </cell>
          <cell r="J43">
            <v>1304983325</v>
          </cell>
          <cell r="K43">
            <v>1312978855</v>
          </cell>
          <cell r="L43">
            <v>1320864226</v>
          </cell>
          <cell r="M43">
            <v>1328629911</v>
          </cell>
          <cell r="N43">
            <v>1336310713</v>
          </cell>
          <cell r="O43">
            <v>1343932885</v>
          </cell>
          <cell r="P43">
            <v>1351512494</v>
          </cell>
          <cell r="Q43">
            <v>1359068661</v>
          </cell>
          <cell r="R43">
            <v>1366599088</v>
          </cell>
          <cell r="S43">
            <v>1374066829</v>
          </cell>
          <cell r="T43">
            <v>1381416319</v>
          </cell>
          <cell r="U43">
            <v>1388599811</v>
          </cell>
        </row>
        <row r="44">
          <cell r="A44" t="str">
            <v>China, Hong Kong SAR</v>
          </cell>
          <cell r="B44" t="str">
            <v>HOK</v>
          </cell>
          <cell r="C44" t="str">
            <v>WPR</v>
          </cell>
          <cell r="F44">
            <v>6662170</v>
          </cell>
          <cell r="G44">
            <v>6745642</v>
          </cell>
          <cell r="H44">
            <v>6826365</v>
          </cell>
          <cell r="I44">
            <v>6904815</v>
          </cell>
          <cell r="J44">
            <v>6981667</v>
          </cell>
          <cell r="K44">
            <v>7057418</v>
          </cell>
          <cell r="L44">
            <v>7132261</v>
          </cell>
          <cell r="M44">
            <v>7206088</v>
          </cell>
          <cell r="N44">
            <v>7278734</v>
          </cell>
          <cell r="O44">
            <v>7349909</v>
          </cell>
          <cell r="P44">
            <v>7419413</v>
          </cell>
          <cell r="Q44">
            <v>7487223</v>
          </cell>
          <cell r="R44">
            <v>7553471</v>
          </cell>
          <cell r="S44">
            <v>7618290</v>
          </cell>
          <cell r="T44">
            <v>7681874</v>
          </cell>
          <cell r="U44">
            <v>7744361</v>
          </cell>
        </row>
        <row r="45">
          <cell r="A45" t="str">
            <v>China, Macao SAR</v>
          </cell>
          <cell r="B45" t="str">
            <v>MAC</v>
          </cell>
          <cell r="C45" t="str">
            <v>WPR</v>
          </cell>
          <cell r="F45">
            <v>441063</v>
          </cell>
          <cell r="G45">
            <v>447562</v>
          </cell>
          <cell r="H45">
            <v>454426</v>
          </cell>
          <cell r="I45">
            <v>461290</v>
          </cell>
          <cell r="J45">
            <v>467631</v>
          </cell>
          <cell r="K45">
            <v>473090</v>
          </cell>
          <cell r="L45">
            <v>477534</v>
          </cell>
          <cell r="M45">
            <v>481122</v>
          </cell>
          <cell r="N45">
            <v>484131</v>
          </cell>
          <cell r="O45">
            <v>486975</v>
          </cell>
          <cell r="P45">
            <v>489961</v>
          </cell>
          <cell r="Q45">
            <v>493167</v>
          </cell>
          <cell r="R45">
            <v>496514</v>
          </cell>
          <cell r="S45">
            <v>499961</v>
          </cell>
          <cell r="T45">
            <v>503417</v>
          </cell>
          <cell r="U45">
            <v>506811</v>
          </cell>
        </row>
        <row r="46">
          <cell r="A46" t="str">
            <v>Colombia</v>
          </cell>
          <cell r="B46" t="str">
            <v>COL</v>
          </cell>
          <cell r="C46" t="str">
            <v>LAC</v>
          </cell>
          <cell r="D46" t="str">
            <v>Peso</v>
          </cell>
          <cell r="E46">
            <v>2876.2</v>
          </cell>
          <cell r="F46">
            <v>41682594</v>
          </cell>
          <cell r="G46">
            <v>42354499</v>
          </cell>
          <cell r="H46">
            <v>43019308</v>
          </cell>
          <cell r="I46">
            <v>43674544</v>
          </cell>
          <cell r="J46">
            <v>44317343</v>
          </cell>
          <cell r="K46">
            <v>44945790</v>
          </cell>
          <cell r="L46">
            <v>45558450</v>
          </cell>
          <cell r="M46">
            <v>46155958</v>
          </cell>
          <cell r="N46">
            <v>46741096</v>
          </cell>
          <cell r="O46">
            <v>47317963</v>
          </cell>
          <cell r="P46">
            <v>47889550</v>
          </cell>
          <cell r="Q46">
            <v>48456604</v>
          </cell>
          <cell r="R46">
            <v>49018253</v>
          </cell>
          <cell r="S46">
            <v>49573903</v>
          </cell>
          <cell r="T46">
            <v>50122420</v>
          </cell>
          <cell r="U46">
            <v>50662890</v>
          </cell>
        </row>
        <row r="47">
          <cell r="A47" t="str">
            <v>Comoros</v>
          </cell>
          <cell r="B47" t="str">
            <v>COM</v>
          </cell>
          <cell r="C47" t="str">
            <v>AFRlow</v>
          </cell>
          <cell r="D47" t="str">
            <v>Franc</v>
          </cell>
          <cell r="E47">
            <v>420.79</v>
          </cell>
          <cell r="F47">
            <v>699035</v>
          </cell>
          <cell r="G47">
            <v>718329</v>
          </cell>
          <cell r="H47">
            <v>737851</v>
          </cell>
          <cell r="I47">
            <v>757608</v>
          </cell>
          <cell r="J47">
            <v>777622</v>
          </cell>
          <cell r="K47">
            <v>797902</v>
          </cell>
          <cell r="L47">
            <v>818437</v>
          </cell>
          <cell r="M47">
            <v>839189</v>
          </cell>
          <cell r="N47">
            <v>860100</v>
          </cell>
          <cell r="O47">
            <v>881098</v>
          </cell>
          <cell r="P47">
            <v>902125</v>
          </cell>
          <cell r="Q47">
            <v>923158</v>
          </cell>
          <cell r="R47">
            <v>944194</v>
          </cell>
          <cell r="S47">
            <v>965215</v>
          </cell>
          <cell r="T47">
            <v>986213</v>
          </cell>
          <cell r="U47">
            <v>1007182</v>
          </cell>
        </row>
        <row r="48">
          <cell r="A48" t="str">
            <v>Congo</v>
          </cell>
          <cell r="B48" t="str">
            <v>CNG</v>
          </cell>
          <cell r="C48" t="str">
            <v>AFRhigh</v>
          </cell>
          <cell r="D48" t="str">
            <v>Franc</v>
          </cell>
          <cell r="E48">
            <v>561.04999999999995</v>
          </cell>
          <cell r="F48">
            <v>3202861</v>
          </cell>
          <cell r="G48">
            <v>3285163</v>
          </cell>
          <cell r="H48">
            <v>3367143</v>
          </cell>
          <cell r="I48">
            <v>3448646</v>
          </cell>
          <cell r="J48">
            <v>3529551</v>
          </cell>
          <cell r="K48">
            <v>3609851</v>
          </cell>
          <cell r="L48">
            <v>3689299</v>
          </cell>
          <cell r="M48">
            <v>3768087</v>
          </cell>
          <cell r="N48">
            <v>3847191</v>
          </cell>
          <cell r="O48">
            <v>3927932</v>
          </cell>
          <cell r="P48">
            <v>4011220</v>
          </cell>
          <cell r="Q48">
            <v>4097463</v>
          </cell>
          <cell r="R48">
            <v>4186291</v>
          </cell>
          <cell r="S48">
            <v>4276871</v>
          </cell>
          <cell r="T48">
            <v>4367964</v>
          </cell>
          <cell r="U48">
            <v>4458662</v>
          </cell>
        </row>
        <row r="49">
          <cell r="A49" t="str">
            <v>Cook Islands</v>
          </cell>
          <cell r="B49" t="str">
            <v>COK</v>
          </cell>
          <cell r="C49" t="str">
            <v>WPR</v>
          </cell>
          <cell r="F49">
            <v>15982</v>
          </cell>
          <cell r="G49">
            <v>15536</v>
          </cell>
          <cell r="H49">
            <v>15117</v>
          </cell>
          <cell r="I49">
            <v>14721</v>
          </cell>
          <cell r="J49">
            <v>14346</v>
          </cell>
          <cell r="K49">
            <v>13984</v>
          </cell>
          <cell r="L49">
            <v>13641</v>
          </cell>
          <cell r="M49">
            <v>13325</v>
          </cell>
          <cell r="N49">
            <v>13032</v>
          </cell>
          <cell r="O49">
            <v>12761</v>
          </cell>
          <cell r="P49">
            <v>12510</v>
          </cell>
          <cell r="Q49">
            <v>12277</v>
          </cell>
          <cell r="R49">
            <v>12065</v>
          </cell>
          <cell r="S49">
            <v>11877</v>
          </cell>
          <cell r="T49">
            <v>11724</v>
          </cell>
          <cell r="U49">
            <v>11609</v>
          </cell>
        </row>
        <row r="50">
          <cell r="A50" t="str">
            <v>Costa Rica</v>
          </cell>
          <cell r="B50" t="str">
            <v>COR</v>
          </cell>
          <cell r="C50" t="str">
            <v>LAC</v>
          </cell>
          <cell r="D50" t="str">
            <v>Colone</v>
          </cell>
          <cell r="E50">
            <v>410.35</v>
          </cell>
          <cell r="F50">
            <v>3928797</v>
          </cell>
          <cell r="G50">
            <v>4014435</v>
          </cell>
          <cell r="H50">
            <v>4096943</v>
          </cell>
          <cell r="I50">
            <v>4176372</v>
          </cell>
          <cell r="J50">
            <v>4253037</v>
          </cell>
          <cell r="K50">
            <v>4327228</v>
          </cell>
          <cell r="L50">
            <v>4398770</v>
          </cell>
          <cell r="M50">
            <v>4467626</v>
          </cell>
          <cell r="N50">
            <v>4534435</v>
          </cell>
          <cell r="O50">
            <v>4600059</v>
          </cell>
          <cell r="P50">
            <v>4665140</v>
          </cell>
          <cell r="Q50">
            <v>4729947</v>
          </cell>
          <cell r="R50">
            <v>4794376</v>
          </cell>
          <cell r="S50">
            <v>4858235</v>
          </cell>
          <cell r="T50">
            <v>4921165</v>
          </cell>
          <cell r="U50">
            <v>4982917</v>
          </cell>
        </row>
        <row r="51">
          <cell r="A51" t="str">
            <v>Côte d'Ivoire</v>
          </cell>
          <cell r="B51" t="str">
            <v>IVC</v>
          </cell>
          <cell r="C51" t="str">
            <v>AFRhigh</v>
          </cell>
          <cell r="D51" t="str">
            <v>Franc</v>
          </cell>
          <cell r="E51">
            <v>561.04999999999995</v>
          </cell>
          <cell r="F51">
            <v>17049189</v>
          </cell>
          <cell r="G51">
            <v>17384828</v>
          </cell>
          <cell r="H51">
            <v>17691452</v>
          </cell>
          <cell r="I51">
            <v>17982164</v>
          </cell>
          <cell r="J51">
            <v>18275382</v>
          </cell>
          <cell r="K51">
            <v>18584701</v>
          </cell>
          <cell r="L51">
            <v>18914474</v>
          </cell>
          <cell r="M51">
            <v>19261825</v>
          </cell>
          <cell r="N51">
            <v>19624236</v>
          </cell>
          <cell r="O51">
            <v>19996522</v>
          </cell>
          <cell r="P51">
            <v>20374642</v>
          </cell>
          <cell r="Q51">
            <v>20758696</v>
          </cell>
          <cell r="R51">
            <v>21149793</v>
          </cell>
          <cell r="S51">
            <v>21545804</v>
          </cell>
          <cell r="T51">
            <v>21944088</v>
          </cell>
          <cell r="U51">
            <v>22342541</v>
          </cell>
        </row>
        <row r="52">
          <cell r="A52" t="str">
            <v>Croatia</v>
          </cell>
          <cell r="B52" t="str">
            <v>CRO</v>
          </cell>
          <cell r="C52" t="str">
            <v>CEUR</v>
          </cell>
          <cell r="F52">
            <v>4505558</v>
          </cell>
          <cell r="G52">
            <v>4498193</v>
          </cell>
          <cell r="H52">
            <v>4505689</v>
          </cell>
          <cell r="I52">
            <v>4522480</v>
          </cell>
          <cell r="J52">
            <v>4539878</v>
          </cell>
          <cell r="K52">
            <v>4551490</v>
          </cell>
          <cell r="L52">
            <v>4556020</v>
          </cell>
          <cell r="M52">
            <v>4555402</v>
          </cell>
          <cell r="N52">
            <v>4550273</v>
          </cell>
          <cell r="O52">
            <v>4542138</v>
          </cell>
          <cell r="P52">
            <v>4532155</v>
          </cell>
          <cell r="Q52">
            <v>4520128</v>
          </cell>
          <cell r="R52">
            <v>4505610</v>
          </cell>
          <cell r="S52">
            <v>4489319</v>
          </cell>
          <cell r="T52">
            <v>4472188</v>
          </cell>
          <cell r="U52">
            <v>4454922</v>
          </cell>
        </row>
        <row r="53">
          <cell r="A53" t="str">
            <v>Cuba</v>
          </cell>
          <cell r="B53" t="str">
            <v>CUB</v>
          </cell>
          <cell r="C53" t="str">
            <v>LAC</v>
          </cell>
          <cell r="F53">
            <v>11142065</v>
          </cell>
          <cell r="G53">
            <v>11173872</v>
          </cell>
          <cell r="H53">
            <v>11202599</v>
          </cell>
          <cell r="I53">
            <v>11227307</v>
          </cell>
          <cell r="J53">
            <v>11246670</v>
          </cell>
          <cell r="K53">
            <v>11259905</v>
          </cell>
          <cell r="L53">
            <v>11266701</v>
          </cell>
          <cell r="M53">
            <v>11267884</v>
          </cell>
          <cell r="N53">
            <v>11265216</v>
          </cell>
          <cell r="O53">
            <v>11261104</v>
          </cell>
          <cell r="P53">
            <v>11257369</v>
          </cell>
          <cell r="Q53">
            <v>11254651</v>
          </cell>
          <cell r="R53">
            <v>11252746</v>
          </cell>
          <cell r="S53">
            <v>11251580</v>
          </cell>
          <cell r="T53">
            <v>11250783</v>
          </cell>
          <cell r="U53">
            <v>11250063</v>
          </cell>
        </row>
        <row r="54">
          <cell r="A54" t="str">
            <v>Cyprus</v>
          </cell>
          <cell r="B54" t="str">
            <v>CYP</v>
          </cell>
          <cell r="C54" t="str">
            <v>CEUR</v>
          </cell>
          <cell r="F54">
            <v>786339</v>
          </cell>
          <cell r="G54">
            <v>796883</v>
          </cell>
          <cell r="H54">
            <v>807132</v>
          </cell>
          <cell r="I54">
            <v>817095</v>
          </cell>
          <cell r="J54">
            <v>826812</v>
          </cell>
          <cell r="K54">
            <v>836321</v>
          </cell>
          <cell r="L54">
            <v>845605</v>
          </cell>
          <cell r="M54">
            <v>854673</v>
          </cell>
          <cell r="N54">
            <v>863624</v>
          </cell>
          <cell r="O54">
            <v>872587</v>
          </cell>
          <cell r="P54">
            <v>881654</v>
          </cell>
          <cell r="Q54">
            <v>890860</v>
          </cell>
          <cell r="R54">
            <v>900183</v>
          </cell>
          <cell r="S54">
            <v>909597</v>
          </cell>
          <cell r="T54">
            <v>919053</v>
          </cell>
          <cell r="U54">
            <v>928508</v>
          </cell>
        </row>
        <row r="55">
          <cell r="A55" t="str">
            <v>Czech Republic</v>
          </cell>
          <cell r="B55" t="str">
            <v>CZH</v>
          </cell>
          <cell r="C55" t="str">
            <v>EME</v>
          </cell>
          <cell r="F55">
            <v>10220420</v>
          </cell>
          <cell r="G55">
            <v>10209013</v>
          </cell>
          <cell r="H55">
            <v>10201659</v>
          </cell>
          <cell r="I55">
            <v>10197380</v>
          </cell>
          <cell r="J55">
            <v>10194511</v>
          </cell>
          <cell r="K55">
            <v>10191762</v>
          </cell>
          <cell r="L55">
            <v>10188957</v>
          </cell>
          <cell r="M55">
            <v>10186330</v>
          </cell>
          <cell r="N55">
            <v>10183437</v>
          </cell>
          <cell r="O55">
            <v>10179804</v>
          </cell>
          <cell r="P55">
            <v>10175048</v>
          </cell>
          <cell r="Q55">
            <v>10168877</v>
          </cell>
          <cell r="R55">
            <v>10161156</v>
          </cell>
          <cell r="S55">
            <v>10151872</v>
          </cell>
          <cell r="T55">
            <v>10141108</v>
          </cell>
          <cell r="U55">
            <v>10128906</v>
          </cell>
        </row>
        <row r="56">
          <cell r="A56" t="str">
            <v>Denmark</v>
          </cell>
          <cell r="B56" t="str">
            <v>DEN</v>
          </cell>
          <cell r="C56" t="str">
            <v>EME</v>
          </cell>
          <cell r="F56">
            <v>5335385</v>
          </cell>
          <cell r="G56">
            <v>5354323</v>
          </cell>
          <cell r="H56">
            <v>5371803</v>
          </cell>
          <cell r="I56">
            <v>5387921</v>
          </cell>
          <cell r="J56">
            <v>5402909</v>
          </cell>
          <cell r="K56">
            <v>5416945</v>
          </cell>
          <cell r="L56">
            <v>5430033</v>
          </cell>
          <cell r="M56">
            <v>5442105</v>
          </cell>
          <cell r="N56">
            <v>5453204</v>
          </cell>
          <cell r="O56">
            <v>5463384</v>
          </cell>
          <cell r="P56">
            <v>5472713</v>
          </cell>
          <cell r="Q56">
            <v>5481221</v>
          </cell>
          <cell r="R56">
            <v>5488996</v>
          </cell>
          <cell r="S56">
            <v>5496228</v>
          </cell>
          <cell r="T56">
            <v>5503157</v>
          </cell>
          <cell r="U56">
            <v>5509970</v>
          </cell>
        </row>
        <row r="57">
          <cell r="A57" t="str">
            <v>Djibouti</v>
          </cell>
          <cell r="B57" t="str">
            <v>DJI</v>
          </cell>
          <cell r="C57" t="str">
            <v>EMR</v>
          </cell>
          <cell r="D57" t="str">
            <v>Franc</v>
          </cell>
          <cell r="F57">
            <v>729736</v>
          </cell>
          <cell r="G57">
            <v>747302</v>
          </cell>
          <cell r="H57">
            <v>762775</v>
          </cell>
          <cell r="I57">
            <v>776784</v>
          </cell>
          <cell r="J57">
            <v>790344</v>
          </cell>
          <cell r="K57">
            <v>804206</v>
          </cell>
          <cell r="L57">
            <v>818508</v>
          </cell>
          <cell r="M57">
            <v>833025</v>
          </cell>
          <cell r="N57">
            <v>847715</v>
          </cell>
          <cell r="O57">
            <v>862453</v>
          </cell>
          <cell r="P57">
            <v>877152</v>
          </cell>
          <cell r="Q57">
            <v>891869</v>
          </cell>
          <cell r="R57">
            <v>906687</v>
          </cell>
          <cell r="S57">
            <v>921572</v>
          </cell>
          <cell r="T57">
            <v>936469</v>
          </cell>
          <cell r="U57">
            <v>951352</v>
          </cell>
        </row>
        <row r="58">
          <cell r="A58" t="str">
            <v>Dominica</v>
          </cell>
          <cell r="B58" t="str">
            <v>DOM</v>
          </cell>
          <cell r="C58" t="str">
            <v>LAC</v>
          </cell>
          <cell r="F58">
            <v>68438</v>
          </cell>
          <cell r="G58">
            <v>68351</v>
          </cell>
          <cell r="H58">
            <v>68253</v>
          </cell>
          <cell r="I58">
            <v>68139</v>
          </cell>
          <cell r="J58">
            <v>67998</v>
          </cell>
          <cell r="K58">
            <v>67827</v>
          </cell>
          <cell r="L58">
            <v>67621</v>
          </cell>
          <cell r="M58">
            <v>67390</v>
          </cell>
          <cell r="N58">
            <v>67160</v>
          </cell>
          <cell r="O58">
            <v>66970</v>
          </cell>
          <cell r="P58">
            <v>66845</v>
          </cell>
          <cell r="Q58">
            <v>66799</v>
          </cell>
          <cell r="R58">
            <v>66823</v>
          </cell>
          <cell r="S58">
            <v>66896</v>
          </cell>
          <cell r="T58">
            <v>66987</v>
          </cell>
          <cell r="U58">
            <v>67070</v>
          </cell>
        </row>
        <row r="59">
          <cell r="A59" t="str">
            <v>Dominican Republic</v>
          </cell>
          <cell r="B59" t="str">
            <v>DOR</v>
          </cell>
          <cell r="C59" t="str">
            <v>LAC</v>
          </cell>
          <cell r="D59" t="str">
            <v>Peso</v>
          </cell>
          <cell r="E59">
            <v>32.305</v>
          </cell>
          <cell r="F59">
            <v>8743983</v>
          </cell>
          <cell r="G59">
            <v>8889627</v>
          </cell>
          <cell r="H59">
            <v>9034837</v>
          </cell>
          <cell r="I59">
            <v>9179758</v>
          </cell>
          <cell r="J59">
            <v>9324633</v>
          </cell>
          <cell r="K59">
            <v>9469601</v>
          </cell>
          <cell r="L59">
            <v>9614670</v>
          </cell>
          <cell r="M59">
            <v>9759665</v>
          </cell>
          <cell r="N59">
            <v>9904327</v>
          </cell>
          <cell r="O59">
            <v>10048309</v>
          </cell>
          <cell r="P59">
            <v>10191334</v>
          </cell>
          <cell r="Q59">
            <v>10333237</v>
          </cell>
          <cell r="R59">
            <v>10473987</v>
          </cell>
          <cell r="S59">
            <v>10613616</v>
          </cell>
          <cell r="T59">
            <v>10752214</v>
          </cell>
          <cell r="U59">
            <v>10889805</v>
          </cell>
        </row>
        <row r="60">
          <cell r="A60" t="str">
            <v>DPR Korea</v>
          </cell>
          <cell r="B60" t="str">
            <v>KRD</v>
          </cell>
          <cell r="C60" t="str">
            <v>SEAR</v>
          </cell>
          <cell r="F60">
            <v>22946185</v>
          </cell>
          <cell r="G60">
            <v>23121603</v>
          </cell>
          <cell r="H60">
            <v>23271845</v>
          </cell>
          <cell r="I60">
            <v>23400722</v>
          </cell>
          <cell r="J60">
            <v>23513779</v>
          </cell>
          <cell r="K60">
            <v>23615611</v>
          </cell>
          <cell r="L60">
            <v>23707548</v>
          </cell>
          <cell r="M60">
            <v>23790241</v>
          </cell>
          <cell r="N60">
            <v>23866883</v>
          </cell>
          <cell r="O60">
            <v>23941018</v>
          </cell>
          <cell r="P60">
            <v>24015400</v>
          </cell>
          <cell r="Q60">
            <v>24091736</v>
          </cell>
          <cell r="R60">
            <v>24170473</v>
          </cell>
          <cell r="S60">
            <v>24251401</v>
          </cell>
          <cell r="T60">
            <v>24333604</v>
          </cell>
          <cell r="U60">
            <v>24416354</v>
          </cell>
        </row>
        <row r="61">
          <cell r="A61" t="str">
            <v>DR Congo</v>
          </cell>
          <cell r="B61" t="str">
            <v>ZAI</v>
          </cell>
          <cell r="C61" t="str">
            <v>AFRhigh</v>
          </cell>
          <cell r="F61">
            <v>50688722</v>
          </cell>
          <cell r="G61">
            <v>52035969</v>
          </cell>
          <cell r="H61">
            <v>53536754</v>
          </cell>
          <cell r="I61">
            <v>55174963</v>
          </cell>
          <cell r="J61">
            <v>56917959</v>
          </cell>
          <cell r="K61">
            <v>58740547</v>
          </cell>
          <cell r="L61">
            <v>60643890</v>
          </cell>
          <cell r="M61">
            <v>62635722</v>
          </cell>
          <cell r="N61">
            <v>64703617</v>
          </cell>
          <cell r="O61">
            <v>66832183.999999993</v>
          </cell>
          <cell r="P61">
            <v>69009707</v>
          </cell>
          <cell r="Q61">
            <v>71230259</v>
          </cell>
          <cell r="R61">
            <v>73493778</v>
          </cell>
          <cell r="S61">
            <v>75801921</v>
          </cell>
          <cell r="T61">
            <v>78159102</v>
          </cell>
          <cell r="U61">
            <v>80568539</v>
          </cell>
        </row>
        <row r="62">
          <cell r="A62" t="str">
            <v>Ecuador</v>
          </cell>
          <cell r="B62" t="str">
            <v>ECU</v>
          </cell>
          <cell r="C62" t="str">
            <v>LAC</v>
          </cell>
          <cell r="D62" t="str">
            <v>Sucre</v>
          </cell>
          <cell r="E62">
            <v>25000</v>
          </cell>
          <cell r="F62">
            <v>12305544</v>
          </cell>
          <cell r="G62">
            <v>12466023</v>
          </cell>
          <cell r="H62">
            <v>12620880</v>
          </cell>
          <cell r="I62">
            <v>12770998</v>
          </cell>
          <cell r="J62">
            <v>12917362</v>
          </cell>
          <cell r="K62">
            <v>13060993</v>
          </cell>
          <cell r="L62">
            <v>13201995</v>
          </cell>
          <cell r="M62">
            <v>13341199</v>
          </cell>
          <cell r="N62">
            <v>13481180</v>
          </cell>
          <cell r="O62">
            <v>13625136</v>
          </cell>
          <cell r="P62">
            <v>13775219</v>
          </cell>
          <cell r="Q62">
            <v>13932570</v>
          </cell>
          <cell r="R62">
            <v>14096287</v>
          </cell>
          <cell r="S62">
            <v>14263883</v>
          </cell>
          <cell r="T62">
            <v>14431696</v>
          </cell>
          <cell r="U62">
            <v>14596937</v>
          </cell>
        </row>
        <row r="63">
          <cell r="A63" t="str">
            <v>Egypt</v>
          </cell>
          <cell r="B63" t="str">
            <v>EGY</v>
          </cell>
          <cell r="C63" t="str">
            <v>EMR</v>
          </cell>
          <cell r="D63" t="str">
            <v>Pound</v>
          </cell>
          <cell r="E63">
            <v>6.1349999999999998</v>
          </cell>
          <cell r="F63">
            <v>66528577.999999993</v>
          </cell>
          <cell r="G63">
            <v>67757429</v>
          </cell>
          <cell r="H63">
            <v>69003765</v>
          </cell>
          <cell r="I63">
            <v>70267864</v>
          </cell>
          <cell r="J63">
            <v>71550018</v>
          </cell>
          <cell r="K63">
            <v>72849793</v>
          </cell>
          <cell r="L63">
            <v>74166496</v>
          </cell>
          <cell r="M63">
            <v>75497914</v>
          </cell>
          <cell r="N63">
            <v>76840047</v>
          </cell>
          <cell r="O63">
            <v>78187832</v>
          </cell>
          <cell r="P63">
            <v>79536880</v>
          </cell>
          <cell r="Q63">
            <v>80885044</v>
          </cell>
          <cell r="R63">
            <v>82230655</v>
          </cell>
          <cell r="S63">
            <v>83570385</v>
          </cell>
          <cell r="T63">
            <v>84900717</v>
          </cell>
          <cell r="U63">
            <v>86218754</v>
          </cell>
        </row>
        <row r="64">
          <cell r="A64" t="str">
            <v>El Salvador</v>
          </cell>
          <cell r="B64" t="str">
            <v>ELS</v>
          </cell>
          <cell r="C64" t="str">
            <v>LAC</v>
          </cell>
          <cell r="D64" t="str">
            <v>Colone</v>
          </cell>
          <cell r="E64">
            <v>8.75</v>
          </cell>
          <cell r="F64">
            <v>6195276</v>
          </cell>
          <cell r="G64">
            <v>6296549</v>
          </cell>
          <cell r="H64">
            <v>6392427</v>
          </cell>
          <cell r="I64">
            <v>6484686</v>
          </cell>
          <cell r="J64">
            <v>6576008</v>
          </cell>
          <cell r="K64">
            <v>6668356</v>
          </cell>
          <cell r="L64">
            <v>6762319</v>
          </cell>
          <cell r="M64">
            <v>6857330</v>
          </cell>
          <cell r="N64">
            <v>6952819</v>
          </cell>
          <cell r="O64">
            <v>7047803</v>
          </cell>
          <cell r="P64">
            <v>7141616</v>
          </cell>
          <cell r="Q64">
            <v>7234065</v>
          </cell>
          <cell r="R64">
            <v>7325571</v>
          </cell>
          <cell r="S64">
            <v>7416784</v>
          </cell>
          <cell r="T64">
            <v>7508614</v>
          </cell>
          <cell r="U64">
            <v>7601665</v>
          </cell>
        </row>
        <row r="65">
          <cell r="A65" t="str">
            <v>Equatorial Guinea</v>
          </cell>
          <cell r="B65" t="str">
            <v>EQG</v>
          </cell>
          <cell r="C65" t="str">
            <v>AFRlow</v>
          </cell>
          <cell r="D65" t="str">
            <v>Franc</v>
          </cell>
          <cell r="E65">
            <v>564.41</v>
          </cell>
          <cell r="F65">
            <v>430589</v>
          </cell>
          <cell r="G65">
            <v>440851</v>
          </cell>
          <cell r="H65">
            <v>451291</v>
          </cell>
          <cell r="I65">
            <v>461947</v>
          </cell>
          <cell r="J65">
            <v>472869</v>
          </cell>
          <cell r="K65">
            <v>484098</v>
          </cell>
          <cell r="L65">
            <v>495639</v>
          </cell>
          <cell r="M65">
            <v>507497</v>
          </cell>
          <cell r="N65">
            <v>519697</v>
          </cell>
          <cell r="O65">
            <v>532270</v>
          </cell>
          <cell r="P65">
            <v>545238</v>
          </cell>
          <cell r="Q65">
            <v>558603</v>
          </cell>
          <cell r="R65">
            <v>572354</v>
          </cell>
          <cell r="S65">
            <v>586470</v>
          </cell>
          <cell r="T65">
            <v>600920</v>
          </cell>
          <cell r="U65">
            <v>615676</v>
          </cell>
        </row>
        <row r="66">
          <cell r="A66" t="str">
            <v>Eritrea</v>
          </cell>
          <cell r="B66" t="str">
            <v>ERI</v>
          </cell>
          <cell r="C66" t="str">
            <v>AFRlow</v>
          </cell>
          <cell r="D66" t="str">
            <v>Nakfa</v>
          </cell>
          <cell r="E66">
            <v>13.7875</v>
          </cell>
          <cell r="F66">
            <v>3684296</v>
          </cell>
          <cell r="G66">
            <v>3833443</v>
          </cell>
          <cell r="H66">
            <v>3999407</v>
          </cell>
          <cell r="I66">
            <v>4175647</v>
          </cell>
          <cell r="J66">
            <v>4353526</v>
          </cell>
          <cell r="K66">
            <v>4526722</v>
          </cell>
          <cell r="L66">
            <v>4692115</v>
          </cell>
          <cell r="M66">
            <v>4850762</v>
          </cell>
          <cell r="N66">
            <v>5005678</v>
          </cell>
          <cell r="O66">
            <v>5161910</v>
          </cell>
          <cell r="P66">
            <v>5322955</v>
          </cell>
          <cell r="Q66">
            <v>5489455</v>
          </cell>
          <cell r="R66">
            <v>5659427</v>
          </cell>
          <cell r="S66">
            <v>5830669</v>
          </cell>
          <cell r="T66">
            <v>6000008</v>
          </cell>
          <cell r="U66">
            <v>6165170</v>
          </cell>
        </row>
        <row r="67">
          <cell r="A67" t="str">
            <v>Estonia</v>
          </cell>
          <cell r="B67" t="str">
            <v>EST</v>
          </cell>
          <cell r="C67" t="str">
            <v>EEUR</v>
          </cell>
          <cell r="F67">
            <v>1369934</v>
          </cell>
          <cell r="G67">
            <v>1362500</v>
          </cell>
          <cell r="H67">
            <v>1356820</v>
          </cell>
          <cell r="I67">
            <v>1352335</v>
          </cell>
          <cell r="J67">
            <v>1348344</v>
          </cell>
          <cell r="K67">
            <v>1344312</v>
          </cell>
          <cell r="L67">
            <v>1339972</v>
          </cell>
          <cell r="M67">
            <v>1335335</v>
          </cell>
          <cell r="N67">
            <v>1330510</v>
          </cell>
          <cell r="O67">
            <v>1325733</v>
          </cell>
          <cell r="P67">
            <v>1321171</v>
          </cell>
          <cell r="Q67">
            <v>1316789</v>
          </cell>
          <cell r="R67">
            <v>1312465</v>
          </cell>
          <cell r="S67">
            <v>1308182</v>
          </cell>
          <cell r="T67">
            <v>1303921</v>
          </cell>
          <cell r="U67">
            <v>1299665</v>
          </cell>
        </row>
        <row r="68">
          <cell r="A68" t="str">
            <v>Ethiopia</v>
          </cell>
          <cell r="B68" t="str">
            <v>ETH</v>
          </cell>
          <cell r="C68" t="str">
            <v>AFRhigh</v>
          </cell>
          <cell r="D68" t="str">
            <v>Birr</v>
          </cell>
          <cell r="E68">
            <v>8.6057000000000006</v>
          </cell>
          <cell r="F68">
            <v>69388437</v>
          </cell>
          <cell r="G68">
            <v>71249765</v>
          </cell>
          <cell r="H68">
            <v>73133619</v>
          </cell>
          <cell r="I68">
            <v>75046409</v>
          </cell>
          <cell r="J68">
            <v>76995400</v>
          </cell>
          <cell r="K68">
            <v>78985857</v>
          </cell>
          <cell r="L68">
            <v>81020611</v>
          </cell>
          <cell r="M68">
            <v>83099188</v>
          </cell>
          <cell r="N68">
            <v>85219109</v>
          </cell>
          <cell r="O68">
            <v>87375993</v>
          </cell>
          <cell r="P68">
            <v>89566126</v>
          </cell>
          <cell r="Q68">
            <v>91788272</v>
          </cell>
          <cell r="R68">
            <v>94041935</v>
          </cell>
          <cell r="S68">
            <v>96324719</v>
          </cell>
          <cell r="T68">
            <v>98633913</v>
          </cell>
          <cell r="U68">
            <v>100966808</v>
          </cell>
        </row>
        <row r="69">
          <cell r="A69" t="str">
            <v>Fiji</v>
          </cell>
          <cell r="B69" t="str">
            <v>FIJ</v>
          </cell>
          <cell r="C69" t="str">
            <v>WPR</v>
          </cell>
          <cell r="F69">
            <v>801681</v>
          </cell>
          <cell r="G69">
            <v>807329</v>
          </cell>
          <cell r="H69">
            <v>812658</v>
          </cell>
          <cell r="I69">
            <v>817791</v>
          </cell>
          <cell r="J69">
            <v>822885</v>
          </cell>
          <cell r="K69">
            <v>828046</v>
          </cell>
          <cell r="L69">
            <v>833330</v>
          </cell>
          <cell r="M69">
            <v>838699</v>
          </cell>
          <cell r="N69">
            <v>844046</v>
          </cell>
          <cell r="O69">
            <v>849218</v>
          </cell>
          <cell r="P69">
            <v>854098</v>
          </cell>
          <cell r="Q69">
            <v>858683</v>
          </cell>
          <cell r="R69">
            <v>863005</v>
          </cell>
          <cell r="S69">
            <v>867032</v>
          </cell>
          <cell r="T69">
            <v>870730</v>
          </cell>
          <cell r="U69">
            <v>874093</v>
          </cell>
        </row>
        <row r="70">
          <cell r="A70" t="str">
            <v>Finland</v>
          </cell>
          <cell r="B70" t="str">
            <v>FIN</v>
          </cell>
          <cell r="C70" t="str">
            <v>EME</v>
          </cell>
          <cell r="F70">
            <v>5175871</v>
          </cell>
          <cell r="G70">
            <v>5188928</v>
          </cell>
          <cell r="H70">
            <v>5202513</v>
          </cell>
          <cell r="I70">
            <v>5216632</v>
          </cell>
          <cell r="J70">
            <v>5231167</v>
          </cell>
          <cell r="K70">
            <v>5246004</v>
          </cell>
          <cell r="L70">
            <v>5261243</v>
          </cell>
          <cell r="M70">
            <v>5276895</v>
          </cell>
          <cell r="N70">
            <v>5292617</v>
          </cell>
          <cell r="O70">
            <v>5307945</v>
          </cell>
          <cell r="P70">
            <v>5322535</v>
          </cell>
          <cell r="Q70">
            <v>5336232</v>
          </cell>
          <cell r="R70">
            <v>5349094</v>
          </cell>
          <cell r="S70">
            <v>5361247</v>
          </cell>
          <cell r="T70">
            <v>5372907</v>
          </cell>
          <cell r="U70">
            <v>5384224</v>
          </cell>
        </row>
        <row r="71">
          <cell r="A71" t="str">
            <v>France</v>
          </cell>
          <cell r="B71" t="str">
            <v>FRA</v>
          </cell>
          <cell r="C71" t="str">
            <v>EME</v>
          </cell>
          <cell r="F71">
            <v>59186798</v>
          </cell>
          <cell r="G71">
            <v>59492212</v>
          </cell>
          <cell r="H71">
            <v>59848615</v>
          </cell>
          <cell r="I71">
            <v>60235845</v>
          </cell>
          <cell r="J71">
            <v>60623898</v>
          </cell>
          <cell r="K71">
            <v>60990544</v>
          </cell>
          <cell r="L71">
            <v>61329898</v>
          </cell>
          <cell r="M71">
            <v>61647375</v>
          </cell>
          <cell r="N71">
            <v>61945596</v>
          </cell>
          <cell r="O71">
            <v>62230673</v>
          </cell>
          <cell r="P71">
            <v>62507183</v>
          </cell>
          <cell r="Q71">
            <v>62774401</v>
          </cell>
          <cell r="R71">
            <v>63030082</v>
          </cell>
          <cell r="S71">
            <v>63275866</v>
          </cell>
          <cell r="T71">
            <v>63513906</v>
          </cell>
          <cell r="U71">
            <v>63745869</v>
          </cell>
        </row>
        <row r="72">
          <cell r="A72" t="str">
            <v>French Polynesia</v>
          </cell>
          <cell r="B72" t="str">
            <v>FRP</v>
          </cell>
          <cell r="C72" t="str">
            <v>WPR</v>
          </cell>
          <cell r="F72">
            <v>236124</v>
          </cell>
          <cell r="G72">
            <v>240135</v>
          </cell>
          <cell r="H72">
            <v>244119</v>
          </cell>
          <cell r="I72">
            <v>248050</v>
          </cell>
          <cell r="J72">
            <v>251895</v>
          </cell>
          <cell r="K72">
            <v>255632</v>
          </cell>
          <cell r="L72">
            <v>259247</v>
          </cell>
          <cell r="M72">
            <v>262752</v>
          </cell>
          <cell r="N72">
            <v>266178</v>
          </cell>
          <cell r="O72">
            <v>269579</v>
          </cell>
          <cell r="P72">
            <v>272986</v>
          </cell>
          <cell r="Q72">
            <v>276411</v>
          </cell>
          <cell r="R72">
            <v>279839</v>
          </cell>
          <cell r="S72">
            <v>283255</v>
          </cell>
          <cell r="T72">
            <v>286635</v>
          </cell>
          <cell r="U72">
            <v>289956</v>
          </cell>
        </row>
        <row r="73">
          <cell r="A73" t="str">
            <v>Gabon</v>
          </cell>
          <cell r="B73" t="str">
            <v>GAB</v>
          </cell>
          <cell r="C73" t="str">
            <v>AFRhigh</v>
          </cell>
          <cell r="D73" t="str">
            <v>Franc</v>
          </cell>
          <cell r="E73">
            <v>561.04999999999995</v>
          </cell>
          <cell r="F73">
            <v>1182278</v>
          </cell>
          <cell r="G73">
            <v>1205305</v>
          </cell>
          <cell r="H73">
            <v>1227561</v>
          </cell>
          <cell r="I73">
            <v>1249131</v>
          </cell>
          <cell r="J73">
            <v>1270136</v>
          </cell>
          <cell r="K73">
            <v>1290693</v>
          </cell>
          <cell r="L73">
            <v>1310820</v>
          </cell>
          <cell r="M73">
            <v>1330573</v>
          </cell>
          <cell r="N73">
            <v>1350156</v>
          </cell>
          <cell r="O73">
            <v>1369822</v>
          </cell>
          <cell r="P73">
            <v>1389756</v>
          </cell>
          <cell r="Q73">
            <v>1410038</v>
          </cell>
          <cell r="R73">
            <v>1430642</v>
          </cell>
          <cell r="S73">
            <v>1451509</v>
          </cell>
          <cell r="T73">
            <v>1472524</v>
          </cell>
          <cell r="U73">
            <v>1493595</v>
          </cell>
        </row>
        <row r="74">
          <cell r="A74" t="str">
            <v>Gambia</v>
          </cell>
          <cell r="B74" t="str">
            <v>GAM</v>
          </cell>
          <cell r="C74" t="str">
            <v>AFRlow</v>
          </cell>
          <cell r="D74" t="str">
            <v>Dalasi</v>
          </cell>
          <cell r="E74">
            <v>27.927</v>
          </cell>
          <cell r="F74">
            <v>1384126</v>
          </cell>
          <cell r="G74">
            <v>1430617</v>
          </cell>
          <cell r="H74">
            <v>1477317</v>
          </cell>
          <cell r="I74">
            <v>1524061</v>
          </cell>
          <cell r="J74">
            <v>1570673</v>
          </cell>
          <cell r="K74">
            <v>1617029</v>
          </cell>
          <cell r="L74">
            <v>1663031</v>
          </cell>
          <cell r="M74">
            <v>1708680</v>
          </cell>
          <cell r="N74">
            <v>1754068</v>
          </cell>
          <cell r="O74">
            <v>1799355</v>
          </cell>
          <cell r="P74">
            <v>1844665</v>
          </cell>
          <cell r="Q74">
            <v>1890019</v>
          </cell>
          <cell r="R74">
            <v>1935393</v>
          </cell>
          <cell r="S74">
            <v>1980799</v>
          </cell>
          <cell r="T74">
            <v>2026246</v>
          </cell>
          <cell r="U74">
            <v>2071744</v>
          </cell>
        </row>
        <row r="75">
          <cell r="A75" t="str">
            <v>Georgia</v>
          </cell>
          <cell r="B75" t="str">
            <v>GEO</v>
          </cell>
          <cell r="C75" t="str">
            <v>EEUR</v>
          </cell>
          <cell r="D75" t="str">
            <v>Lari</v>
          </cell>
          <cell r="E75">
            <v>2.0992999999999999</v>
          </cell>
          <cell r="F75">
            <v>4720061</v>
          </cell>
          <cell r="G75">
            <v>4665815</v>
          </cell>
          <cell r="H75">
            <v>4613639</v>
          </cell>
          <cell r="I75">
            <v>4563848</v>
          </cell>
          <cell r="J75">
            <v>4516981</v>
          </cell>
          <cell r="K75">
            <v>4473409</v>
          </cell>
          <cell r="L75">
            <v>4432981</v>
          </cell>
          <cell r="M75">
            <v>4395420</v>
          </cell>
          <cell r="N75">
            <v>4360801</v>
          </cell>
          <cell r="O75">
            <v>4329221</v>
          </cell>
          <cell r="P75">
            <v>4300629</v>
          </cell>
          <cell r="Q75">
            <v>4275102</v>
          </cell>
          <cell r="R75">
            <v>4252247</v>
          </cell>
          <cell r="S75">
            <v>4230950</v>
          </cell>
          <cell r="T75">
            <v>4209759</v>
          </cell>
          <cell r="U75">
            <v>4187617</v>
          </cell>
        </row>
        <row r="76">
          <cell r="A76" t="str">
            <v>Germany</v>
          </cell>
          <cell r="B76" t="str">
            <v>DEU</v>
          </cell>
          <cell r="C76" t="str">
            <v>EME</v>
          </cell>
          <cell r="F76">
            <v>82308801</v>
          </cell>
          <cell r="G76">
            <v>82395462</v>
          </cell>
          <cell r="H76">
            <v>82485207</v>
          </cell>
          <cell r="I76">
            <v>82568070</v>
          </cell>
          <cell r="J76">
            <v>82627591</v>
          </cell>
          <cell r="K76">
            <v>82652369</v>
          </cell>
          <cell r="L76">
            <v>82640853</v>
          </cell>
          <cell r="M76">
            <v>82599470</v>
          </cell>
          <cell r="N76">
            <v>82534214</v>
          </cell>
          <cell r="O76">
            <v>82453830</v>
          </cell>
          <cell r="P76">
            <v>82365042</v>
          </cell>
          <cell r="Q76">
            <v>82269742</v>
          </cell>
          <cell r="R76">
            <v>82167238</v>
          </cell>
          <cell r="S76">
            <v>82058584</v>
          </cell>
          <cell r="T76">
            <v>81944290</v>
          </cell>
          <cell r="U76">
            <v>81824754</v>
          </cell>
        </row>
        <row r="77">
          <cell r="A77" t="str">
            <v>Ghana</v>
          </cell>
          <cell r="B77" t="str">
            <v>GHA</v>
          </cell>
          <cell r="C77" t="str">
            <v>AFRlow</v>
          </cell>
          <cell r="D77" t="str">
            <v>Cedi</v>
          </cell>
          <cell r="E77">
            <v>8736.74</v>
          </cell>
          <cell r="F77">
            <v>20147515</v>
          </cell>
          <cell r="G77">
            <v>20616701</v>
          </cell>
          <cell r="H77">
            <v>21093717</v>
          </cell>
          <cell r="I77">
            <v>21575356</v>
          </cell>
          <cell r="J77">
            <v>22056906</v>
          </cell>
          <cell r="K77">
            <v>22535010</v>
          </cell>
          <cell r="L77">
            <v>23008443</v>
          </cell>
          <cell r="M77">
            <v>23478396</v>
          </cell>
          <cell r="N77">
            <v>23946817</v>
          </cell>
          <cell r="O77">
            <v>24416711</v>
          </cell>
          <cell r="P77">
            <v>24890167</v>
          </cell>
          <cell r="Q77">
            <v>25367620</v>
          </cell>
          <cell r="R77">
            <v>25848035</v>
          </cell>
          <cell r="S77">
            <v>26330249</v>
          </cell>
          <cell r="T77">
            <v>26812532</v>
          </cell>
          <cell r="U77">
            <v>27293540</v>
          </cell>
        </row>
        <row r="78">
          <cell r="A78" t="str">
            <v>Greece</v>
          </cell>
          <cell r="B78" t="str">
            <v>GRE</v>
          </cell>
          <cell r="C78" t="str">
            <v>EME</v>
          </cell>
          <cell r="F78">
            <v>10974638</v>
          </cell>
          <cell r="G78">
            <v>11011024</v>
          </cell>
          <cell r="H78">
            <v>11038400</v>
          </cell>
          <cell r="I78">
            <v>11059778</v>
          </cell>
          <cell r="J78">
            <v>11079234</v>
          </cell>
          <cell r="K78">
            <v>11099737</v>
          </cell>
          <cell r="L78">
            <v>11122512</v>
          </cell>
          <cell r="M78">
            <v>11146919</v>
          </cell>
          <cell r="N78">
            <v>11171744</v>
          </cell>
          <cell r="O78">
            <v>11194933</v>
          </cell>
          <cell r="P78">
            <v>11214979</v>
          </cell>
          <cell r="Q78">
            <v>11231740</v>
          </cell>
          <cell r="R78">
            <v>11245803</v>
          </cell>
          <cell r="S78">
            <v>11257232</v>
          </cell>
          <cell r="T78">
            <v>11266222</v>
          </cell>
          <cell r="U78">
            <v>11272941</v>
          </cell>
        </row>
        <row r="79">
          <cell r="A79" t="str">
            <v>Grenada</v>
          </cell>
          <cell r="B79" t="str">
            <v>GRA</v>
          </cell>
          <cell r="C79" t="str">
            <v>LAC</v>
          </cell>
          <cell r="D79" t="str">
            <v>E. Caribbean Dollar</v>
          </cell>
          <cell r="E79">
            <v>2.7</v>
          </cell>
          <cell r="F79">
            <v>100411</v>
          </cell>
          <cell r="G79">
            <v>101307</v>
          </cell>
          <cell r="H79">
            <v>102398</v>
          </cell>
          <cell r="I79">
            <v>103540</v>
          </cell>
          <cell r="J79">
            <v>104533</v>
          </cell>
          <cell r="K79">
            <v>105237</v>
          </cell>
          <cell r="L79">
            <v>105597</v>
          </cell>
          <cell r="M79">
            <v>105668</v>
          </cell>
          <cell r="N79">
            <v>105552</v>
          </cell>
          <cell r="O79">
            <v>105398</v>
          </cell>
          <cell r="P79">
            <v>105322</v>
          </cell>
          <cell r="Q79">
            <v>105349</v>
          </cell>
          <cell r="R79">
            <v>105452</v>
          </cell>
          <cell r="S79">
            <v>105614</v>
          </cell>
          <cell r="T79">
            <v>105806</v>
          </cell>
          <cell r="U79">
            <v>106006</v>
          </cell>
        </row>
        <row r="80">
          <cell r="A80" t="str">
            <v>Guam</v>
          </cell>
          <cell r="B80" t="str">
            <v>GUM</v>
          </cell>
          <cell r="C80" t="str">
            <v>WPR</v>
          </cell>
          <cell r="F80">
            <v>155156</v>
          </cell>
          <cell r="G80">
            <v>157605</v>
          </cell>
          <cell r="H80">
            <v>160298</v>
          </cell>
          <cell r="I80">
            <v>163125</v>
          </cell>
          <cell r="J80">
            <v>165922</v>
          </cell>
          <cell r="K80">
            <v>168570</v>
          </cell>
          <cell r="L80">
            <v>171033</v>
          </cell>
          <cell r="M80">
            <v>173348</v>
          </cell>
          <cell r="N80">
            <v>175553</v>
          </cell>
          <cell r="O80">
            <v>177719</v>
          </cell>
          <cell r="P80">
            <v>179894</v>
          </cell>
          <cell r="Q80">
            <v>182085</v>
          </cell>
          <cell r="R80">
            <v>184273</v>
          </cell>
          <cell r="S80">
            <v>186458</v>
          </cell>
          <cell r="T80">
            <v>188635</v>
          </cell>
          <cell r="U80">
            <v>190800</v>
          </cell>
        </row>
        <row r="81">
          <cell r="A81" t="str">
            <v>Guatemala</v>
          </cell>
          <cell r="B81" t="str">
            <v>GUT</v>
          </cell>
          <cell r="C81" t="str">
            <v>LAC</v>
          </cell>
          <cell r="D81" t="str">
            <v>Quetzala</v>
          </cell>
          <cell r="E81">
            <v>8.0962999999999994</v>
          </cell>
          <cell r="F81">
            <v>11229405</v>
          </cell>
          <cell r="G81">
            <v>11505139</v>
          </cell>
          <cell r="H81">
            <v>11792579</v>
          </cell>
          <cell r="I81">
            <v>12090411</v>
          </cell>
          <cell r="J81">
            <v>12396581</v>
          </cell>
          <cell r="K81">
            <v>12709564</v>
          </cell>
          <cell r="L81">
            <v>13028572</v>
          </cell>
          <cell r="M81">
            <v>13353914</v>
          </cell>
          <cell r="N81">
            <v>13686399</v>
          </cell>
          <cell r="O81">
            <v>14027310</v>
          </cell>
          <cell r="P81">
            <v>14377299</v>
          </cell>
          <cell r="Q81">
            <v>14736434</v>
          </cell>
          <cell r="R81">
            <v>15103466</v>
          </cell>
          <cell r="S81">
            <v>15476103</v>
          </cell>
          <cell r="T81">
            <v>15851318</v>
          </cell>
          <cell r="U81">
            <v>16226756</v>
          </cell>
        </row>
        <row r="82">
          <cell r="A82" t="str">
            <v>Guinea</v>
          </cell>
          <cell r="B82" t="str">
            <v>GUI</v>
          </cell>
          <cell r="C82" t="str">
            <v>AFRlow</v>
          </cell>
          <cell r="D82" t="str">
            <v>Franc</v>
          </cell>
          <cell r="E82">
            <v>1980</v>
          </cell>
          <cell r="F82">
            <v>8202628.0000000009</v>
          </cell>
          <cell r="G82">
            <v>8358572</v>
          </cell>
          <cell r="H82">
            <v>8513599</v>
          </cell>
          <cell r="I82">
            <v>8670641</v>
          </cell>
          <cell r="J82">
            <v>8832767</v>
          </cell>
          <cell r="K82">
            <v>9002656</v>
          </cell>
          <cell r="L82">
            <v>9181335</v>
          </cell>
          <cell r="M82">
            <v>9370113</v>
          </cell>
          <cell r="N82">
            <v>9572039</v>
          </cell>
          <cell r="O82">
            <v>9790529</v>
          </cell>
          <cell r="P82">
            <v>10027663</v>
          </cell>
          <cell r="Q82">
            <v>10285101</v>
          </cell>
          <cell r="R82">
            <v>10561474</v>
          </cell>
          <cell r="S82">
            <v>10851936</v>
          </cell>
          <cell r="T82">
            <v>11149622</v>
          </cell>
          <cell r="U82">
            <v>11449365</v>
          </cell>
        </row>
        <row r="83">
          <cell r="A83" t="str">
            <v>Guinea-Bissau</v>
          </cell>
          <cell r="B83" t="str">
            <v>GUB</v>
          </cell>
          <cell r="C83" t="str">
            <v>AFRlow</v>
          </cell>
          <cell r="D83" t="str">
            <v>Franc</v>
          </cell>
          <cell r="E83">
            <v>561.04999999999995</v>
          </cell>
          <cell r="F83">
            <v>1370486</v>
          </cell>
          <cell r="G83">
            <v>1411959</v>
          </cell>
          <cell r="H83">
            <v>1455881</v>
          </cell>
          <cell r="I83">
            <v>1501794</v>
          </cell>
          <cell r="J83">
            <v>1548975</v>
          </cell>
          <cell r="K83">
            <v>1596929</v>
          </cell>
          <cell r="L83">
            <v>1645529</v>
          </cell>
          <cell r="M83">
            <v>1695043</v>
          </cell>
          <cell r="N83">
            <v>1745838</v>
          </cell>
          <cell r="O83">
            <v>1798446</v>
          </cell>
          <cell r="P83">
            <v>1853257</v>
          </cell>
          <cell r="Q83">
            <v>1910397</v>
          </cell>
          <cell r="R83">
            <v>1969765</v>
          </cell>
          <cell r="S83">
            <v>2031241</v>
          </cell>
          <cell r="T83">
            <v>2094620</v>
          </cell>
          <cell r="U83">
            <v>2159754</v>
          </cell>
        </row>
        <row r="84">
          <cell r="A84" t="str">
            <v>Guyana</v>
          </cell>
          <cell r="B84" t="str">
            <v>GUY</v>
          </cell>
          <cell r="C84" t="str">
            <v>LAC</v>
          </cell>
          <cell r="D84" t="str">
            <v>Guyana Dollar</v>
          </cell>
          <cell r="E84">
            <v>194.6</v>
          </cell>
          <cell r="F84">
            <v>734397</v>
          </cell>
          <cell r="G84">
            <v>734917</v>
          </cell>
          <cell r="H84">
            <v>736174</v>
          </cell>
          <cell r="I84">
            <v>737741</v>
          </cell>
          <cell r="J84">
            <v>738992</v>
          </cell>
          <cell r="K84">
            <v>739472</v>
          </cell>
          <cell r="L84">
            <v>739065</v>
          </cell>
          <cell r="M84">
            <v>737907</v>
          </cell>
          <cell r="N84">
            <v>736106</v>
          </cell>
          <cell r="O84">
            <v>733860</v>
          </cell>
          <cell r="P84">
            <v>731327</v>
          </cell>
          <cell r="Q84">
            <v>728511</v>
          </cell>
          <cell r="R84">
            <v>725392</v>
          </cell>
          <cell r="S84">
            <v>722080</v>
          </cell>
          <cell r="T84">
            <v>718713</v>
          </cell>
          <cell r="U84">
            <v>715389</v>
          </cell>
        </row>
        <row r="85">
          <cell r="A85" t="str">
            <v>Haiti</v>
          </cell>
          <cell r="B85" t="str">
            <v>HAI</v>
          </cell>
          <cell r="C85" t="str">
            <v>LAC</v>
          </cell>
          <cell r="D85" t="str">
            <v>Gourde</v>
          </cell>
          <cell r="E85">
            <v>41.856999999999999</v>
          </cell>
          <cell r="F85">
            <v>8572836</v>
          </cell>
          <cell r="G85">
            <v>8717583</v>
          </cell>
          <cell r="H85">
            <v>8861147</v>
          </cell>
          <cell r="I85">
            <v>9004561</v>
          </cell>
          <cell r="J85">
            <v>9149270</v>
          </cell>
          <cell r="K85">
            <v>9296291</v>
          </cell>
          <cell r="L85">
            <v>9445947</v>
          </cell>
          <cell r="M85">
            <v>9597851</v>
          </cell>
          <cell r="N85">
            <v>9751432</v>
          </cell>
          <cell r="O85">
            <v>9905802</v>
          </cell>
          <cell r="P85">
            <v>10060269</v>
          </cell>
          <cell r="Q85">
            <v>10214637</v>
          </cell>
          <cell r="R85">
            <v>10368958</v>
          </cell>
          <cell r="S85">
            <v>10523068</v>
          </cell>
          <cell r="T85">
            <v>10676831</v>
          </cell>
          <cell r="U85">
            <v>10830108</v>
          </cell>
        </row>
        <row r="86">
          <cell r="A86" t="str">
            <v>Honduras</v>
          </cell>
          <cell r="B86" t="str">
            <v>HON</v>
          </cell>
          <cell r="C86" t="str">
            <v>LAC</v>
          </cell>
          <cell r="D86" t="str">
            <v>Lempira</v>
          </cell>
          <cell r="E86">
            <v>17.597000000000001</v>
          </cell>
          <cell r="F86">
            <v>6195604</v>
          </cell>
          <cell r="G86">
            <v>6320323</v>
          </cell>
          <cell r="H86">
            <v>6445942</v>
          </cell>
          <cell r="I86">
            <v>6573055</v>
          </cell>
          <cell r="J86">
            <v>6702291</v>
          </cell>
          <cell r="K86">
            <v>6834110</v>
          </cell>
          <cell r="L86">
            <v>6968687</v>
          </cell>
          <cell r="M86">
            <v>7106001</v>
          </cell>
          <cell r="N86">
            <v>7246016</v>
          </cell>
          <cell r="O86">
            <v>7388589</v>
          </cell>
          <cell r="P86">
            <v>7533498</v>
          </cell>
          <cell r="Q86">
            <v>7680728</v>
          </cell>
          <cell r="R86">
            <v>7829978</v>
          </cell>
          <cell r="S86">
            <v>7980353</v>
          </cell>
          <cell r="T86">
            <v>8130703</v>
          </cell>
          <cell r="U86">
            <v>8280115</v>
          </cell>
        </row>
        <row r="87">
          <cell r="A87" t="str">
            <v>Hungary</v>
          </cell>
          <cell r="B87" t="str">
            <v>HUN</v>
          </cell>
          <cell r="C87" t="str">
            <v>CEUR</v>
          </cell>
          <cell r="F87">
            <v>10214329</v>
          </cell>
          <cell r="G87">
            <v>10189186</v>
          </cell>
          <cell r="H87">
            <v>10164200</v>
          </cell>
          <cell r="I87">
            <v>10139079</v>
          </cell>
          <cell r="J87">
            <v>10113270</v>
          </cell>
          <cell r="K87">
            <v>10086387</v>
          </cell>
          <cell r="L87">
            <v>10058432</v>
          </cell>
          <cell r="M87">
            <v>10029647</v>
          </cell>
          <cell r="N87">
            <v>10000165</v>
          </cell>
          <cell r="O87">
            <v>9970174</v>
          </cell>
          <cell r="P87">
            <v>9939818</v>
          </cell>
          <cell r="Q87">
            <v>9909136</v>
          </cell>
          <cell r="R87">
            <v>9878118</v>
          </cell>
          <cell r="S87">
            <v>9846808</v>
          </cell>
          <cell r="T87">
            <v>9815240</v>
          </cell>
          <cell r="U87">
            <v>9783439</v>
          </cell>
        </row>
        <row r="88">
          <cell r="A88" t="str">
            <v>Iceland</v>
          </cell>
          <cell r="B88" t="str">
            <v>ICE</v>
          </cell>
          <cell r="C88" t="str">
            <v>EME</v>
          </cell>
          <cell r="F88">
            <v>281085</v>
          </cell>
          <cell r="G88">
            <v>284002</v>
          </cell>
          <cell r="H88">
            <v>286981</v>
          </cell>
          <cell r="I88">
            <v>289971</v>
          </cell>
          <cell r="J88">
            <v>292905</v>
          </cell>
          <cell r="K88">
            <v>295732</v>
          </cell>
          <cell r="L88">
            <v>298429</v>
          </cell>
          <cell r="M88">
            <v>301005</v>
          </cell>
          <cell r="N88">
            <v>303495</v>
          </cell>
          <cell r="O88">
            <v>305945</v>
          </cell>
          <cell r="P88">
            <v>308391</v>
          </cell>
          <cell r="Q88">
            <v>310845</v>
          </cell>
          <cell r="R88">
            <v>313287</v>
          </cell>
          <cell r="S88">
            <v>315682</v>
          </cell>
          <cell r="T88">
            <v>317979</v>
          </cell>
          <cell r="U88">
            <v>320146</v>
          </cell>
        </row>
        <row r="89">
          <cell r="A89" t="str">
            <v>India</v>
          </cell>
          <cell r="B89" t="str">
            <v>IND</v>
          </cell>
          <cell r="C89" t="str">
            <v>SEAR</v>
          </cell>
          <cell r="D89" t="str">
            <v>Rupee</v>
          </cell>
          <cell r="E89">
            <v>45.393999999999998</v>
          </cell>
          <cell r="F89">
            <v>1046235394</v>
          </cell>
          <cell r="G89">
            <v>1064156218.0000001</v>
          </cell>
          <cell r="H89">
            <v>1081899160</v>
          </cell>
          <cell r="I89">
            <v>1099494105</v>
          </cell>
          <cell r="J89">
            <v>1116985142</v>
          </cell>
          <cell r="K89">
            <v>1134403141</v>
          </cell>
          <cell r="L89">
            <v>1151751462</v>
          </cell>
          <cell r="M89">
            <v>1169015510</v>
          </cell>
          <cell r="N89">
            <v>1186185681</v>
          </cell>
          <cell r="O89">
            <v>1203246416</v>
          </cell>
          <cell r="P89">
            <v>1220182254</v>
          </cell>
          <cell r="Q89">
            <v>1236983900</v>
          </cell>
          <cell r="R89">
            <v>1253640923</v>
          </cell>
          <cell r="S89">
            <v>1270133669</v>
          </cell>
          <cell r="T89">
            <v>1286439138</v>
          </cell>
          <cell r="U89">
            <v>1302535057</v>
          </cell>
        </row>
        <row r="90">
          <cell r="A90" t="str">
            <v>Indonesia</v>
          </cell>
          <cell r="B90" t="str">
            <v>INO</v>
          </cell>
          <cell r="C90" t="str">
            <v>SEAR</v>
          </cell>
          <cell r="D90" t="str">
            <v>Rupiah</v>
          </cell>
          <cell r="E90">
            <v>8445.2999999999993</v>
          </cell>
          <cell r="F90">
            <v>211692873</v>
          </cell>
          <cell r="G90">
            <v>214574762</v>
          </cell>
          <cell r="H90">
            <v>217465933</v>
          </cell>
          <cell r="I90">
            <v>220354725</v>
          </cell>
          <cell r="J90">
            <v>223224904</v>
          </cell>
          <cell r="K90">
            <v>226063044</v>
          </cell>
          <cell r="L90">
            <v>228864475</v>
          </cell>
          <cell r="M90">
            <v>231626979</v>
          </cell>
          <cell r="N90">
            <v>234342424</v>
          </cell>
          <cell r="O90">
            <v>237002211</v>
          </cell>
          <cell r="P90">
            <v>239599528</v>
          </cell>
          <cell r="Q90">
            <v>242131299</v>
          </cell>
          <cell r="R90">
            <v>244596038</v>
          </cell>
          <cell r="S90">
            <v>246991164</v>
          </cell>
          <cell r="T90">
            <v>249314807</v>
          </cell>
          <cell r="U90">
            <v>251566724</v>
          </cell>
        </row>
        <row r="91">
          <cell r="A91" t="str">
            <v>Iran</v>
          </cell>
          <cell r="B91" t="str">
            <v>IRA</v>
          </cell>
          <cell r="C91" t="str">
            <v>EMR</v>
          </cell>
          <cell r="F91">
            <v>66125244.999999993</v>
          </cell>
          <cell r="G91">
            <v>66769504</v>
          </cell>
          <cell r="H91">
            <v>67382640</v>
          </cell>
          <cell r="I91">
            <v>68000549</v>
          </cell>
          <cell r="J91">
            <v>68669122</v>
          </cell>
          <cell r="K91">
            <v>69420607</v>
          </cell>
          <cell r="L91">
            <v>70270178</v>
          </cell>
          <cell r="M91">
            <v>71208382</v>
          </cell>
          <cell r="N91">
            <v>72211696</v>
          </cell>
          <cell r="O91">
            <v>73243624</v>
          </cell>
          <cell r="P91">
            <v>74276361</v>
          </cell>
          <cell r="Q91">
            <v>75301448</v>
          </cell>
          <cell r="R91">
            <v>76323337</v>
          </cell>
          <cell r="S91">
            <v>77341915</v>
          </cell>
          <cell r="T91">
            <v>78360414</v>
          </cell>
          <cell r="U91">
            <v>79379471</v>
          </cell>
        </row>
        <row r="92">
          <cell r="A92" t="str">
            <v>Iraq</v>
          </cell>
          <cell r="B92" t="str">
            <v>IRQ</v>
          </cell>
          <cell r="C92" t="str">
            <v>EMR</v>
          </cell>
          <cell r="D92" t="str">
            <v>Dinar</v>
          </cell>
          <cell r="E92">
            <v>32.17</v>
          </cell>
          <cell r="F92">
            <v>25051543</v>
          </cell>
          <cell r="G92">
            <v>25687327</v>
          </cell>
          <cell r="H92">
            <v>26301442</v>
          </cell>
          <cell r="I92">
            <v>26891515</v>
          </cell>
          <cell r="J92">
            <v>27455768</v>
          </cell>
          <cell r="K92">
            <v>27995984</v>
          </cell>
          <cell r="L92">
            <v>28505843</v>
          </cell>
          <cell r="M92">
            <v>28993376</v>
          </cell>
          <cell r="N92">
            <v>29492184</v>
          </cell>
          <cell r="O92">
            <v>30046962</v>
          </cell>
          <cell r="P92">
            <v>30688376</v>
          </cell>
          <cell r="Q92">
            <v>31430492</v>
          </cell>
          <cell r="R92">
            <v>32260832</v>
          </cell>
          <cell r="S92">
            <v>33150478.000000004</v>
          </cell>
          <cell r="T92">
            <v>34056526</v>
          </cell>
          <cell r="U92">
            <v>34947089</v>
          </cell>
        </row>
        <row r="93">
          <cell r="A93" t="str">
            <v>Ireland</v>
          </cell>
          <cell r="B93" t="str">
            <v>IRE</v>
          </cell>
          <cell r="C93" t="str">
            <v>EME</v>
          </cell>
          <cell r="F93">
            <v>3803822</v>
          </cell>
          <cell r="G93">
            <v>3861564</v>
          </cell>
          <cell r="H93">
            <v>3925526</v>
          </cell>
          <cell r="I93">
            <v>3994713</v>
          </cell>
          <cell r="J93">
            <v>4067736</v>
          </cell>
          <cell r="K93">
            <v>4143294</v>
          </cell>
          <cell r="L93">
            <v>4221218</v>
          </cell>
          <cell r="M93">
            <v>4300902</v>
          </cell>
          <cell r="N93">
            <v>4380073</v>
          </cell>
          <cell r="O93">
            <v>4455924</v>
          </cell>
          <cell r="P93">
            <v>4526465</v>
          </cell>
          <cell r="Q93">
            <v>4590580</v>
          </cell>
          <cell r="R93">
            <v>4648708</v>
          </cell>
          <cell r="S93">
            <v>4702386</v>
          </cell>
          <cell r="T93">
            <v>4754018</v>
          </cell>
          <cell r="U93">
            <v>4805376</v>
          </cell>
        </row>
        <row r="94">
          <cell r="A94" t="str">
            <v>Israel</v>
          </cell>
          <cell r="B94" t="str">
            <v>ISR</v>
          </cell>
          <cell r="C94" t="str">
            <v>EME</v>
          </cell>
          <cell r="F94">
            <v>6084185</v>
          </cell>
          <cell r="G94">
            <v>6211612</v>
          </cell>
          <cell r="H94">
            <v>6334942</v>
          </cell>
          <cell r="I94">
            <v>6455277</v>
          </cell>
          <cell r="J94">
            <v>6573981</v>
          </cell>
          <cell r="K94">
            <v>6692037</v>
          </cell>
          <cell r="L94">
            <v>6809989</v>
          </cell>
          <cell r="M94">
            <v>6927680</v>
          </cell>
          <cell r="N94">
            <v>7044501</v>
          </cell>
          <cell r="O94">
            <v>7159464</v>
          </cell>
          <cell r="P94">
            <v>7271843</v>
          </cell>
          <cell r="Q94">
            <v>7381604</v>
          </cell>
          <cell r="R94">
            <v>7489021</v>
          </cell>
          <cell r="S94">
            <v>7594046</v>
          </cell>
          <cell r="T94">
            <v>7696668</v>
          </cell>
          <cell r="U94">
            <v>7796935</v>
          </cell>
        </row>
        <row r="95">
          <cell r="A95" t="str">
            <v>Italy</v>
          </cell>
          <cell r="B95" t="str">
            <v>ITA</v>
          </cell>
          <cell r="C95" t="str">
            <v>EME</v>
          </cell>
          <cell r="F95">
            <v>57692156</v>
          </cell>
          <cell r="G95">
            <v>57855580</v>
          </cell>
          <cell r="H95">
            <v>58055006</v>
          </cell>
          <cell r="I95">
            <v>58270758</v>
          </cell>
          <cell r="J95">
            <v>58474754</v>
          </cell>
          <cell r="K95">
            <v>58646360</v>
          </cell>
          <cell r="L95">
            <v>58778774</v>
          </cell>
          <cell r="M95">
            <v>58876835</v>
          </cell>
          <cell r="N95">
            <v>58945700</v>
          </cell>
          <cell r="O95">
            <v>58994951</v>
          </cell>
          <cell r="P95">
            <v>59031629</v>
          </cell>
          <cell r="Q95">
            <v>59056616</v>
          </cell>
          <cell r="R95">
            <v>59067048</v>
          </cell>
          <cell r="S95">
            <v>59062137</v>
          </cell>
          <cell r="T95">
            <v>59040393</v>
          </cell>
          <cell r="U95">
            <v>59001178</v>
          </cell>
        </row>
        <row r="96">
          <cell r="A96" t="str">
            <v>Jamaica</v>
          </cell>
          <cell r="B96" t="str">
            <v>JAM</v>
          </cell>
          <cell r="C96" t="str">
            <v>LAC</v>
          </cell>
          <cell r="F96">
            <v>2589069</v>
          </cell>
          <cell r="G96">
            <v>2608817</v>
          </cell>
          <cell r="H96">
            <v>2628246</v>
          </cell>
          <cell r="I96">
            <v>2647161</v>
          </cell>
          <cell r="J96">
            <v>2665296</v>
          </cell>
          <cell r="K96">
            <v>2682469</v>
          </cell>
          <cell r="L96">
            <v>2698603</v>
          </cell>
          <cell r="M96">
            <v>2713782</v>
          </cell>
          <cell r="N96">
            <v>2728196</v>
          </cell>
          <cell r="O96">
            <v>2742114</v>
          </cell>
          <cell r="P96">
            <v>2755740</v>
          </cell>
          <cell r="Q96">
            <v>2769120</v>
          </cell>
          <cell r="R96">
            <v>2782199</v>
          </cell>
          <cell r="S96">
            <v>2794958</v>
          </cell>
          <cell r="T96">
            <v>2807345</v>
          </cell>
          <cell r="U96">
            <v>2819313</v>
          </cell>
        </row>
        <row r="97">
          <cell r="A97" t="str">
            <v>Japan</v>
          </cell>
          <cell r="B97" t="str">
            <v>JPN</v>
          </cell>
          <cell r="C97" t="str">
            <v>EME</v>
          </cell>
          <cell r="F97">
            <v>127034058</v>
          </cell>
          <cell r="G97">
            <v>127273272</v>
          </cell>
          <cell r="H97">
            <v>127482808</v>
          </cell>
          <cell r="I97">
            <v>127659077</v>
          </cell>
          <cell r="J97">
            <v>127798083</v>
          </cell>
          <cell r="K97">
            <v>127896740</v>
          </cell>
          <cell r="L97">
            <v>127953099</v>
          </cell>
          <cell r="M97">
            <v>127966710</v>
          </cell>
          <cell r="N97">
            <v>127937999</v>
          </cell>
          <cell r="O97">
            <v>127868243</v>
          </cell>
          <cell r="P97">
            <v>127758424</v>
          </cell>
          <cell r="Q97">
            <v>127608775</v>
          </cell>
          <cell r="R97">
            <v>127418923</v>
          </cell>
          <cell r="S97">
            <v>127188711</v>
          </cell>
          <cell r="T97">
            <v>126917898</v>
          </cell>
          <cell r="U97">
            <v>126606682</v>
          </cell>
        </row>
        <row r="98">
          <cell r="A98" t="str">
            <v>Jordan</v>
          </cell>
          <cell r="B98" t="str">
            <v>JOR</v>
          </cell>
          <cell r="C98" t="str">
            <v>EMR</v>
          </cell>
          <cell r="F98">
            <v>4798724</v>
          </cell>
          <cell r="G98">
            <v>4918695</v>
          </cell>
          <cell r="H98">
            <v>5054962</v>
          </cell>
          <cell r="I98">
            <v>5206628</v>
          </cell>
          <cell r="J98">
            <v>5370713</v>
          </cell>
          <cell r="K98">
            <v>5544066</v>
          </cell>
          <cell r="L98">
            <v>5728965</v>
          </cell>
          <cell r="M98">
            <v>5924247</v>
          </cell>
          <cell r="N98">
            <v>6118923</v>
          </cell>
          <cell r="O98">
            <v>6298419</v>
          </cell>
          <cell r="P98">
            <v>6452706</v>
          </cell>
          <cell r="Q98">
            <v>6576965</v>
          </cell>
          <cell r="R98">
            <v>6675116</v>
          </cell>
          <cell r="S98">
            <v>6756724</v>
          </cell>
          <cell r="T98">
            <v>6836006</v>
          </cell>
          <cell r="U98">
            <v>6923395</v>
          </cell>
        </row>
        <row r="99">
          <cell r="A99" t="str">
            <v>Kazakhstan</v>
          </cell>
          <cell r="B99" t="str">
            <v>KAZ</v>
          </cell>
          <cell r="C99" t="str">
            <v>EEUR</v>
          </cell>
          <cell r="F99">
            <v>14954223</v>
          </cell>
          <cell r="G99">
            <v>14909911</v>
          </cell>
          <cell r="H99">
            <v>14933416</v>
          </cell>
          <cell r="I99">
            <v>15007820</v>
          </cell>
          <cell r="J99">
            <v>15106858</v>
          </cell>
          <cell r="K99">
            <v>15210609</v>
          </cell>
          <cell r="L99">
            <v>15314346</v>
          </cell>
          <cell r="M99">
            <v>15421864</v>
          </cell>
          <cell r="N99">
            <v>15531645</v>
          </cell>
          <cell r="O99">
            <v>15643930</v>
          </cell>
          <cell r="P99">
            <v>15758521</v>
          </cell>
          <cell r="Q99">
            <v>15873025</v>
          </cell>
          <cell r="R99">
            <v>15984703</v>
          </cell>
          <cell r="S99">
            <v>16092936</v>
          </cell>
          <cell r="T99">
            <v>16197626</v>
          </cell>
          <cell r="U99">
            <v>16298563</v>
          </cell>
        </row>
        <row r="100">
          <cell r="A100" t="str">
            <v>Kenya</v>
          </cell>
          <cell r="B100" t="str">
            <v>KEN</v>
          </cell>
          <cell r="C100" t="str">
            <v>AFRhigh</v>
          </cell>
          <cell r="D100" t="str">
            <v>Shilling</v>
          </cell>
          <cell r="E100">
            <v>75.959999999999994</v>
          </cell>
          <cell r="F100">
            <v>31251862</v>
          </cell>
          <cell r="G100">
            <v>32071251</v>
          </cell>
          <cell r="H100">
            <v>32912983</v>
          </cell>
          <cell r="I100">
            <v>33779932</v>
          </cell>
          <cell r="J100">
            <v>34674703</v>
          </cell>
          <cell r="K100">
            <v>35598952</v>
          </cell>
          <cell r="L100">
            <v>36553490</v>
          </cell>
          <cell r="M100">
            <v>37537715</v>
          </cell>
          <cell r="N100">
            <v>38549710</v>
          </cell>
          <cell r="O100">
            <v>39586504</v>
          </cell>
          <cell r="P100">
            <v>40645066</v>
          </cell>
          <cell r="Q100">
            <v>41724769</v>
          </cell>
          <cell r="R100">
            <v>42823567</v>
          </cell>
          <cell r="S100">
            <v>43935137</v>
          </cell>
          <cell r="T100">
            <v>45051598</v>
          </cell>
          <cell r="U100">
            <v>46166920</v>
          </cell>
        </row>
        <row r="101">
          <cell r="A101" t="str">
            <v>Kiribati</v>
          </cell>
          <cell r="B101" t="str">
            <v>KIR</v>
          </cell>
          <cell r="C101" t="str">
            <v>WPR</v>
          </cell>
          <cell r="F101">
            <v>84022</v>
          </cell>
          <cell r="G101">
            <v>85562</v>
          </cell>
          <cell r="H101">
            <v>87160</v>
          </cell>
          <cell r="I101">
            <v>88788</v>
          </cell>
          <cell r="J101">
            <v>90411</v>
          </cell>
          <cell r="K101">
            <v>92003</v>
          </cell>
          <cell r="L101">
            <v>93553</v>
          </cell>
          <cell r="M101">
            <v>95067</v>
          </cell>
          <cell r="N101">
            <v>96557</v>
          </cell>
          <cell r="O101">
            <v>98045</v>
          </cell>
          <cell r="P101">
            <v>99547</v>
          </cell>
          <cell r="Q101">
            <v>101063</v>
          </cell>
          <cell r="R101">
            <v>102590</v>
          </cell>
          <cell r="S101">
            <v>104129</v>
          </cell>
          <cell r="T101">
            <v>105679</v>
          </cell>
          <cell r="U101">
            <v>107240</v>
          </cell>
        </row>
        <row r="102">
          <cell r="A102" t="str">
            <v>Kuwait</v>
          </cell>
          <cell r="B102" t="str">
            <v>KUW</v>
          </cell>
          <cell r="C102" t="str">
            <v>EMR</v>
          </cell>
          <cell r="F102">
            <v>2228362</v>
          </cell>
          <cell r="G102">
            <v>2338692</v>
          </cell>
          <cell r="H102">
            <v>2439274</v>
          </cell>
          <cell r="I102">
            <v>2530928</v>
          </cell>
          <cell r="J102">
            <v>2617003</v>
          </cell>
          <cell r="K102">
            <v>2700000</v>
          </cell>
          <cell r="L102">
            <v>2778650</v>
          </cell>
          <cell r="M102">
            <v>2851144</v>
          </cell>
          <cell r="N102">
            <v>2919143</v>
          </cell>
          <cell r="O102">
            <v>2985084</v>
          </cell>
          <cell r="P102">
            <v>3050787</v>
          </cell>
          <cell r="Q102">
            <v>3116800</v>
          </cell>
          <cell r="R102">
            <v>3182780</v>
          </cell>
          <cell r="S102">
            <v>3248583</v>
          </cell>
          <cell r="T102">
            <v>3313791</v>
          </cell>
          <cell r="U102">
            <v>3378103</v>
          </cell>
        </row>
        <row r="103">
          <cell r="A103" t="str">
            <v>Kyrgyzstan</v>
          </cell>
          <cell r="B103" t="str">
            <v>KGZ</v>
          </cell>
          <cell r="C103" t="str">
            <v>EEUR</v>
          </cell>
          <cell r="D103" t="str">
            <v>Som</v>
          </cell>
          <cell r="E103">
            <v>41.957000000000001</v>
          </cell>
          <cell r="F103">
            <v>4946446</v>
          </cell>
          <cell r="G103">
            <v>5005492</v>
          </cell>
          <cell r="H103">
            <v>5057329</v>
          </cell>
          <cell r="I103">
            <v>5104843</v>
          </cell>
          <cell r="J103">
            <v>5152508</v>
          </cell>
          <cell r="K103">
            <v>5203547</v>
          </cell>
          <cell r="L103">
            <v>5258626</v>
          </cell>
          <cell r="M103">
            <v>5316544</v>
          </cell>
          <cell r="N103">
            <v>5376432</v>
          </cell>
          <cell r="O103">
            <v>5436821</v>
          </cell>
          <cell r="P103">
            <v>5496576</v>
          </cell>
          <cell r="Q103">
            <v>5555511</v>
          </cell>
          <cell r="R103">
            <v>5613828</v>
          </cell>
          <cell r="S103">
            <v>5671192</v>
          </cell>
          <cell r="T103">
            <v>5727266</v>
          </cell>
          <cell r="U103">
            <v>5781759</v>
          </cell>
        </row>
        <row r="104">
          <cell r="A104" t="str">
            <v>Lao PDR</v>
          </cell>
          <cell r="B104" t="str">
            <v>LAO</v>
          </cell>
          <cell r="C104" t="str">
            <v>WPR</v>
          </cell>
          <cell r="F104">
            <v>5223970</v>
          </cell>
          <cell r="G104">
            <v>5315553</v>
          </cell>
          <cell r="H104">
            <v>5402422</v>
          </cell>
          <cell r="I104">
            <v>5487227</v>
          </cell>
          <cell r="J104">
            <v>5573531</v>
          </cell>
          <cell r="K104">
            <v>5663910</v>
          </cell>
          <cell r="L104">
            <v>5759402</v>
          </cell>
          <cell r="M104">
            <v>5859393</v>
          </cell>
          <cell r="N104">
            <v>5962765</v>
          </cell>
          <cell r="O104">
            <v>6067645</v>
          </cell>
          <cell r="P104">
            <v>6172622</v>
          </cell>
          <cell r="Q104">
            <v>6277416</v>
          </cell>
          <cell r="R104">
            <v>6382398</v>
          </cell>
          <cell r="S104">
            <v>6487556</v>
          </cell>
          <cell r="T104">
            <v>6592999</v>
          </cell>
          <cell r="U104">
            <v>6698747</v>
          </cell>
        </row>
        <row r="105">
          <cell r="A105" t="str">
            <v>Latvia</v>
          </cell>
          <cell r="B105" t="str">
            <v>LVA</v>
          </cell>
          <cell r="C105" t="str">
            <v>EEUR</v>
          </cell>
          <cell r="F105">
            <v>2378853</v>
          </cell>
          <cell r="G105">
            <v>2361384</v>
          </cell>
          <cell r="H105">
            <v>2345021</v>
          </cell>
          <cell r="I105">
            <v>2329670</v>
          </cell>
          <cell r="J105">
            <v>2315283</v>
          </cell>
          <cell r="K105">
            <v>2301793</v>
          </cell>
          <cell r="L105">
            <v>2289095</v>
          </cell>
          <cell r="M105">
            <v>2277044</v>
          </cell>
          <cell r="N105">
            <v>2265485</v>
          </cell>
          <cell r="O105">
            <v>2254252</v>
          </cell>
          <cell r="P105">
            <v>2243209</v>
          </cell>
          <cell r="Q105">
            <v>2232249</v>
          </cell>
          <cell r="R105">
            <v>2221319</v>
          </cell>
          <cell r="S105">
            <v>2210412</v>
          </cell>
          <cell r="T105">
            <v>2199554</v>
          </cell>
          <cell r="U105">
            <v>2188749</v>
          </cell>
        </row>
        <row r="106">
          <cell r="A106" t="str">
            <v>Lebanon</v>
          </cell>
          <cell r="B106" t="str">
            <v>LEB</v>
          </cell>
          <cell r="C106" t="str">
            <v>EMR</v>
          </cell>
          <cell r="F106">
            <v>3772283</v>
          </cell>
          <cell r="G106">
            <v>3820719</v>
          </cell>
          <cell r="H106">
            <v>3869218</v>
          </cell>
          <cell r="I106">
            <v>3917538</v>
          </cell>
          <cell r="J106">
            <v>3964891</v>
          </cell>
          <cell r="K106">
            <v>4010740</v>
          </cell>
          <cell r="L106">
            <v>4055301</v>
          </cell>
          <cell r="M106">
            <v>4099114</v>
          </cell>
          <cell r="N106">
            <v>4142299</v>
          </cell>
          <cell r="O106">
            <v>4184963</v>
          </cell>
          <cell r="P106">
            <v>4227181</v>
          </cell>
          <cell r="Q106">
            <v>4269044</v>
          </cell>
          <cell r="R106">
            <v>4310550</v>
          </cell>
          <cell r="S106">
            <v>4351561</v>
          </cell>
          <cell r="T106">
            <v>4391869</v>
          </cell>
          <cell r="U106">
            <v>4431324</v>
          </cell>
        </row>
        <row r="107">
          <cell r="A107" t="str">
            <v>Lesotho</v>
          </cell>
          <cell r="B107" t="str">
            <v>LES</v>
          </cell>
          <cell r="C107" t="str">
            <v>AFRhigh</v>
          </cell>
          <cell r="D107" t="str">
            <v>Loti</v>
          </cell>
          <cell r="E107">
            <v>6.9523700000000002</v>
          </cell>
          <cell r="F107">
            <v>1885509</v>
          </cell>
          <cell r="G107">
            <v>1910562</v>
          </cell>
          <cell r="H107">
            <v>1931748</v>
          </cell>
          <cell r="I107">
            <v>1949772</v>
          </cell>
          <cell r="J107">
            <v>1965823</v>
          </cell>
          <cell r="K107">
            <v>1980831</v>
          </cell>
          <cell r="L107">
            <v>1994888</v>
          </cell>
          <cell r="M107">
            <v>2007833</v>
          </cell>
          <cell r="N107">
            <v>2020076</v>
          </cell>
          <cell r="O107">
            <v>2032077</v>
          </cell>
          <cell r="P107">
            <v>2044175</v>
          </cell>
          <cell r="Q107">
            <v>2056601</v>
          </cell>
          <cell r="R107">
            <v>2069358</v>
          </cell>
          <cell r="S107">
            <v>2082256</v>
          </cell>
          <cell r="T107">
            <v>2094967</v>
          </cell>
          <cell r="U107">
            <v>2107250</v>
          </cell>
        </row>
        <row r="108">
          <cell r="A108" t="str">
            <v>Liberia</v>
          </cell>
          <cell r="B108" t="str">
            <v>LIB</v>
          </cell>
          <cell r="C108" t="str">
            <v>AFRlow</v>
          </cell>
          <cell r="D108" t="str">
            <v>Liberian Dollar</v>
          </cell>
          <cell r="E108">
            <v>46.13</v>
          </cell>
          <cell r="F108">
            <v>3071079</v>
          </cell>
          <cell r="G108">
            <v>3181050</v>
          </cell>
          <cell r="H108">
            <v>3247001</v>
          </cell>
          <cell r="I108">
            <v>3291527</v>
          </cell>
          <cell r="J108">
            <v>3348483</v>
          </cell>
          <cell r="K108">
            <v>3441796</v>
          </cell>
          <cell r="L108">
            <v>3578925</v>
          </cell>
          <cell r="M108">
            <v>3750264</v>
          </cell>
          <cell r="N108">
            <v>3942212</v>
          </cell>
          <cell r="O108">
            <v>4134031</v>
          </cell>
          <cell r="P108">
            <v>4310822</v>
          </cell>
          <cell r="Q108">
            <v>4468771</v>
          </cell>
          <cell r="R108">
            <v>4613314</v>
          </cell>
          <cell r="S108">
            <v>4749842</v>
          </cell>
          <cell r="T108">
            <v>4887102</v>
          </cell>
          <cell r="U108">
            <v>5031534</v>
          </cell>
        </row>
        <row r="109">
          <cell r="A109" t="str">
            <v>Libyan Arab Jamahiriya</v>
          </cell>
          <cell r="B109" t="str">
            <v>LIY</v>
          </cell>
          <cell r="C109" t="str">
            <v>EMR</v>
          </cell>
          <cell r="F109">
            <v>5345662</v>
          </cell>
          <cell r="G109">
            <v>5455571</v>
          </cell>
          <cell r="H109">
            <v>5567944</v>
          </cell>
          <cell r="I109">
            <v>5682648</v>
          </cell>
          <cell r="J109">
            <v>5799484</v>
          </cell>
          <cell r="K109">
            <v>5918217</v>
          </cell>
          <cell r="L109">
            <v>6038643</v>
          </cell>
          <cell r="M109">
            <v>6160481</v>
          </cell>
          <cell r="N109">
            <v>6283283</v>
          </cell>
          <cell r="O109">
            <v>6406518</v>
          </cell>
          <cell r="P109">
            <v>6529678</v>
          </cell>
          <cell r="Q109">
            <v>6652462</v>
          </cell>
          <cell r="R109">
            <v>6774499</v>
          </cell>
          <cell r="S109">
            <v>6895121</v>
          </cell>
          <cell r="T109">
            <v>7013561</v>
          </cell>
          <cell r="U109">
            <v>7129194</v>
          </cell>
        </row>
        <row r="110">
          <cell r="A110" t="str">
            <v>Lithuania</v>
          </cell>
          <cell r="B110" t="str">
            <v>LTU</v>
          </cell>
          <cell r="C110" t="str">
            <v>EEUR</v>
          </cell>
          <cell r="F110">
            <v>3502637</v>
          </cell>
          <cell r="G110">
            <v>3483353</v>
          </cell>
          <cell r="H110">
            <v>3467528</v>
          </cell>
          <cell r="I110">
            <v>3453818</v>
          </cell>
          <cell r="J110">
            <v>3440159</v>
          </cell>
          <cell r="K110">
            <v>3425077</v>
          </cell>
          <cell r="L110">
            <v>3408148</v>
          </cell>
          <cell r="M110">
            <v>3389937</v>
          </cell>
          <cell r="N110">
            <v>3371128</v>
          </cell>
          <cell r="O110">
            <v>3352789</v>
          </cell>
          <cell r="P110">
            <v>3335672</v>
          </cell>
          <cell r="Q110">
            <v>3319934</v>
          </cell>
          <cell r="R110">
            <v>3305232</v>
          </cell>
          <cell r="S110">
            <v>3291218</v>
          </cell>
          <cell r="T110">
            <v>3277364</v>
          </cell>
          <cell r="U110">
            <v>3263264</v>
          </cell>
        </row>
        <row r="111">
          <cell r="A111" t="str">
            <v>Luxembourg</v>
          </cell>
          <cell r="B111" t="str">
            <v>LUX</v>
          </cell>
          <cell r="C111" t="str">
            <v>EME</v>
          </cell>
          <cell r="F111">
            <v>436798</v>
          </cell>
          <cell r="G111">
            <v>441210</v>
          </cell>
          <cell r="H111">
            <v>445071</v>
          </cell>
          <cell r="I111">
            <v>448670</v>
          </cell>
          <cell r="J111">
            <v>452419</v>
          </cell>
          <cell r="K111">
            <v>456613</v>
          </cell>
          <cell r="L111">
            <v>461357</v>
          </cell>
          <cell r="M111">
            <v>466557</v>
          </cell>
          <cell r="N111">
            <v>472066</v>
          </cell>
          <cell r="O111">
            <v>477654</v>
          </cell>
          <cell r="P111">
            <v>483152</v>
          </cell>
          <cell r="Q111">
            <v>488527</v>
          </cell>
          <cell r="R111">
            <v>493840</v>
          </cell>
          <cell r="S111">
            <v>499129</v>
          </cell>
          <cell r="T111">
            <v>504459</v>
          </cell>
          <cell r="U111">
            <v>509881</v>
          </cell>
        </row>
        <row r="112">
          <cell r="A112" t="str">
            <v>Madagascar</v>
          </cell>
          <cell r="B112" t="str">
            <v>MAD</v>
          </cell>
          <cell r="C112" t="str">
            <v>AFRlow</v>
          </cell>
          <cell r="D112" t="str">
            <v>Franc</v>
          </cell>
          <cell r="E112">
            <v>6053.9</v>
          </cell>
          <cell r="F112">
            <v>16186700</v>
          </cell>
          <cell r="G112">
            <v>16662075</v>
          </cell>
          <cell r="H112">
            <v>17144957</v>
          </cell>
          <cell r="I112">
            <v>17635619</v>
          </cell>
          <cell r="J112">
            <v>18134706</v>
          </cell>
          <cell r="K112">
            <v>18642586</v>
          </cell>
          <cell r="L112">
            <v>19159010</v>
          </cell>
          <cell r="M112">
            <v>19683359</v>
          </cell>
          <cell r="N112">
            <v>20215200</v>
          </cell>
          <cell r="O112">
            <v>20754008</v>
          </cell>
          <cell r="P112">
            <v>21299276</v>
          </cell>
          <cell r="Q112">
            <v>21850675</v>
          </cell>
          <cell r="R112">
            <v>22407831</v>
          </cell>
          <cell r="S112">
            <v>22970122</v>
          </cell>
          <cell r="T112">
            <v>23536848</v>
          </cell>
          <cell r="U112">
            <v>24107405</v>
          </cell>
        </row>
        <row r="113">
          <cell r="A113" t="str">
            <v>Malawi</v>
          </cell>
          <cell r="B113" t="str">
            <v>MAL</v>
          </cell>
          <cell r="C113" t="str">
            <v>AFRhigh</v>
          </cell>
          <cell r="D113" t="str">
            <v>Kwacha</v>
          </cell>
          <cell r="E113">
            <v>108.0838</v>
          </cell>
          <cell r="F113">
            <v>11623368</v>
          </cell>
          <cell r="G113">
            <v>11944555</v>
          </cell>
          <cell r="H113">
            <v>12259852</v>
          </cell>
          <cell r="I113">
            <v>12573672</v>
          </cell>
          <cell r="J113">
            <v>12893865</v>
          </cell>
          <cell r="K113">
            <v>13226091</v>
          </cell>
          <cell r="L113">
            <v>13570713</v>
          </cell>
          <cell r="M113">
            <v>13925070</v>
          </cell>
          <cell r="N113">
            <v>14288374</v>
          </cell>
          <cell r="O113">
            <v>14659255</v>
          </cell>
          <cell r="P113">
            <v>15036663</v>
          </cell>
          <cell r="Q113">
            <v>15420300</v>
          </cell>
          <cell r="R113">
            <v>15810386</v>
          </cell>
          <cell r="S113">
            <v>16206948</v>
          </cell>
          <cell r="T113">
            <v>16610129</v>
          </cell>
          <cell r="U113">
            <v>17019894</v>
          </cell>
        </row>
        <row r="114">
          <cell r="A114" t="str">
            <v>Malaysia</v>
          </cell>
          <cell r="B114" t="str">
            <v>MAA</v>
          </cell>
          <cell r="C114" t="str">
            <v>WPR</v>
          </cell>
          <cell r="D114" t="str">
            <v>Ringgit</v>
          </cell>
          <cell r="E114">
            <v>3.8</v>
          </cell>
          <cell r="F114">
            <v>23273615</v>
          </cell>
          <cell r="G114">
            <v>23774848</v>
          </cell>
          <cell r="H114">
            <v>24258296</v>
          </cell>
          <cell r="I114">
            <v>24728210</v>
          </cell>
          <cell r="J114">
            <v>25191441</v>
          </cell>
          <cell r="K114">
            <v>25652985</v>
          </cell>
          <cell r="L114">
            <v>26113731</v>
          </cell>
          <cell r="M114">
            <v>26571879</v>
          </cell>
          <cell r="N114">
            <v>27026583</v>
          </cell>
          <cell r="O114">
            <v>27476265</v>
          </cell>
          <cell r="P114">
            <v>27919755</v>
          </cell>
          <cell r="Q114">
            <v>28356834</v>
          </cell>
          <cell r="R114">
            <v>28787916</v>
          </cell>
          <cell r="S114">
            <v>29213146</v>
          </cell>
          <cell r="T114">
            <v>29632802</v>
          </cell>
          <cell r="U114">
            <v>30046963</v>
          </cell>
        </row>
        <row r="115">
          <cell r="A115" t="str">
            <v>Maldives</v>
          </cell>
          <cell r="B115" t="str">
            <v>MAV</v>
          </cell>
          <cell r="C115" t="str">
            <v>SEAR</v>
          </cell>
          <cell r="F115">
            <v>272977</v>
          </cell>
          <cell r="G115">
            <v>277434</v>
          </cell>
          <cell r="H115">
            <v>281774</v>
          </cell>
          <cell r="I115">
            <v>286112</v>
          </cell>
          <cell r="J115">
            <v>290586</v>
          </cell>
          <cell r="K115">
            <v>295297</v>
          </cell>
          <cell r="L115">
            <v>300292</v>
          </cell>
          <cell r="M115">
            <v>305556</v>
          </cell>
          <cell r="N115">
            <v>311056</v>
          </cell>
          <cell r="O115">
            <v>316731</v>
          </cell>
          <cell r="P115">
            <v>322529</v>
          </cell>
          <cell r="Q115">
            <v>328442</v>
          </cell>
          <cell r="R115">
            <v>334469</v>
          </cell>
          <cell r="S115">
            <v>340583</v>
          </cell>
          <cell r="T115">
            <v>346749</v>
          </cell>
          <cell r="U115">
            <v>352937</v>
          </cell>
        </row>
        <row r="116">
          <cell r="A116" t="str">
            <v>Mali</v>
          </cell>
          <cell r="B116" t="str">
            <v>MAI</v>
          </cell>
          <cell r="C116" t="str">
            <v>AFRlow</v>
          </cell>
          <cell r="D116" t="str">
            <v>Franc</v>
          </cell>
          <cell r="E116">
            <v>561.04999999999995</v>
          </cell>
          <cell r="F116">
            <v>10004205</v>
          </cell>
          <cell r="G116">
            <v>10297961</v>
          </cell>
          <cell r="H116">
            <v>10606724</v>
          </cell>
          <cell r="I116">
            <v>10929518</v>
          </cell>
          <cell r="J116">
            <v>11264724</v>
          </cell>
          <cell r="K116">
            <v>11611090</v>
          </cell>
          <cell r="L116">
            <v>11968376</v>
          </cell>
          <cell r="M116">
            <v>12336800</v>
          </cell>
          <cell r="N116">
            <v>12716081</v>
          </cell>
          <cell r="O116">
            <v>13105969</v>
          </cell>
          <cell r="P116">
            <v>13506226</v>
          </cell>
          <cell r="Q116">
            <v>13916495</v>
          </cell>
          <cell r="R116">
            <v>14336515</v>
          </cell>
          <cell r="S116">
            <v>14766265</v>
          </cell>
          <cell r="T116">
            <v>15205808</v>
          </cell>
          <cell r="U116">
            <v>15655093</v>
          </cell>
        </row>
        <row r="117">
          <cell r="A117" t="str">
            <v>Malta</v>
          </cell>
          <cell r="B117" t="str">
            <v>MAT</v>
          </cell>
          <cell r="C117" t="str">
            <v>EME</v>
          </cell>
          <cell r="F117">
            <v>388906</v>
          </cell>
          <cell r="G117">
            <v>391520</v>
          </cell>
          <cell r="H117">
            <v>394379</v>
          </cell>
          <cell r="I117">
            <v>397325</v>
          </cell>
          <cell r="J117">
            <v>400126</v>
          </cell>
          <cell r="K117">
            <v>402617</v>
          </cell>
          <cell r="L117">
            <v>404748</v>
          </cell>
          <cell r="M117">
            <v>406583</v>
          </cell>
          <cell r="N117">
            <v>408212</v>
          </cell>
          <cell r="O117">
            <v>409769</v>
          </cell>
          <cell r="P117">
            <v>411355</v>
          </cell>
          <cell r="Q117">
            <v>412993</v>
          </cell>
          <cell r="R117">
            <v>414650</v>
          </cell>
          <cell r="S117">
            <v>416310</v>
          </cell>
          <cell r="T117">
            <v>417938</v>
          </cell>
          <cell r="U117">
            <v>419510</v>
          </cell>
        </row>
        <row r="118">
          <cell r="A118" t="str">
            <v>Marshall Islands</v>
          </cell>
          <cell r="B118" t="str">
            <v>MSI</v>
          </cell>
          <cell r="C118" t="str">
            <v>WPR</v>
          </cell>
          <cell r="F118">
            <v>52142</v>
          </cell>
          <cell r="G118">
            <v>52736</v>
          </cell>
          <cell r="H118">
            <v>53523</v>
          </cell>
          <cell r="I118">
            <v>54480</v>
          </cell>
          <cell r="J118">
            <v>55559</v>
          </cell>
          <cell r="K118">
            <v>56720</v>
          </cell>
          <cell r="L118">
            <v>57962</v>
          </cell>
          <cell r="M118">
            <v>59286</v>
          </cell>
          <cell r="N118">
            <v>60660</v>
          </cell>
          <cell r="O118">
            <v>62041</v>
          </cell>
          <cell r="P118">
            <v>63398</v>
          </cell>
          <cell r="Q118">
            <v>64713</v>
          </cell>
          <cell r="R118">
            <v>65986</v>
          </cell>
          <cell r="S118">
            <v>67216</v>
          </cell>
          <cell r="T118">
            <v>68414</v>
          </cell>
          <cell r="U118">
            <v>69584</v>
          </cell>
        </row>
        <row r="119">
          <cell r="A119" t="str">
            <v>Mauritania</v>
          </cell>
          <cell r="B119" t="str">
            <v>MAU</v>
          </cell>
          <cell r="C119" t="str">
            <v>AFRlow</v>
          </cell>
          <cell r="D119" t="str">
            <v>Ouguiya</v>
          </cell>
          <cell r="E119">
            <v>262.64999999999998</v>
          </cell>
          <cell r="F119">
            <v>2566152</v>
          </cell>
          <cell r="G119">
            <v>2642299</v>
          </cell>
          <cell r="H119">
            <v>2720900</v>
          </cell>
          <cell r="I119">
            <v>2801196</v>
          </cell>
          <cell r="J119">
            <v>2882186</v>
          </cell>
          <cell r="K119">
            <v>2963105</v>
          </cell>
          <cell r="L119">
            <v>3043639</v>
          </cell>
          <cell r="M119">
            <v>3123818</v>
          </cell>
          <cell r="N119">
            <v>3203648</v>
          </cell>
          <cell r="O119">
            <v>3283266</v>
          </cell>
          <cell r="P119">
            <v>3362773</v>
          </cell>
          <cell r="Q119">
            <v>3442082</v>
          </cell>
          <cell r="R119">
            <v>3521094</v>
          </cell>
          <cell r="S119">
            <v>3599906</v>
          </cell>
          <cell r="T119">
            <v>3678667</v>
          </cell>
          <cell r="U119">
            <v>3757486</v>
          </cell>
        </row>
        <row r="120">
          <cell r="A120" t="str">
            <v>Mauritius</v>
          </cell>
          <cell r="B120" t="str">
            <v>MAS</v>
          </cell>
          <cell r="C120" t="str">
            <v>AFRlow</v>
          </cell>
          <cell r="D120" t="str">
            <v>Rupee</v>
          </cell>
          <cell r="E120">
            <v>28.33</v>
          </cell>
          <cell r="F120">
            <v>1185844</v>
          </cell>
          <cell r="G120">
            <v>1197365</v>
          </cell>
          <cell r="H120">
            <v>1208666</v>
          </cell>
          <cell r="I120">
            <v>1219740</v>
          </cell>
          <cell r="J120">
            <v>1230578</v>
          </cell>
          <cell r="K120">
            <v>1241173</v>
          </cell>
          <cell r="L120">
            <v>1251526</v>
          </cell>
          <cell r="M120">
            <v>1261643</v>
          </cell>
          <cell r="N120">
            <v>1271538</v>
          </cell>
          <cell r="O120">
            <v>1281225</v>
          </cell>
          <cell r="P120">
            <v>1290718</v>
          </cell>
          <cell r="Q120">
            <v>1300016</v>
          </cell>
          <cell r="R120">
            <v>1309113</v>
          </cell>
          <cell r="S120">
            <v>1318015</v>
          </cell>
          <cell r="T120">
            <v>1326723</v>
          </cell>
          <cell r="U120">
            <v>1335238</v>
          </cell>
        </row>
        <row r="121">
          <cell r="A121" t="str">
            <v>Mexico</v>
          </cell>
          <cell r="B121" t="str">
            <v>MEX</v>
          </cell>
          <cell r="C121" t="str">
            <v>LAC</v>
          </cell>
          <cell r="D121" t="str">
            <v>Peso</v>
          </cell>
          <cell r="E121">
            <v>11.170400000000001</v>
          </cell>
          <cell r="F121">
            <v>99734627</v>
          </cell>
          <cell r="G121">
            <v>100834335</v>
          </cell>
          <cell r="H121">
            <v>101734000</v>
          </cell>
          <cell r="I121">
            <v>102524964</v>
          </cell>
          <cell r="J121">
            <v>103337893</v>
          </cell>
          <cell r="K121">
            <v>104266392</v>
          </cell>
          <cell r="L121">
            <v>105342118</v>
          </cell>
          <cell r="M121">
            <v>106534878</v>
          </cell>
          <cell r="N121">
            <v>107801060</v>
          </cell>
          <cell r="O121">
            <v>109070839</v>
          </cell>
          <cell r="P121">
            <v>110292650</v>
          </cell>
          <cell r="Q121">
            <v>111456586</v>
          </cell>
          <cell r="R121">
            <v>112578490</v>
          </cell>
          <cell r="S121">
            <v>113662505</v>
          </cell>
          <cell r="T121">
            <v>114719096</v>
          </cell>
          <cell r="U121">
            <v>115755686</v>
          </cell>
        </row>
        <row r="122">
          <cell r="A122" t="str">
            <v>Micronesia</v>
          </cell>
          <cell r="B122" t="str">
            <v>MIC</v>
          </cell>
          <cell r="C122" t="str">
            <v>WPR</v>
          </cell>
          <cell r="F122">
            <v>107095</v>
          </cell>
          <cell r="G122">
            <v>107360</v>
          </cell>
          <cell r="H122">
            <v>107905</v>
          </cell>
          <cell r="I122">
            <v>108637</v>
          </cell>
          <cell r="J122">
            <v>109393</v>
          </cell>
          <cell r="K122">
            <v>110058</v>
          </cell>
          <cell r="L122">
            <v>110617</v>
          </cell>
          <cell r="M122">
            <v>111120</v>
          </cell>
          <cell r="N122">
            <v>111594</v>
          </cell>
          <cell r="O122">
            <v>112080</v>
          </cell>
          <cell r="P122">
            <v>112610</v>
          </cell>
          <cell r="Q122">
            <v>113187</v>
          </cell>
          <cell r="R122">
            <v>113802</v>
          </cell>
          <cell r="S122">
            <v>114458</v>
          </cell>
          <cell r="T122">
            <v>115160</v>
          </cell>
          <cell r="U122">
            <v>115908</v>
          </cell>
        </row>
        <row r="123">
          <cell r="A123" t="str">
            <v>Monaco</v>
          </cell>
          <cell r="B123" t="str">
            <v>MON</v>
          </cell>
          <cell r="C123" t="str">
            <v>EME</v>
          </cell>
          <cell r="F123">
            <v>32009</v>
          </cell>
          <cell r="G123">
            <v>32088</v>
          </cell>
          <cell r="H123">
            <v>32182</v>
          </cell>
          <cell r="I123">
            <v>32286</v>
          </cell>
          <cell r="J123">
            <v>32394</v>
          </cell>
          <cell r="K123">
            <v>32500</v>
          </cell>
          <cell r="L123">
            <v>32604</v>
          </cell>
          <cell r="M123">
            <v>32711</v>
          </cell>
          <cell r="N123">
            <v>32819</v>
          </cell>
          <cell r="O123">
            <v>32931</v>
          </cell>
          <cell r="P123">
            <v>33047</v>
          </cell>
          <cell r="Q123">
            <v>33167</v>
          </cell>
          <cell r="R123">
            <v>33290</v>
          </cell>
          <cell r="S123">
            <v>33419</v>
          </cell>
          <cell r="T123">
            <v>33552</v>
          </cell>
          <cell r="U123">
            <v>33692</v>
          </cell>
        </row>
        <row r="124">
          <cell r="A124" t="str">
            <v>Mongolia</v>
          </cell>
          <cell r="B124" t="str">
            <v>MOG</v>
          </cell>
          <cell r="C124" t="str">
            <v>WPR</v>
          </cell>
          <cell r="F124">
            <v>2469515</v>
          </cell>
          <cell r="G124">
            <v>2488213</v>
          </cell>
          <cell r="H124">
            <v>2509463</v>
          </cell>
          <cell r="I124">
            <v>2532653</v>
          </cell>
          <cell r="J124">
            <v>2556665</v>
          </cell>
          <cell r="K124">
            <v>2580704</v>
          </cell>
          <cell r="L124">
            <v>2604629</v>
          </cell>
          <cell r="M124">
            <v>2628837</v>
          </cell>
          <cell r="N124">
            <v>2653679</v>
          </cell>
          <cell r="O124">
            <v>2679663</v>
          </cell>
          <cell r="P124">
            <v>2707104</v>
          </cell>
          <cell r="Q124">
            <v>2736083</v>
          </cell>
          <cell r="R124">
            <v>2766298</v>
          </cell>
          <cell r="S124">
            <v>2797213</v>
          </cell>
          <cell r="T124">
            <v>2828087</v>
          </cell>
          <cell r="U124">
            <v>2858349</v>
          </cell>
        </row>
        <row r="125">
          <cell r="A125" t="str">
            <v>Montenegro</v>
          </cell>
          <cell r="B125" t="str">
            <v>MNE</v>
          </cell>
          <cell r="C125" t="str">
            <v>CEUR</v>
          </cell>
          <cell r="F125">
            <v>0</v>
          </cell>
          <cell r="G125">
            <v>0</v>
          </cell>
          <cell r="H125">
            <v>0</v>
          </cell>
          <cell r="I125">
            <v>0</v>
          </cell>
          <cell r="J125">
            <v>0</v>
          </cell>
          <cell r="K125">
            <v>607969</v>
          </cell>
          <cell r="L125">
            <v>601022</v>
          </cell>
          <cell r="M125">
            <v>597987</v>
          </cell>
          <cell r="N125">
            <v>597851</v>
          </cell>
          <cell r="O125">
            <v>598881</v>
          </cell>
          <cell r="P125">
            <v>599784</v>
          </cell>
          <cell r="Q125">
            <v>600404</v>
          </cell>
          <cell r="R125">
            <v>601175</v>
          </cell>
          <cell r="S125">
            <v>602061</v>
          </cell>
          <cell r="T125">
            <v>603116</v>
          </cell>
          <cell r="U125">
            <v>604366</v>
          </cell>
        </row>
        <row r="126">
          <cell r="A126" t="str">
            <v>Montserrat</v>
          </cell>
          <cell r="B126" t="str">
            <v>MOT</v>
          </cell>
          <cell r="C126" t="str">
            <v>LAC</v>
          </cell>
          <cell r="F126">
            <v>4958</v>
          </cell>
          <cell r="G126">
            <v>4636</v>
          </cell>
          <cell r="H126">
            <v>4688</v>
          </cell>
          <cell r="I126">
            <v>4990</v>
          </cell>
          <cell r="J126">
            <v>5351</v>
          </cell>
          <cell r="K126">
            <v>5628</v>
          </cell>
          <cell r="L126">
            <v>5789</v>
          </cell>
          <cell r="M126">
            <v>5875</v>
          </cell>
          <cell r="N126">
            <v>5905</v>
          </cell>
          <cell r="O126">
            <v>5924</v>
          </cell>
          <cell r="P126">
            <v>5962</v>
          </cell>
          <cell r="Q126">
            <v>6017</v>
          </cell>
          <cell r="R126">
            <v>6074</v>
          </cell>
          <cell r="S126">
            <v>6129</v>
          </cell>
          <cell r="T126">
            <v>6181</v>
          </cell>
          <cell r="U126">
            <v>6231</v>
          </cell>
        </row>
        <row r="127">
          <cell r="A127" t="str">
            <v>Morocco</v>
          </cell>
          <cell r="B127" t="str">
            <v>MOR</v>
          </cell>
          <cell r="C127" t="str">
            <v>EMR</v>
          </cell>
          <cell r="D127" t="str">
            <v>Dirham</v>
          </cell>
          <cell r="E127">
            <v>9.3030000000000008</v>
          </cell>
          <cell r="F127">
            <v>28827115</v>
          </cell>
          <cell r="G127">
            <v>29166464</v>
          </cell>
          <cell r="H127">
            <v>29495378</v>
          </cell>
          <cell r="I127">
            <v>29820777</v>
          </cell>
          <cell r="J127">
            <v>30151789</v>
          </cell>
          <cell r="K127">
            <v>30494991</v>
          </cell>
          <cell r="L127">
            <v>30852971</v>
          </cell>
          <cell r="M127">
            <v>31224136</v>
          </cell>
          <cell r="N127">
            <v>31605616</v>
          </cell>
          <cell r="O127">
            <v>31992592</v>
          </cell>
          <cell r="P127">
            <v>32381283</v>
          </cell>
          <cell r="Q127">
            <v>32770856</v>
          </cell>
          <cell r="R127">
            <v>33161739</v>
          </cell>
          <cell r="S127">
            <v>33552747.000000004</v>
          </cell>
          <cell r="T127">
            <v>33942706</v>
          </cell>
          <cell r="U127">
            <v>34330482</v>
          </cell>
        </row>
        <row r="128">
          <cell r="A128" t="str">
            <v>Mozambique</v>
          </cell>
          <cell r="B128" t="str">
            <v>MOZ</v>
          </cell>
          <cell r="C128" t="str">
            <v>AFRhigh</v>
          </cell>
          <cell r="D128" t="str">
            <v>Meticai</v>
          </cell>
          <cell r="E128">
            <v>23809</v>
          </cell>
          <cell r="F128">
            <v>18194196</v>
          </cell>
          <cell r="G128">
            <v>18660161</v>
          </cell>
          <cell r="H128">
            <v>19134153</v>
          </cell>
          <cell r="I128">
            <v>19609837</v>
          </cell>
          <cell r="J128">
            <v>20078143</v>
          </cell>
          <cell r="K128">
            <v>20532675</v>
          </cell>
          <cell r="L128">
            <v>20971449</v>
          </cell>
          <cell r="M128">
            <v>21396916</v>
          </cell>
          <cell r="N128">
            <v>21812551</v>
          </cell>
          <cell r="O128">
            <v>22223742</v>
          </cell>
          <cell r="P128">
            <v>22634617</v>
          </cell>
          <cell r="Q128">
            <v>23046062</v>
          </cell>
          <cell r="R128">
            <v>23457418</v>
          </cell>
          <cell r="S128">
            <v>23869488</v>
          </cell>
          <cell r="T128">
            <v>24282869</v>
          </cell>
          <cell r="U128">
            <v>24698027</v>
          </cell>
        </row>
        <row r="129">
          <cell r="A129" t="str">
            <v>Myanmar</v>
          </cell>
          <cell r="B129" t="str">
            <v>MMR</v>
          </cell>
          <cell r="C129" t="str">
            <v>SEAR</v>
          </cell>
          <cell r="D129" t="str">
            <v>Kyat</v>
          </cell>
          <cell r="E129">
            <v>5.9417</v>
          </cell>
          <cell r="F129">
            <v>45884007</v>
          </cell>
          <cell r="G129">
            <v>46343313</v>
          </cell>
          <cell r="H129">
            <v>46767998</v>
          </cell>
          <cell r="I129">
            <v>47169814</v>
          </cell>
          <cell r="J129">
            <v>47565497</v>
          </cell>
          <cell r="K129">
            <v>47967266</v>
          </cell>
          <cell r="L129">
            <v>48379206</v>
          </cell>
          <cell r="M129">
            <v>48798212</v>
          </cell>
          <cell r="N129">
            <v>49220560</v>
          </cell>
          <cell r="O129">
            <v>49639691</v>
          </cell>
          <cell r="P129">
            <v>50050767</v>
          </cell>
          <cell r="Q129">
            <v>50453315</v>
          </cell>
          <cell r="R129">
            <v>50849157</v>
          </cell>
          <cell r="S129">
            <v>51238318</v>
          </cell>
          <cell r="T129">
            <v>51621171</v>
          </cell>
          <cell r="U129">
            <v>51997923</v>
          </cell>
        </row>
        <row r="130">
          <cell r="A130" t="str">
            <v>Namibia</v>
          </cell>
          <cell r="B130" t="str">
            <v>NAM</v>
          </cell>
          <cell r="C130" t="str">
            <v>AFRhigh</v>
          </cell>
          <cell r="D130" t="str">
            <v>Namibia Dollar</v>
          </cell>
          <cell r="E130">
            <v>6.9523700000000002</v>
          </cell>
          <cell r="F130">
            <v>1879458</v>
          </cell>
          <cell r="G130">
            <v>1913018</v>
          </cell>
          <cell r="H130">
            <v>1942243</v>
          </cell>
          <cell r="I130">
            <v>1968514</v>
          </cell>
          <cell r="J130">
            <v>1993832</v>
          </cell>
          <cell r="K130">
            <v>2019677</v>
          </cell>
          <cell r="L130">
            <v>2046555</v>
          </cell>
          <cell r="M130">
            <v>2074148</v>
          </cell>
          <cell r="N130">
            <v>2102140</v>
          </cell>
          <cell r="O130">
            <v>2129905</v>
          </cell>
          <cell r="P130">
            <v>2157021</v>
          </cell>
          <cell r="Q130">
            <v>2183452</v>
          </cell>
          <cell r="R130">
            <v>2209496</v>
          </cell>
          <cell r="S130">
            <v>2235433</v>
          </cell>
          <cell r="T130">
            <v>2261648</v>
          </cell>
          <cell r="U130">
            <v>2288402</v>
          </cell>
        </row>
        <row r="131">
          <cell r="A131" t="str">
            <v>Nauru</v>
          </cell>
          <cell r="B131" t="str">
            <v>NRU</v>
          </cell>
          <cell r="C131" t="str">
            <v>WPR</v>
          </cell>
          <cell r="F131">
            <v>10038</v>
          </cell>
          <cell r="G131">
            <v>10043</v>
          </cell>
          <cell r="H131">
            <v>10055</v>
          </cell>
          <cell r="I131">
            <v>10072</v>
          </cell>
          <cell r="J131">
            <v>10092</v>
          </cell>
          <cell r="K131">
            <v>10111</v>
          </cell>
          <cell r="L131">
            <v>10130</v>
          </cell>
          <cell r="M131">
            <v>10152</v>
          </cell>
          <cell r="N131">
            <v>10180</v>
          </cell>
          <cell r="O131">
            <v>10214</v>
          </cell>
          <cell r="P131">
            <v>10258</v>
          </cell>
          <cell r="Q131">
            <v>10314</v>
          </cell>
          <cell r="R131">
            <v>10378</v>
          </cell>
          <cell r="S131">
            <v>10448</v>
          </cell>
          <cell r="T131">
            <v>10517</v>
          </cell>
          <cell r="U131">
            <v>10582</v>
          </cell>
        </row>
        <row r="132">
          <cell r="A132" t="str">
            <v>Nepal</v>
          </cell>
          <cell r="B132" t="str">
            <v>NEP</v>
          </cell>
          <cell r="C132" t="str">
            <v>SEAR</v>
          </cell>
          <cell r="D132" t="str">
            <v>Rupee</v>
          </cell>
          <cell r="E132">
            <v>74.349999999999994</v>
          </cell>
          <cell r="F132">
            <v>24419299</v>
          </cell>
          <cell r="G132">
            <v>24958461</v>
          </cell>
          <cell r="H132">
            <v>25491156</v>
          </cell>
          <cell r="I132">
            <v>26021103</v>
          </cell>
          <cell r="J132">
            <v>26553885</v>
          </cell>
          <cell r="K132">
            <v>27093656</v>
          </cell>
          <cell r="L132">
            <v>27641362</v>
          </cell>
          <cell r="M132">
            <v>28195993</v>
          </cell>
          <cell r="N132">
            <v>28757414</v>
          </cell>
          <cell r="O132">
            <v>29324968</v>
          </cell>
          <cell r="P132">
            <v>29898097</v>
          </cell>
          <cell r="Q132">
            <v>30476765</v>
          </cell>
          <cell r="R132">
            <v>31061053</v>
          </cell>
          <cell r="S132">
            <v>31650542</v>
          </cell>
          <cell r="T132">
            <v>32244676</v>
          </cell>
          <cell r="U132">
            <v>32842832.000000004</v>
          </cell>
        </row>
        <row r="133">
          <cell r="A133" t="str">
            <v>Netherlands</v>
          </cell>
          <cell r="B133" t="str">
            <v>NET</v>
          </cell>
          <cell r="C133" t="str">
            <v>EME</v>
          </cell>
          <cell r="F133">
            <v>15923887</v>
          </cell>
          <cell r="G133">
            <v>16014106</v>
          </cell>
          <cell r="H133">
            <v>16103123</v>
          </cell>
          <cell r="I133">
            <v>16187702</v>
          </cell>
          <cell r="J133">
            <v>16263531</v>
          </cell>
          <cell r="K133">
            <v>16327690</v>
          </cell>
          <cell r="L133">
            <v>16378997</v>
          </cell>
          <cell r="M133">
            <v>16418826</v>
          </cell>
          <cell r="N133">
            <v>16450022</v>
          </cell>
          <cell r="O133">
            <v>16476766</v>
          </cell>
          <cell r="P133">
            <v>16502272</v>
          </cell>
          <cell r="Q133">
            <v>16527599.999999998</v>
          </cell>
          <cell r="R133">
            <v>16552443</v>
          </cell>
          <cell r="S133">
            <v>16577046.999999998</v>
          </cell>
          <cell r="T133">
            <v>16601294.000000002</v>
          </cell>
          <cell r="U133">
            <v>16625232</v>
          </cell>
        </row>
        <row r="134">
          <cell r="A134" t="str">
            <v>Netherlands Antilles</v>
          </cell>
          <cell r="B134" t="str">
            <v>NEA</v>
          </cell>
          <cell r="C134" t="str">
            <v>LAC</v>
          </cell>
          <cell r="F134">
            <v>180665</v>
          </cell>
          <cell r="G134">
            <v>180410</v>
          </cell>
          <cell r="H134">
            <v>181028</v>
          </cell>
          <cell r="I134">
            <v>182385</v>
          </cell>
          <cell r="J134">
            <v>184240</v>
          </cell>
          <cell r="K134">
            <v>186392</v>
          </cell>
          <cell r="L134">
            <v>188838</v>
          </cell>
          <cell r="M134">
            <v>191572</v>
          </cell>
          <cell r="N134">
            <v>194381</v>
          </cell>
          <cell r="O134">
            <v>197001</v>
          </cell>
          <cell r="P134">
            <v>199241</v>
          </cell>
          <cell r="Q134">
            <v>201000</v>
          </cell>
          <cell r="R134">
            <v>202307</v>
          </cell>
          <cell r="S134">
            <v>203255</v>
          </cell>
          <cell r="T134">
            <v>204007</v>
          </cell>
          <cell r="U134">
            <v>204685</v>
          </cell>
        </row>
        <row r="135">
          <cell r="A135" t="str">
            <v>New Caledonia</v>
          </cell>
          <cell r="B135" t="str">
            <v>NEC</v>
          </cell>
          <cell r="C135" t="str">
            <v>WPR</v>
          </cell>
          <cell r="F135">
            <v>215017</v>
          </cell>
          <cell r="G135">
            <v>219049</v>
          </cell>
          <cell r="H135">
            <v>222930</v>
          </cell>
          <cell r="I135">
            <v>226706</v>
          </cell>
          <cell r="J135">
            <v>230441</v>
          </cell>
          <cell r="K135">
            <v>234185</v>
          </cell>
          <cell r="L135">
            <v>237950</v>
          </cell>
          <cell r="M135">
            <v>241724</v>
          </cell>
          <cell r="N135">
            <v>245487</v>
          </cell>
          <cell r="O135">
            <v>249213</v>
          </cell>
          <cell r="P135">
            <v>252881</v>
          </cell>
          <cell r="Q135">
            <v>256487</v>
          </cell>
          <cell r="R135">
            <v>260040</v>
          </cell>
          <cell r="S135">
            <v>263548</v>
          </cell>
          <cell r="T135">
            <v>267022</v>
          </cell>
          <cell r="U135">
            <v>270472</v>
          </cell>
        </row>
        <row r="136">
          <cell r="A136" t="str">
            <v>New Zealand</v>
          </cell>
          <cell r="B136" t="str">
            <v>NEZ</v>
          </cell>
          <cell r="C136" t="str">
            <v>EME</v>
          </cell>
          <cell r="F136">
            <v>3854038</v>
          </cell>
          <cell r="G136">
            <v>3898775</v>
          </cell>
          <cell r="H136">
            <v>3948132</v>
          </cell>
          <cell r="I136">
            <v>3999785</v>
          </cell>
          <cell r="J136">
            <v>4050276</v>
          </cell>
          <cell r="K136">
            <v>4097112</v>
          </cell>
          <cell r="L136">
            <v>4139585</v>
          </cell>
          <cell r="M136">
            <v>4178523</v>
          </cell>
          <cell r="N136">
            <v>4214814</v>
          </cell>
          <cell r="O136">
            <v>4249927</v>
          </cell>
          <cell r="P136">
            <v>4284947</v>
          </cell>
          <cell r="Q136">
            <v>4320048</v>
          </cell>
          <cell r="R136">
            <v>4354872</v>
          </cell>
          <cell r="S136">
            <v>4389357</v>
          </cell>
          <cell r="T136">
            <v>4423321</v>
          </cell>
          <cell r="U136">
            <v>4456641</v>
          </cell>
        </row>
        <row r="137">
          <cell r="A137" t="str">
            <v>Nicaragua</v>
          </cell>
          <cell r="B137" t="str">
            <v>NIC</v>
          </cell>
          <cell r="C137" t="str">
            <v>LAC</v>
          </cell>
          <cell r="D137" t="str">
            <v>Cordoba</v>
          </cell>
          <cell r="E137">
            <v>15.36</v>
          </cell>
          <cell r="F137">
            <v>5108209</v>
          </cell>
          <cell r="G137">
            <v>5184137</v>
          </cell>
          <cell r="H137">
            <v>5256034</v>
          </cell>
          <cell r="I137">
            <v>5325251</v>
          </cell>
          <cell r="J137">
            <v>5393597</v>
          </cell>
          <cell r="K137">
            <v>5462539</v>
          </cell>
          <cell r="L137">
            <v>5532364</v>
          </cell>
          <cell r="M137">
            <v>5603192</v>
          </cell>
          <cell r="N137">
            <v>5676067</v>
          </cell>
          <cell r="O137">
            <v>5752158</v>
          </cell>
          <cell r="P137">
            <v>5832180</v>
          </cell>
          <cell r="Q137">
            <v>5916692</v>
          </cell>
          <cell r="R137">
            <v>6005243</v>
          </cell>
          <cell r="S137">
            <v>6096229</v>
          </cell>
          <cell r="T137">
            <v>6187375</v>
          </cell>
          <cell r="U137">
            <v>6276960</v>
          </cell>
        </row>
        <row r="138">
          <cell r="A138" t="str">
            <v>Niger</v>
          </cell>
          <cell r="B138" t="str">
            <v>NIG</v>
          </cell>
          <cell r="C138" t="str">
            <v>AFRlow</v>
          </cell>
          <cell r="D138" t="str">
            <v>Franc</v>
          </cell>
          <cell r="E138">
            <v>561.04999999999995</v>
          </cell>
          <cell r="F138">
            <v>11123951</v>
          </cell>
          <cell r="G138">
            <v>11526789</v>
          </cell>
          <cell r="H138">
            <v>11940808</v>
          </cell>
          <cell r="I138">
            <v>12367244</v>
          </cell>
          <cell r="J138">
            <v>12807896</v>
          </cell>
          <cell r="K138">
            <v>13264190</v>
          </cell>
          <cell r="L138">
            <v>13736722</v>
          </cell>
          <cell r="M138">
            <v>14225523</v>
          </cell>
          <cell r="N138">
            <v>14730798</v>
          </cell>
          <cell r="O138">
            <v>15252608</v>
          </cell>
          <cell r="P138">
            <v>15791139</v>
          </cell>
          <cell r="Q138">
            <v>16346781</v>
          </cell>
          <cell r="R138">
            <v>16920154</v>
          </cell>
          <cell r="S138">
            <v>17511950</v>
          </cell>
          <cell r="T138">
            <v>18122955</v>
          </cell>
          <cell r="U138">
            <v>18753866</v>
          </cell>
        </row>
        <row r="139">
          <cell r="A139" t="str">
            <v>Nigeria</v>
          </cell>
          <cell r="B139" t="str">
            <v>NIE</v>
          </cell>
          <cell r="C139" t="str">
            <v>AFRhigh</v>
          </cell>
          <cell r="D139" t="str">
            <v>Naira</v>
          </cell>
          <cell r="E139">
            <v>127.605</v>
          </cell>
          <cell r="F139">
            <v>124772607</v>
          </cell>
          <cell r="G139">
            <v>128038623</v>
          </cell>
          <cell r="H139">
            <v>131336204.99999999</v>
          </cell>
          <cell r="I139">
            <v>134659379</v>
          </cell>
          <cell r="J139">
            <v>138001086</v>
          </cell>
          <cell r="K139">
            <v>141356083</v>
          </cell>
          <cell r="L139">
            <v>144719953</v>
          </cell>
          <cell r="M139">
            <v>148092542</v>
          </cell>
          <cell r="N139">
            <v>151478125</v>
          </cell>
          <cell r="O139">
            <v>154883598</v>
          </cell>
          <cell r="P139">
            <v>158313209</v>
          </cell>
          <cell r="Q139">
            <v>161766975</v>
          </cell>
          <cell r="R139">
            <v>165240454</v>
          </cell>
          <cell r="S139">
            <v>168727935</v>
          </cell>
          <cell r="T139">
            <v>172221726</v>
          </cell>
          <cell r="U139">
            <v>175715469</v>
          </cell>
        </row>
        <row r="140">
          <cell r="A140" t="str">
            <v>Niue</v>
          </cell>
          <cell r="B140" t="str">
            <v>NIU</v>
          </cell>
          <cell r="C140" t="str">
            <v>WPR</v>
          </cell>
          <cell r="F140">
            <v>1877</v>
          </cell>
          <cell r="G140">
            <v>1813</v>
          </cell>
          <cell r="H140">
            <v>1758</v>
          </cell>
          <cell r="I140">
            <v>1711</v>
          </cell>
          <cell r="J140">
            <v>1671</v>
          </cell>
          <cell r="K140">
            <v>1632</v>
          </cell>
          <cell r="L140">
            <v>1597</v>
          </cell>
          <cell r="M140">
            <v>1565</v>
          </cell>
          <cell r="N140">
            <v>1538</v>
          </cell>
          <cell r="O140">
            <v>1512</v>
          </cell>
          <cell r="P140">
            <v>1488</v>
          </cell>
          <cell r="Q140">
            <v>1465</v>
          </cell>
          <cell r="R140">
            <v>1443</v>
          </cell>
          <cell r="S140">
            <v>1422</v>
          </cell>
          <cell r="T140">
            <v>1404</v>
          </cell>
          <cell r="U140">
            <v>1387</v>
          </cell>
        </row>
        <row r="141">
          <cell r="A141" t="str">
            <v>Northern Mariana Is</v>
          </cell>
          <cell r="B141" t="str">
            <v>NMI</v>
          </cell>
          <cell r="C141" t="str">
            <v>WPR</v>
          </cell>
          <cell r="F141">
            <v>69002</v>
          </cell>
          <cell r="G141">
            <v>71301</v>
          </cell>
          <cell r="H141">
            <v>73647</v>
          </cell>
          <cell r="I141">
            <v>75977</v>
          </cell>
          <cell r="J141">
            <v>78202</v>
          </cell>
          <cell r="K141">
            <v>80258</v>
          </cell>
          <cell r="L141">
            <v>82128</v>
          </cell>
          <cell r="M141">
            <v>83837</v>
          </cell>
          <cell r="N141">
            <v>85425</v>
          </cell>
          <cell r="O141">
            <v>86953</v>
          </cell>
          <cell r="P141">
            <v>88466</v>
          </cell>
          <cell r="Q141">
            <v>89974</v>
          </cell>
          <cell r="R141">
            <v>91472</v>
          </cell>
          <cell r="S141">
            <v>92966</v>
          </cell>
          <cell r="T141">
            <v>94461</v>
          </cell>
          <cell r="U141">
            <v>95959</v>
          </cell>
        </row>
        <row r="142">
          <cell r="A142" t="str">
            <v>Norway</v>
          </cell>
          <cell r="B142" t="str">
            <v>NOR</v>
          </cell>
          <cell r="C142" t="str">
            <v>EME</v>
          </cell>
          <cell r="F142">
            <v>4488727</v>
          </cell>
          <cell r="G142">
            <v>4517562</v>
          </cell>
          <cell r="H142">
            <v>4547435</v>
          </cell>
          <cell r="I142">
            <v>4577948</v>
          </cell>
          <cell r="J142">
            <v>4608550</v>
          </cell>
          <cell r="K142">
            <v>4638836</v>
          </cell>
          <cell r="L142">
            <v>4668658</v>
          </cell>
          <cell r="M142">
            <v>4698097</v>
          </cell>
          <cell r="N142">
            <v>4727260</v>
          </cell>
          <cell r="O142">
            <v>4756341</v>
          </cell>
          <cell r="P142">
            <v>4785489</v>
          </cell>
          <cell r="Q142">
            <v>4814708</v>
          </cell>
          <cell r="R142">
            <v>4843936</v>
          </cell>
          <cell r="S142">
            <v>4873179</v>
          </cell>
          <cell r="T142">
            <v>4902439</v>
          </cell>
          <cell r="U142">
            <v>4931719</v>
          </cell>
        </row>
        <row r="143">
          <cell r="A143" t="str">
            <v>Oman</v>
          </cell>
          <cell r="B143" t="str">
            <v>OMA</v>
          </cell>
          <cell r="C143" t="str">
            <v>EMR</v>
          </cell>
          <cell r="D143" t="str">
            <v>Rial</v>
          </cell>
          <cell r="E143">
            <v>0.38450000000000001</v>
          </cell>
          <cell r="F143">
            <v>2402184</v>
          </cell>
          <cell r="G143">
            <v>2426700</v>
          </cell>
          <cell r="H143">
            <v>2444096</v>
          </cell>
          <cell r="I143">
            <v>2459224</v>
          </cell>
          <cell r="J143">
            <v>2478645</v>
          </cell>
          <cell r="K143">
            <v>2507042</v>
          </cell>
          <cell r="L143">
            <v>2546325</v>
          </cell>
          <cell r="M143">
            <v>2595132</v>
          </cell>
          <cell r="N143">
            <v>2650820</v>
          </cell>
          <cell r="O143">
            <v>2709199</v>
          </cell>
          <cell r="P143">
            <v>2767145</v>
          </cell>
          <cell r="Q143">
            <v>2823983</v>
          </cell>
          <cell r="R143">
            <v>2880547</v>
          </cell>
          <cell r="S143">
            <v>2936969</v>
          </cell>
          <cell r="T143">
            <v>2993748</v>
          </cell>
          <cell r="U143">
            <v>3051199</v>
          </cell>
        </row>
        <row r="144">
          <cell r="A144" t="str">
            <v>Pakistan</v>
          </cell>
          <cell r="B144" t="str">
            <v>PAK</v>
          </cell>
          <cell r="C144" t="str">
            <v>EMR</v>
          </cell>
          <cell r="D144" t="str">
            <v>Rupee</v>
          </cell>
          <cell r="E144">
            <v>57.628999999999998</v>
          </cell>
          <cell r="F144">
            <v>144360447</v>
          </cell>
          <cell r="G144">
            <v>147288856</v>
          </cell>
          <cell r="H144">
            <v>150036288</v>
          </cell>
          <cell r="I144">
            <v>152679670</v>
          </cell>
          <cell r="J144">
            <v>155332699</v>
          </cell>
          <cell r="K144">
            <v>158080591</v>
          </cell>
          <cell r="L144">
            <v>160943055</v>
          </cell>
          <cell r="M144">
            <v>163902407</v>
          </cell>
          <cell r="N144">
            <v>166961294</v>
          </cell>
          <cell r="O144">
            <v>170113075</v>
          </cell>
          <cell r="P144">
            <v>173350618</v>
          </cell>
          <cell r="Q144">
            <v>176678672</v>
          </cell>
          <cell r="R144">
            <v>180096935</v>
          </cell>
          <cell r="S144">
            <v>183584607</v>
          </cell>
          <cell r="T144">
            <v>187113142</v>
          </cell>
          <cell r="U144">
            <v>190658778</v>
          </cell>
        </row>
        <row r="145">
          <cell r="A145" t="str">
            <v>Palau</v>
          </cell>
          <cell r="B145" t="str">
            <v>BLA</v>
          </cell>
          <cell r="C145" t="str">
            <v>WPR</v>
          </cell>
          <cell r="F145">
            <v>19277</v>
          </cell>
          <cell r="G145">
            <v>19554</v>
          </cell>
          <cell r="H145">
            <v>19758</v>
          </cell>
          <cell r="I145">
            <v>19906</v>
          </cell>
          <cell r="J145">
            <v>20023</v>
          </cell>
          <cell r="K145">
            <v>20127</v>
          </cell>
          <cell r="L145">
            <v>20225</v>
          </cell>
          <cell r="M145">
            <v>20314</v>
          </cell>
          <cell r="N145">
            <v>20397</v>
          </cell>
          <cell r="O145">
            <v>20473</v>
          </cell>
          <cell r="P145">
            <v>20543</v>
          </cell>
          <cell r="Q145">
            <v>20607</v>
          </cell>
          <cell r="R145">
            <v>20673</v>
          </cell>
          <cell r="S145">
            <v>20748</v>
          </cell>
          <cell r="T145">
            <v>20849</v>
          </cell>
          <cell r="U145">
            <v>20981</v>
          </cell>
        </row>
        <row r="146">
          <cell r="A146" t="str">
            <v>Panama</v>
          </cell>
          <cell r="B146" t="str">
            <v>PAN</v>
          </cell>
          <cell r="C146" t="str">
            <v>LAC</v>
          </cell>
          <cell r="D146" t="str">
            <v>Balvoa</v>
          </cell>
          <cell r="E146">
            <v>1</v>
          </cell>
          <cell r="F146">
            <v>2949948</v>
          </cell>
          <cell r="G146">
            <v>3006435</v>
          </cell>
          <cell r="H146">
            <v>3062835</v>
          </cell>
          <cell r="I146">
            <v>3119132</v>
          </cell>
          <cell r="J146">
            <v>3175354</v>
          </cell>
          <cell r="K146">
            <v>3231502</v>
          </cell>
          <cell r="L146">
            <v>3287538</v>
          </cell>
          <cell r="M146">
            <v>3343374</v>
          </cell>
          <cell r="N146">
            <v>3398912</v>
          </cell>
          <cell r="O146">
            <v>3454032</v>
          </cell>
          <cell r="P146">
            <v>3508645</v>
          </cell>
          <cell r="Q146">
            <v>3562694</v>
          </cell>
          <cell r="R146">
            <v>3616175</v>
          </cell>
          <cell r="S146">
            <v>3669124</v>
          </cell>
          <cell r="T146">
            <v>3721605</v>
          </cell>
          <cell r="U146">
            <v>3773662</v>
          </cell>
        </row>
        <row r="147">
          <cell r="A147" t="str">
            <v>Papua New Guinea</v>
          </cell>
          <cell r="B147" t="str">
            <v>PNG</v>
          </cell>
          <cell r="C147" t="str">
            <v>WPR</v>
          </cell>
          <cell r="D147" t="str">
            <v>Kina</v>
          </cell>
          <cell r="E147">
            <v>3.3760972316002698</v>
          </cell>
          <cell r="F147">
            <v>5381219</v>
          </cell>
          <cell r="G147">
            <v>5520164</v>
          </cell>
          <cell r="H147">
            <v>5659380</v>
          </cell>
          <cell r="I147">
            <v>5797990</v>
          </cell>
          <cell r="J147">
            <v>5935005</v>
          </cell>
          <cell r="K147">
            <v>6069710</v>
          </cell>
          <cell r="L147">
            <v>6201692</v>
          </cell>
          <cell r="M147">
            <v>6331011</v>
          </cell>
          <cell r="N147">
            <v>6458059</v>
          </cell>
          <cell r="O147">
            <v>6583508</v>
          </cell>
          <cell r="P147">
            <v>6707910</v>
          </cell>
          <cell r="Q147">
            <v>6831335</v>
          </cell>
          <cell r="R147">
            <v>6953775</v>
          </cell>
          <cell r="S147">
            <v>7075631</v>
          </cell>
          <cell r="T147">
            <v>7197376</v>
          </cell>
          <cell r="U147">
            <v>7319382</v>
          </cell>
        </row>
        <row r="148">
          <cell r="A148" t="str">
            <v>Paraguay</v>
          </cell>
          <cell r="B148" t="str">
            <v>PAR</v>
          </cell>
          <cell r="C148" t="str">
            <v>LAC</v>
          </cell>
          <cell r="D148" t="str">
            <v>Guaranies</v>
          </cell>
          <cell r="E148">
            <v>6206.5</v>
          </cell>
          <cell r="F148">
            <v>5349340</v>
          </cell>
          <cell r="G148">
            <v>5459961</v>
          </cell>
          <cell r="H148">
            <v>5570807</v>
          </cell>
          <cell r="I148">
            <v>5681850</v>
          </cell>
          <cell r="J148">
            <v>5793045</v>
          </cell>
          <cell r="K148">
            <v>5904342</v>
          </cell>
          <cell r="L148">
            <v>6015701</v>
          </cell>
          <cell r="M148">
            <v>6127073</v>
          </cell>
          <cell r="N148">
            <v>6238376</v>
          </cell>
          <cell r="O148">
            <v>6349513</v>
          </cell>
          <cell r="P148">
            <v>6460384</v>
          </cell>
          <cell r="Q148">
            <v>6570919</v>
          </cell>
          <cell r="R148">
            <v>6681037</v>
          </cell>
          <cell r="S148">
            <v>6790614</v>
          </cell>
          <cell r="T148">
            <v>6899511</v>
          </cell>
          <cell r="U148">
            <v>7007601</v>
          </cell>
        </row>
        <row r="149">
          <cell r="A149" t="str">
            <v>Peru</v>
          </cell>
          <cell r="B149" t="str">
            <v>PER</v>
          </cell>
          <cell r="C149" t="str">
            <v>LAC</v>
          </cell>
          <cell r="D149" t="str">
            <v>Nuevo</v>
          </cell>
          <cell r="E149">
            <v>3.4780000000000002</v>
          </cell>
          <cell r="F149">
            <v>25662617</v>
          </cell>
          <cell r="G149">
            <v>25995324</v>
          </cell>
          <cell r="H149">
            <v>26321036</v>
          </cell>
          <cell r="I149">
            <v>26641453</v>
          </cell>
          <cell r="J149">
            <v>26958549</v>
          </cell>
          <cell r="K149">
            <v>27274266</v>
          </cell>
          <cell r="L149">
            <v>27588577</v>
          </cell>
          <cell r="M149">
            <v>27902760</v>
          </cell>
          <cell r="N149">
            <v>28221492</v>
          </cell>
          <cell r="O149">
            <v>28550628</v>
          </cell>
          <cell r="P149">
            <v>28893953</v>
          </cell>
          <cell r="Q149">
            <v>29253540</v>
          </cell>
          <cell r="R149">
            <v>29627259</v>
          </cell>
          <cell r="S149">
            <v>30009380</v>
          </cell>
          <cell r="T149">
            <v>30391689</v>
          </cell>
          <cell r="U149">
            <v>30767960</v>
          </cell>
        </row>
        <row r="150">
          <cell r="A150" t="str">
            <v>Philippines</v>
          </cell>
          <cell r="B150" t="str">
            <v>PHL</v>
          </cell>
          <cell r="C150" t="str">
            <v>WPR</v>
          </cell>
          <cell r="D150" t="str">
            <v>Peso</v>
          </cell>
          <cell r="E150">
            <v>54.951999999999998</v>
          </cell>
          <cell r="F150">
            <v>76213060</v>
          </cell>
          <cell r="G150">
            <v>77833803</v>
          </cell>
          <cell r="H150">
            <v>79489929</v>
          </cell>
          <cell r="I150">
            <v>81172343</v>
          </cell>
          <cell r="J150">
            <v>82867926</v>
          </cell>
          <cell r="K150">
            <v>84566163</v>
          </cell>
          <cell r="L150">
            <v>86263713</v>
          </cell>
          <cell r="M150">
            <v>87960115</v>
          </cell>
          <cell r="N150">
            <v>89651082</v>
          </cell>
          <cell r="O150">
            <v>91332466</v>
          </cell>
          <cell r="P150">
            <v>93000873</v>
          </cell>
          <cell r="Q150">
            <v>94653106</v>
          </cell>
          <cell r="R150">
            <v>96287502</v>
          </cell>
          <cell r="S150">
            <v>97904331</v>
          </cell>
          <cell r="T150">
            <v>99505002</v>
          </cell>
          <cell r="U150">
            <v>101090313</v>
          </cell>
        </row>
        <row r="151">
          <cell r="A151" t="str">
            <v>Poland</v>
          </cell>
          <cell r="B151" t="str">
            <v>POL</v>
          </cell>
          <cell r="C151" t="str">
            <v>CEUR</v>
          </cell>
          <cell r="F151">
            <v>38432879</v>
          </cell>
          <cell r="G151">
            <v>38384383</v>
          </cell>
          <cell r="H151">
            <v>38338414</v>
          </cell>
          <cell r="I151">
            <v>38293598</v>
          </cell>
          <cell r="J151">
            <v>38246727</v>
          </cell>
          <cell r="K151">
            <v>38195558</v>
          </cell>
          <cell r="L151">
            <v>38140107</v>
          </cell>
          <cell r="M151">
            <v>38081970</v>
          </cell>
          <cell r="N151">
            <v>38022140</v>
          </cell>
          <cell r="O151">
            <v>37961944</v>
          </cell>
          <cell r="P151">
            <v>37902109</v>
          </cell>
          <cell r="Q151">
            <v>37842885</v>
          </cell>
          <cell r="R151">
            <v>37783302</v>
          </cell>
          <cell r="S151">
            <v>37721323</v>
          </cell>
          <cell r="T151">
            <v>37654183</v>
          </cell>
          <cell r="U151">
            <v>37579698</v>
          </cell>
        </row>
        <row r="152">
          <cell r="A152" t="str">
            <v>Portugal</v>
          </cell>
          <cell r="B152" t="str">
            <v>POR</v>
          </cell>
          <cell r="C152" t="str">
            <v>EME</v>
          </cell>
          <cell r="F152">
            <v>10227339</v>
          </cell>
          <cell r="G152">
            <v>10284495</v>
          </cell>
          <cell r="H152">
            <v>10346365</v>
          </cell>
          <cell r="I152">
            <v>10410002</v>
          </cell>
          <cell r="J152">
            <v>10471586</v>
          </cell>
          <cell r="K152">
            <v>10528226</v>
          </cell>
          <cell r="L152">
            <v>10578659</v>
          </cell>
          <cell r="M152">
            <v>10623032</v>
          </cell>
          <cell r="N152">
            <v>10661632</v>
          </cell>
          <cell r="O152">
            <v>10695337</v>
          </cell>
          <cell r="P152">
            <v>10724806</v>
          </cell>
          <cell r="Q152">
            <v>10749885</v>
          </cell>
          <cell r="R152">
            <v>10770185</v>
          </cell>
          <cell r="S152">
            <v>10785929</v>
          </cell>
          <cell r="T152">
            <v>10797433</v>
          </cell>
          <cell r="U152">
            <v>10804990</v>
          </cell>
        </row>
        <row r="153">
          <cell r="A153" t="str">
            <v>Puerto Rico</v>
          </cell>
          <cell r="B153" t="str">
            <v>PUR</v>
          </cell>
          <cell r="C153" t="str">
            <v>LAC</v>
          </cell>
          <cell r="F153">
            <v>3834100</v>
          </cell>
          <cell r="G153">
            <v>3858070</v>
          </cell>
          <cell r="H153">
            <v>3880991</v>
          </cell>
          <cell r="I153">
            <v>3903169</v>
          </cell>
          <cell r="J153">
            <v>3925000</v>
          </cell>
          <cell r="K153">
            <v>3946779</v>
          </cell>
          <cell r="L153">
            <v>3968624</v>
          </cell>
          <cell r="M153">
            <v>3990505</v>
          </cell>
          <cell r="N153">
            <v>4012389</v>
          </cell>
          <cell r="O153">
            <v>4034180</v>
          </cell>
          <cell r="P153">
            <v>4055797</v>
          </cell>
          <cell r="Q153">
            <v>4077251</v>
          </cell>
          <cell r="R153">
            <v>4098548</v>
          </cell>
          <cell r="S153">
            <v>4119580</v>
          </cell>
          <cell r="T153">
            <v>4140210</v>
          </cell>
          <cell r="U153">
            <v>4160326</v>
          </cell>
        </row>
        <row r="154">
          <cell r="A154" t="str">
            <v>Qatar</v>
          </cell>
          <cell r="B154" t="str">
            <v>QAT</v>
          </cell>
          <cell r="C154" t="str">
            <v>EMR</v>
          </cell>
          <cell r="F154">
            <v>616719</v>
          </cell>
          <cell r="G154">
            <v>649239</v>
          </cell>
          <cell r="H154">
            <v>687014</v>
          </cell>
          <cell r="I154">
            <v>726840</v>
          </cell>
          <cell r="J154">
            <v>764283</v>
          </cell>
          <cell r="K154">
            <v>796186</v>
          </cell>
          <cell r="L154">
            <v>821313</v>
          </cell>
          <cell r="M154">
            <v>840634</v>
          </cell>
          <cell r="N154">
            <v>855896</v>
          </cell>
          <cell r="O154">
            <v>869859</v>
          </cell>
          <cell r="P154">
            <v>884559</v>
          </cell>
          <cell r="Q154">
            <v>900402</v>
          </cell>
          <cell r="R154">
            <v>916767</v>
          </cell>
          <cell r="S154">
            <v>933447</v>
          </cell>
          <cell r="T154">
            <v>949972</v>
          </cell>
          <cell r="U154">
            <v>965993</v>
          </cell>
        </row>
        <row r="155">
          <cell r="A155" t="str">
            <v>Republic of Korea</v>
          </cell>
          <cell r="B155" t="str">
            <v>KOR</v>
          </cell>
          <cell r="C155" t="str">
            <v>WPR</v>
          </cell>
          <cell r="F155">
            <v>46780246</v>
          </cell>
          <cell r="G155">
            <v>47047215</v>
          </cell>
          <cell r="H155">
            <v>47281557</v>
          </cell>
          <cell r="I155">
            <v>47490388</v>
          </cell>
          <cell r="J155">
            <v>47683978</v>
          </cell>
          <cell r="K155">
            <v>47869837</v>
          </cell>
          <cell r="L155">
            <v>48050441</v>
          </cell>
          <cell r="M155">
            <v>48223854</v>
          </cell>
          <cell r="N155">
            <v>48387832</v>
          </cell>
          <cell r="O155">
            <v>48538424</v>
          </cell>
          <cell r="P155">
            <v>48672785</v>
          </cell>
          <cell r="Q155">
            <v>48790751</v>
          </cell>
          <cell r="R155">
            <v>48893654</v>
          </cell>
          <cell r="S155">
            <v>48981850</v>
          </cell>
          <cell r="T155">
            <v>49055975</v>
          </cell>
          <cell r="U155">
            <v>49116551</v>
          </cell>
        </row>
        <row r="156">
          <cell r="A156" t="str">
            <v>Republic of Moldova</v>
          </cell>
          <cell r="B156" t="str">
            <v>MDA</v>
          </cell>
          <cell r="C156" t="str">
            <v>EEUR</v>
          </cell>
          <cell r="F156">
            <v>4145437</v>
          </cell>
          <cell r="G156">
            <v>4089202</v>
          </cell>
          <cell r="H156">
            <v>4032768</v>
          </cell>
          <cell r="I156">
            <v>3977596</v>
          </cell>
          <cell r="J156">
            <v>3925170</v>
          </cell>
          <cell r="K156">
            <v>3876661</v>
          </cell>
          <cell r="L156">
            <v>3832709</v>
          </cell>
          <cell r="M156">
            <v>3793603</v>
          </cell>
          <cell r="N156">
            <v>3759599</v>
          </cell>
          <cell r="O156">
            <v>3730744</v>
          </cell>
          <cell r="P156">
            <v>3706905</v>
          </cell>
          <cell r="Q156">
            <v>3688353</v>
          </cell>
          <cell r="R156">
            <v>3674722</v>
          </cell>
          <cell r="S156">
            <v>3664382</v>
          </cell>
          <cell r="T156">
            <v>3655139</v>
          </cell>
          <cell r="U156">
            <v>3645323</v>
          </cell>
        </row>
        <row r="157">
          <cell r="A157" t="str">
            <v>Romania</v>
          </cell>
          <cell r="B157" t="str">
            <v>ROM</v>
          </cell>
          <cell r="C157" t="str">
            <v>EEUR</v>
          </cell>
          <cell r="F157">
            <v>22137533</v>
          </cell>
          <cell r="G157">
            <v>22032079</v>
          </cell>
          <cell r="H157">
            <v>21928149</v>
          </cell>
          <cell r="I157">
            <v>21825979</v>
          </cell>
          <cell r="J157">
            <v>21725784</v>
          </cell>
          <cell r="K157">
            <v>21627557</v>
          </cell>
          <cell r="L157">
            <v>21531732</v>
          </cell>
          <cell r="M157">
            <v>21437888</v>
          </cell>
          <cell r="N157">
            <v>21344129</v>
          </cell>
          <cell r="O157">
            <v>21247908</v>
          </cell>
          <cell r="P157">
            <v>21147492</v>
          </cell>
          <cell r="Q157">
            <v>21041841</v>
          </cell>
          <cell r="R157">
            <v>20931669</v>
          </cell>
          <cell r="S157">
            <v>20819127</v>
          </cell>
          <cell r="T157">
            <v>20707349</v>
          </cell>
          <cell r="U157">
            <v>20598493</v>
          </cell>
        </row>
        <row r="158">
          <cell r="A158" t="str">
            <v>Russian Federation</v>
          </cell>
          <cell r="B158" t="str">
            <v>RUS</v>
          </cell>
          <cell r="C158" t="str">
            <v>EEUR</v>
          </cell>
          <cell r="F158">
            <v>147423037</v>
          </cell>
          <cell r="G158">
            <v>146828433</v>
          </cell>
          <cell r="H158">
            <v>146159193</v>
          </cell>
          <cell r="I158">
            <v>145438349</v>
          </cell>
          <cell r="J158">
            <v>144695560</v>
          </cell>
          <cell r="K158">
            <v>143953092</v>
          </cell>
          <cell r="L158">
            <v>143221294</v>
          </cell>
          <cell r="M158">
            <v>142498534</v>
          </cell>
          <cell r="N158">
            <v>141780033</v>
          </cell>
          <cell r="O158">
            <v>141055586</v>
          </cell>
          <cell r="P158">
            <v>140317802</v>
          </cell>
          <cell r="Q158">
            <v>139567696</v>
          </cell>
          <cell r="R158">
            <v>138809525</v>
          </cell>
          <cell r="S158">
            <v>138042565</v>
          </cell>
          <cell r="T158">
            <v>137265914</v>
          </cell>
          <cell r="U158">
            <v>136479051</v>
          </cell>
        </row>
        <row r="159">
          <cell r="A159" t="str">
            <v>Rwanda</v>
          </cell>
          <cell r="B159" t="str">
            <v>RWA</v>
          </cell>
          <cell r="C159" t="str">
            <v>AFRhigh</v>
          </cell>
          <cell r="D159" t="str">
            <v>Franc</v>
          </cell>
          <cell r="E159">
            <v>558.47</v>
          </cell>
          <cell r="F159">
            <v>8176170</v>
          </cell>
          <cell r="G159">
            <v>8530446</v>
          </cell>
          <cell r="H159">
            <v>8761520</v>
          </cell>
          <cell r="I159">
            <v>8911990</v>
          </cell>
          <cell r="J159">
            <v>9052268</v>
          </cell>
          <cell r="K159">
            <v>9233793</v>
          </cell>
          <cell r="L159">
            <v>9464241</v>
          </cell>
          <cell r="M159">
            <v>9724575</v>
          </cell>
          <cell r="N159">
            <v>10008622</v>
          </cell>
          <cell r="O159">
            <v>10303909</v>
          </cell>
          <cell r="P159">
            <v>10601183</v>
          </cell>
          <cell r="Q159">
            <v>10900561</v>
          </cell>
          <cell r="R159">
            <v>11206097</v>
          </cell>
          <cell r="S159">
            <v>11516587</v>
          </cell>
          <cell r="T159">
            <v>11830776</v>
          </cell>
          <cell r="U159">
            <v>12147457</v>
          </cell>
        </row>
        <row r="160">
          <cell r="A160" t="str">
            <v>Saint Kitts &amp; Nevis</v>
          </cell>
          <cell r="B160" t="str">
            <v>SCN</v>
          </cell>
          <cell r="C160" t="str">
            <v>LAC</v>
          </cell>
          <cell r="F160">
            <v>46053</v>
          </cell>
          <cell r="G160">
            <v>46664</v>
          </cell>
          <cell r="H160">
            <v>47276</v>
          </cell>
          <cell r="I160">
            <v>47889</v>
          </cell>
          <cell r="J160">
            <v>48509</v>
          </cell>
          <cell r="K160">
            <v>49138</v>
          </cell>
          <cell r="L160">
            <v>49774</v>
          </cell>
          <cell r="M160">
            <v>50417</v>
          </cell>
          <cell r="N160">
            <v>51065</v>
          </cell>
          <cell r="O160">
            <v>51715</v>
          </cell>
          <cell r="P160">
            <v>52368</v>
          </cell>
          <cell r="Q160">
            <v>53022</v>
          </cell>
          <cell r="R160">
            <v>53676</v>
          </cell>
          <cell r="S160">
            <v>54327</v>
          </cell>
          <cell r="T160">
            <v>54975</v>
          </cell>
          <cell r="U160">
            <v>55616</v>
          </cell>
        </row>
        <row r="161">
          <cell r="A161" t="str">
            <v>Saint Lucia</v>
          </cell>
          <cell r="B161" t="str">
            <v>SAL</v>
          </cell>
          <cell r="C161" t="str">
            <v>LAC</v>
          </cell>
          <cell r="F161">
            <v>152699</v>
          </cell>
          <cell r="G161">
            <v>154232</v>
          </cell>
          <cell r="H161">
            <v>155882</v>
          </cell>
          <cell r="I161">
            <v>157627</v>
          </cell>
          <cell r="J161">
            <v>159423</v>
          </cell>
          <cell r="K161">
            <v>161240</v>
          </cell>
          <cell r="L161">
            <v>163071</v>
          </cell>
          <cell r="M161">
            <v>164923</v>
          </cell>
          <cell r="N161">
            <v>166789</v>
          </cell>
          <cell r="O161">
            <v>168660</v>
          </cell>
          <cell r="P161">
            <v>170532</v>
          </cell>
          <cell r="Q161">
            <v>172398</v>
          </cell>
          <cell r="R161">
            <v>174251</v>
          </cell>
          <cell r="S161">
            <v>176086</v>
          </cell>
          <cell r="T161">
            <v>177895</v>
          </cell>
          <cell r="U161">
            <v>179675</v>
          </cell>
        </row>
        <row r="162">
          <cell r="A162" t="str">
            <v>Samoa</v>
          </cell>
          <cell r="B162" t="str">
            <v>SMA</v>
          </cell>
          <cell r="C162" t="str">
            <v>WPR</v>
          </cell>
          <cell r="F162">
            <v>177475</v>
          </cell>
          <cell r="G162">
            <v>178922</v>
          </cell>
          <cell r="H162">
            <v>180169</v>
          </cell>
          <cell r="I162">
            <v>181315</v>
          </cell>
          <cell r="J162">
            <v>182507</v>
          </cell>
          <cell r="K162">
            <v>183845</v>
          </cell>
          <cell r="L162">
            <v>185366</v>
          </cell>
          <cell r="M162">
            <v>187026</v>
          </cell>
          <cell r="N162">
            <v>188752</v>
          </cell>
          <cell r="O162">
            <v>190433</v>
          </cell>
          <cell r="P162">
            <v>191992</v>
          </cell>
          <cell r="Q162">
            <v>193407</v>
          </cell>
          <cell r="R162">
            <v>194708</v>
          </cell>
          <cell r="S162">
            <v>195923</v>
          </cell>
          <cell r="T162">
            <v>197102</v>
          </cell>
          <cell r="U162">
            <v>198280</v>
          </cell>
        </row>
        <row r="163">
          <cell r="A163" t="str">
            <v>San Marino</v>
          </cell>
          <cell r="B163" t="str">
            <v>SMR</v>
          </cell>
          <cell r="C163" t="str">
            <v>EME</v>
          </cell>
          <cell r="F163">
            <v>26947</v>
          </cell>
          <cell r="G163">
            <v>27509</v>
          </cell>
          <cell r="H163">
            <v>28200</v>
          </cell>
          <cell r="I163">
            <v>28946</v>
          </cell>
          <cell r="J163">
            <v>29643</v>
          </cell>
          <cell r="K163">
            <v>30214</v>
          </cell>
          <cell r="L163">
            <v>30635</v>
          </cell>
          <cell r="M163">
            <v>30926</v>
          </cell>
          <cell r="N163">
            <v>31126</v>
          </cell>
          <cell r="O163">
            <v>31289</v>
          </cell>
          <cell r="P163">
            <v>31459</v>
          </cell>
          <cell r="Q163">
            <v>31643</v>
          </cell>
          <cell r="R163">
            <v>31830</v>
          </cell>
          <cell r="S163">
            <v>32011</v>
          </cell>
          <cell r="T163">
            <v>32176</v>
          </cell>
          <cell r="U163">
            <v>32317</v>
          </cell>
        </row>
        <row r="164">
          <cell r="A164" t="str">
            <v>Sao Tome &amp; Principe</v>
          </cell>
          <cell r="B164" t="str">
            <v>STP</v>
          </cell>
          <cell r="C164" t="str">
            <v>AFRlow</v>
          </cell>
          <cell r="F164">
            <v>140131</v>
          </cell>
          <cell r="G164">
            <v>142610</v>
          </cell>
          <cell r="H164">
            <v>145106</v>
          </cell>
          <cell r="I164">
            <v>147611</v>
          </cell>
          <cell r="J164">
            <v>150118</v>
          </cell>
          <cell r="K164">
            <v>152622</v>
          </cell>
          <cell r="L164">
            <v>155126</v>
          </cell>
          <cell r="M164">
            <v>157637</v>
          </cell>
          <cell r="N164">
            <v>160174</v>
          </cell>
          <cell r="O164">
            <v>162755</v>
          </cell>
          <cell r="P164">
            <v>165397</v>
          </cell>
          <cell r="Q164">
            <v>168100</v>
          </cell>
          <cell r="R164">
            <v>170871</v>
          </cell>
          <cell r="S164">
            <v>173736</v>
          </cell>
          <cell r="T164">
            <v>176733</v>
          </cell>
          <cell r="U164">
            <v>179883</v>
          </cell>
        </row>
        <row r="165">
          <cell r="A165" t="str">
            <v>Saudi Arabia</v>
          </cell>
          <cell r="B165" t="str">
            <v>SAA</v>
          </cell>
          <cell r="C165" t="str">
            <v>EMR</v>
          </cell>
          <cell r="D165" t="str">
            <v>Riyal</v>
          </cell>
          <cell r="E165">
            <v>3.75</v>
          </cell>
          <cell r="F165">
            <v>20806589</v>
          </cell>
          <cell r="G165">
            <v>21357325</v>
          </cell>
          <cell r="H165">
            <v>21916446</v>
          </cell>
          <cell r="I165">
            <v>22480812</v>
          </cell>
          <cell r="J165">
            <v>23046972</v>
          </cell>
          <cell r="K165">
            <v>23612360</v>
          </cell>
          <cell r="L165">
            <v>24174940</v>
          </cell>
          <cell r="M165">
            <v>24734532</v>
          </cell>
          <cell r="N165">
            <v>25292816</v>
          </cell>
          <cell r="O165">
            <v>25852659</v>
          </cell>
          <cell r="P165">
            <v>26416039</v>
          </cell>
          <cell r="Q165">
            <v>26982959</v>
          </cell>
          <cell r="R165">
            <v>27552175</v>
          </cell>
          <cell r="S165">
            <v>28122923</v>
          </cell>
          <cell r="T165">
            <v>28694096</v>
          </cell>
          <cell r="U165">
            <v>29264705</v>
          </cell>
        </row>
        <row r="166">
          <cell r="A166" t="str">
            <v>Senegal</v>
          </cell>
          <cell r="B166" t="str">
            <v>SEN</v>
          </cell>
          <cell r="C166" t="str">
            <v>AFRlow</v>
          </cell>
          <cell r="D166" t="str">
            <v>Franc</v>
          </cell>
          <cell r="E166">
            <v>561.04999999999995</v>
          </cell>
          <cell r="F166">
            <v>10333507</v>
          </cell>
          <cell r="G166">
            <v>10608866</v>
          </cell>
          <cell r="H166">
            <v>10890900</v>
          </cell>
          <cell r="I166">
            <v>11179033</v>
          </cell>
          <cell r="J166">
            <v>11472432</v>
          </cell>
          <cell r="K166">
            <v>11770340</v>
          </cell>
          <cell r="L166">
            <v>12072479</v>
          </cell>
          <cell r="M166">
            <v>12378532</v>
          </cell>
          <cell r="N166">
            <v>12687621</v>
          </cell>
          <cell r="O166">
            <v>12998713</v>
          </cell>
          <cell r="P166">
            <v>13310968</v>
          </cell>
          <cell r="Q166">
            <v>13623913</v>
          </cell>
          <cell r="R166">
            <v>13937329</v>
          </cell>
          <cell r="S166">
            <v>14250968</v>
          </cell>
          <cell r="T166">
            <v>14564684</v>
          </cell>
          <cell r="U166">
            <v>14878348</v>
          </cell>
        </row>
        <row r="167">
          <cell r="A167" t="str">
            <v>Serbia</v>
          </cell>
          <cell r="B167" t="str">
            <v>SRB</v>
          </cell>
          <cell r="C167" t="str">
            <v>CEUR</v>
          </cell>
          <cell r="F167">
            <v>0</v>
          </cell>
          <cell r="G167">
            <v>0</v>
          </cell>
          <cell r="H167">
            <v>0</v>
          </cell>
          <cell r="I167">
            <v>0</v>
          </cell>
          <cell r="J167">
            <v>0</v>
          </cell>
          <cell r="K167">
            <v>9863026</v>
          </cell>
          <cell r="L167">
            <v>9850720</v>
          </cell>
          <cell r="M167">
            <v>9858426</v>
          </cell>
          <cell r="N167">
            <v>9879595</v>
          </cell>
          <cell r="O167">
            <v>9904220</v>
          </cell>
          <cell r="P167">
            <v>9924874</v>
          </cell>
          <cell r="Q167">
            <v>9939724</v>
          </cell>
          <cell r="R167">
            <v>9950650</v>
          </cell>
          <cell r="S167">
            <v>9958317</v>
          </cell>
          <cell r="T167">
            <v>9964445</v>
          </cell>
          <cell r="U167">
            <v>9970257</v>
          </cell>
        </row>
        <row r="168">
          <cell r="A168" t="str">
            <v>Serbia &amp; Montenegro</v>
          </cell>
          <cell r="B168" t="str">
            <v>YUG</v>
          </cell>
          <cell r="C168" t="str">
            <v>CEUR</v>
          </cell>
          <cell r="F168">
            <v>10800801</v>
          </cell>
          <cell r="G168">
            <v>10738420</v>
          </cell>
          <cell r="H168">
            <v>10662402</v>
          </cell>
          <cell r="I168">
            <v>10583838</v>
          </cell>
          <cell r="J168">
            <v>10516742</v>
          </cell>
          <cell r="K168">
            <v>0</v>
          </cell>
          <cell r="L168">
            <v>0</v>
          </cell>
          <cell r="M168">
            <v>0</v>
          </cell>
          <cell r="N168">
            <v>0</v>
          </cell>
          <cell r="O168">
            <v>0</v>
          </cell>
          <cell r="P168">
            <v>0</v>
          </cell>
          <cell r="Q168">
            <v>0</v>
          </cell>
          <cell r="R168">
            <v>0</v>
          </cell>
          <cell r="S168">
            <v>0</v>
          </cell>
          <cell r="T168">
            <v>0</v>
          </cell>
          <cell r="U168">
            <v>0</v>
          </cell>
        </row>
        <row r="169">
          <cell r="A169" t="str">
            <v>Seychelles</v>
          </cell>
          <cell r="B169" t="str">
            <v>SEY</v>
          </cell>
          <cell r="C169" t="str">
            <v>AFRlow</v>
          </cell>
          <cell r="F169">
            <v>81129</v>
          </cell>
          <cell r="G169">
            <v>82158</v>
          </cell>
          <cell r="H169">
            <v>83130</v>
          </cell>
          <cell r="I169">
            <v>84027</v>
          </cell>
          <cell r="J169">
            <v>84832</v>
          </cell>
          <cell r="K169">
            <v>85532</v>
          </cell>
          <cell r="L169">
            <v>86122</v>
          </cell>
          <cell r="M169">
            <v>86606</v>
          </cell>
          <cell r="N169">
            <v>87005</v>
          </cell>
          <cell r="O169">
            <v>87342</v>
          </cell>
          <cell r="P169">
            <v>87645</v>
          </cell>
          <cell r="Q169">
            <v>87913</v>
          </cell>
          <cell r="R169">
            <v>88151</v>
          </cell>
          <cell r="S169">
            <v>88396</v>
          </cell>
          <cell r="T169">
            <v>88691</v>
          </cell>
          <cell r="U169">
            <v>89065</v>
          </cell>
        </row>
        <row r="170">
          <cell r="A170" t="str">
            <v>Sierra Leone</v>
          </cell>
          <cell r="B170" t="str">
            <v>SIL</v>
          </cell>
          <cell r="C170" t="str">
            <v>AFRlow</v>
          </cell>
          <cell r="D170" t="str">
            <v>Leone</v>
          </cell>
          <cell r="E170">
            <v>2467.8200000000002</v>
          </cell>
          <cell r="F170">
            <v>4521449</v>
          </cell>
          <cell r="G170">
            <v>4703450</v>
          </cell>
          <cell r="H170">
            <v>4924199</v>
          </cell>
          <cell r="I170">
            <v>5162802</v>
          </cell>
          <cell r="J170">
            <v>5390368</v>
          </cell>
          <cell r="K170">
            <v>5586403</v>
          </cell>
          <cell r="L170">
            <v>5742694</v>
          </cell>
          <cell r="M170">
            <v>5865872</v>
          </cell>
          <cell r="N170">
            <v>5968523</v>
          </cell>
          <cell r="O170">
            <v>6070210</v>
          </cell>
          <cell r="P170">
            <v>6185248</v>
          </cell>
          <cell r="Q170">
            <v>6316911</v>
          </cell>
          <cell r="R170">
            <v>6460662</v>
          </cell>
          <cell r="S170">
            <v>6613782</v>
          </cell>
          <cell r="T170">
            <v>6771175</v>
          </cell>
          <cell r="U170">
            <v>6929145</v>
          </cell>
        </row>
        <row r="171">
          <cell r="A171" t="str">
            <v>Singapore</v>
          </cell>
          <cell r="B171" t="str">
            <v>SIN</v>
          </cell>
          <cell r="C171" t="str">
            <v>EME</v>
          </cell>
          <cell r="F171">
            <v>4017426</v>
          </cell>
          <cell r="G171">
            <v>4097137</v>
          </cell>
          <cell r="H171">
            <v>4163766</v>
          </cell>
          <cell r="I171">
            <v>4220915</v>
          </cell>
          <cell r="J171">
            <v>4274120</v>
          </cell>
          <cell r="K171">
            <v>4327468</v>
          </cell>
          <cell r="L171">
            <v>4381905</v>
          </cell>
          <cell r="M171">
            <v>4436283</v>
          </cell>
          <cell r="N171">
            <v>4490117</v>
          </cell>
          <cell r="O171">
            <v>4542324</v>
          </cell>
          <cell r="P171">
            <v>4592106</v>
          </cell>
          <cell r="Q171">
            <v>4639694</v>
          </cell>
          <cell r="R171">
            <v>4685537</v>
          </cell>
          <cell r="S171">
            <v>4729268</v>
          </cell>
          <cell r="T171">
            <v>4770393</v>
          </cell>
          <cell r="U171">
            <v>4808620</v>
          </cell>
        </row>
        <row r="172">
          <cell r="A172" t="str">
            <v>Slovakia</v>
          </cell>
          <cell r="B172" t="str">
            <v>SVK</v>
          </cell>
          <cell r="C172" t="str">
            <v>CEUR</v>
          </cell>
          <cell r="F172">
            <v>5387539</v>
          </cell>
          <cell r="G172">
            <v>5387850</v>
          </cell>
          <cell r="H172">
            <v>5387515</v>
          </cell>
          <cell r="I172">
            <v>5386981</v>
          </cell>
          <cell r="J172">
            <v>5386702</v>
          </cell>
          <cell r="K172">
            <v>5386995</v>
          </cell>
          <cell r="L172">
            <v>5388119</v>
          </cell>
          <cell r="M172">
            <v>5390035</v>
          </cell>
          <cell r="N172">
            <v>5392350</v>
          </cell>
          <cell r="O172">
            <v>5394464</v>
          </cell>
          <cell r="P172">
            <v>5395917</v>
          </cell>
          <cell r="Q172">
            <v>5396575</v>
          </cell>
          <cell r="R172">
            <v>5396506</v>
          </cell>
          <cell r="S172">
            <v>5395680</v>
          </cell>
          <cell r="T172">
            <v>5394112</v>
          </cell>
          <cell r="U172">
            <v>5391796</v>
          </cell>
        </row>
        <row r="173">
          <cell r="A173" t="str">
            <v>Slovenia</v>
          </cell>
          <cell r="B173" t="str">
            <v>SVN</v>
          </cell>
          <cell r="C173" t="str">
            <v>CEUR</v>
          </cell>
          <cell r="F173">
            <v>1983628</v>
          </cell>
          <cell r="G173">
            <v>1987176</v>
          </cell>
          <cell r="H173">
            <v>1990791</v>
          </cell>
          <cell r="I173">
            <v>1994247</v>
          </cell>
          <cell r="J173">
            <v>1997206</v>
          </cell>
          <cell r="K173">
            <v>1999425</v>
          </cell>
          <cell r="L173">
            <v>2000831</v>
          </cell>
          <cell r="M173">
            <v>2001510</v>
          </cell>
          <cell r="N173">
            <v>2001578</v>
          </cell>
          <cell r="O173">
            <v>2001217</v>
          </cell>
          <cell r="P173">
            <v>2000554</v>
          </cell>
          <cell r="Q173">
            <v>1999620</v>
          </cell>
          <cell r="R173">
            <v>1998364</v>
          </cell>
          <cell r="S173">
            <v>1996744</v>
          </cell>
          <cell r="T173">
            <v>1994689</v>
          </cell>
          <cell r="U173">
            <v>1992149</v>
          </cell>
        </row>
        <row r="174">
          <cell r="A174" t="str">
            <v>Solomon Islands</v>
          </cell>
          <cell r="B174" t="str">
            <v>SOL</v>
          </cell>
          <cell r="C174" t="str">
            <v>WPR</v>
          </cell>
          <cell r="D174" t="str">
            <v>Solomon Island Dollar</v>
          </cell>
          <cell r="E174">
            <v>7.5187999999999997</v>
          </cell>
          <cell r="F174">
            <v>415426</v>
          </cell>
          <cell r="G174">
            <v>426623</v>
          </cell>
          <cell r="H174">
            <v>437943</v>
          </cell>
          <cell r="I174">
            <v>449363</v>
          </cell>
          <cell r="J174">
            <v>460862</v>
          </cell>
          <cell r="K174">
            <v>472419</v>
          </cell>
          <cell r="L174">
            <v>484022</v>
          </cell>
          <cell r="M174">
            <v>495660</v>
          </cell>
          <cell r="N174">
            <v>507321</v>
          </cell>
          <cell r="O174">
            <v>518994</v>
          </cell>
          <cell r="P174">
            <v>530668</v>
          </cell>
          <cell r="Q174">
            <v>542334</v>
          </cell>
          <cell r="R174">
            <v>553989</v>
          </cell>
          <cell r="S174">
            <v>565634</v>
          </cell>
          <cell r="T174">
            <v>577277</v>
          </cell>
          <cell r="U174">
            <v>588923</v>
          </cell>
        </row>
        <row r="175">
          <cell r="A175" t="str">
            <v>Somalia</v>
          </cell>
          <cell r="B175" t="str">
            <v>SOM</v>
          </cell>
          <cell r="C175" t="str">
            <v>EMR</v>
          </cell>
          <cell r="D175" t="str">
            <v>Shilling</v>
          </cell>
          <cell r="E175">
            <v>8500</v>
          </cell>
          <cell r="F175">
            <v>7055075</v>
          </cell>
          <cell r="G175">
            <v>7272271</v>
          </cell>
          <cell r="H175">
            <v>7494075</v>
          </cell>
          <cell r="I175">
            <v>7720566</v>
          </cell>
          <cell r="J175">
            <v>7954159</v>
          </cell>
          <cell r="K175">
            <v>8196395</v>
          </cell>
          <cell r="L175">
            <v>8445397</v>
          </cell>
          <cell r="M175">
            <v>8698534</v>
          </cell>
          <cell r="N175">
            <v>8956006</v>
          </cell>
          <cell r="O175">
            <v>9218539</v>
          </cell>
          <cell r="P175">
            <v>9486479</v>
          </cell>
          <cell r="Q175">
            <v>9759568</v>
          </cell>
          <cell r="R175">
            <v>10036827</v>
          </cell>
          <cell r="S175">
            <v>10317071</v>
          </cell>
          <cell r="T175">
            <v>10598823</v>
          </cell>
          <cell r="U175">
            <v>10880958</v>
          </cell>
        </row>
        <row r="176">
          <cell r="A176" t="str">
            <v>South Africa</v>
          </cell>
          <cell r="B176" t="str">
            <v>SOA</v>
          </cell>
          <cell r="C176" t="str">
            <v>AFRhigh</v>
          </cell>
          <cell r="D176" t="str">
            <v>Rand</v>
          </cell>
          <cell r="E176">
            <v>6.9523700000000002</v>
          </cell>
          <cell r="F176">
            <v>45398280</v>
          </cell>
          <cell r="G176">
            <v>46017150</v>
          </cell>
          <cell r="H176">
            <v>46580809</v>
          </cell>
          <cell r="I176">
            <v>47088767</v>
          </cell>
          <cell r="J176">
            <v>47540927</v>
          </cell>
          <cell r="K176">
            <v>47938663</v>
          </cell>
          <cell r="L176">
            <v>48282459</v>
          </cell>
          <cell r="M176">
            <v>48576764</v>
          </cell>
          <cell r="N176">
            <v>48832134</v>
          </cell>
          <cell r="O176">
            <v>49062172</v>
          </cell>
          <cell r="P176">
            <v>49277824</v>
          </cell>
          <cell r="Q176">
            <v>49483761</v>
          </cell>
          <cell r="R176">
            <v>49681508</v>
          </cell>
          <cell r="S176">
            <v>49874883</v>
          </cell>
          <cell r="T176">
            <v>50066958</v>
          </cell>
          <cell r="U176">
            <v>50260136</v>
          </cell>
        </row>
        <row r="177">
          <cell r="A177" t="str">
            <v>Spain</v>
          </cell>
          <cell r="B177" t="str">
            <v>SPA</v>
          </cell>
          <cell r="C177" t="str">
            <v>EME</v>
          </cell>
          <cell r="F177">
            <v>40229429</v>
          </cell>
          <cell r="G177">
            <v>40742013</v>
          </cell>
          <cell r="H177">
            <v>41388300</v>
          </cell>
          <cell r="I177">
            <v>42103324</v>
          </cell>
          <cell r="J177">
            <v>42795447</v>
          </cell>
          <cell r="K177">
            <v>43397491</v>
          </cell>
          <cell r="L177">
            <v>43886817</v>
          </cell>
          <cell r="M177">
            <v>44279182</v>
          </cell>
          <cell r="N177">
            <v>44592771</v>
          </cell>
          <cell r="O177">
            <v>44860810</v>
          </cell>
          <cell r="P177">
            <v>45108136</v>
          </cell>
          <cell r="Q177">
            <v>45336380</v>
          </cell>
          <cell r="R177">
            <v>45536765</v>
          </cell>
          <cell r="S177">
            <v>45712405</v>
          </cell>
          <cell r="T177">
            <v>45865873</v>
          </cell>
          <cell r="U177">
            <v>45999549</v>
          </cell>
        </row>
        <row r="178">
          <cell r="A178" t="str">
            <v>Sri Lanka</v>
          </cell>
          <cell r="B178" t="str">
            <v>SRL</v>
          </cell>
          <cell r="C178" t="str">
            <v>SEAR</v>
          </cell>
          <cell r="D178" t="str">
            <v>Rupee</v>
          </cell>
          <cell r="E178">
            <v>94.512</v>
          </cell>
          <cell r="F178">
            <v>18713711</v>
          </cell>
          <cell r="G178">
            <v>18805329</v>
          </cell>
          <cell r="H178">
            <v>18887160</v>
          </cell>
          <cell r="I178">
            <v>18963554</v>
          </cell>
          <cell r="J178">
            <v>19040092</v>
          </cell>
          <cell r="K178">
            <v>19120763</v>
          </cell>
          <cell r="L178">
            <v>19207441</v>
          </cell>
          <cell r="M178">
            <v>19299189</v>
          </cell>
          <cell r="N178">
            <v>19393638</v>
          </cell>
          <cell r="O178">
            <v>19486975</v>
          </cell>
          <cell r="P178">
            <v>19576324</v>
          </cell>
          <cell r="Q178">
            <v>19661004</v>
          </cell>
          <cell r="R178">
            <v>19741652</v>
          </cell>
          <cell r="S178">
            <v>19818206</v>
          </cell>
          <cell r="T178">
            <v>19890883</v>
          </cell>
          <cell r="U178">
            <v>19959725</v>
          </cell>
        </row>
        <row r="179">
          <cell r="A179" t="str">
            <v>St Vincent &amp; Grenadines</v>
          </cell>
          <cell r="B179" t="str">
            <v>SAV</v>
          </cell>
          <cell r="C179" t="str">
            <v>LAC</v>
          </cell>
          <cell r="F179">
            <v>115949</v>
          </cell>
          <cell r="G179">
            <v>116567</v>
          </cell>
          <cell r="H179">
            <v>117201</v>
          </cell>
          <cell r="I179">
            <v>117847</v>
          </cell>
          <cell r="J179">
            <v>118494</v>
          </cell>
          <cell r="K179">
            <v>119137</v>
          </cell>
          <cell r="L179">
            <v>119772</v>
          </cell>
          <cell r="M179">
            <v>120398</v>
          </cell>
          <cell r="N179">
            <v>121010</v>
          </cell>
          <cell r="O179">
            <v>121599</v>
          </cell>
          <cell r="P179">
            <v>122159</v>
          </cell>
          <cell r="Q179">
            <v>122687</v>
          </cell>
          <cell r="R179">
            <v>123178</v>
          </cell>
          <cell r="S179">
            <v>123630</v>
          </cell>
          <cell r="T179">
            <v>124039</v>
          </cell>
          <cell r="U179">
            <v>124399</v>
          </cell>
        </row>
        <row r="180">
          <cell r="A180" t="str">
            <v>Sudan</v>
          </cell>
          <cell r="B180" t="str">
            <v>SUD</v>
          </cell>
          <cell r="C180" t="str">
            <v>EMR</v>
          </cell>
          <cell r="D180" t="str">
            <v>Dinar</v>
          </cell>
          <cell r="E180">
            <v>261.11</v>
          </cell>
          <cell r="F180">
            <v>33348627</v>
          </cell>
          <cell r="G180">
            <v>34063430</v>
          </cell>
          <cell r="H180">
            <v>34752339</v>
          </cell>
          <cell r="I180">
            <v>35436381</v>
          </cell>
          <cell r="J180">
            <v>36145241</v>
          </cell>
          <cell r="K180">
            <v>36899747</v>
          </cell>
          <cell r="L180">
            <v>37707483</v>
          </cell>
          <cell r="M180">
            <v>38560492</v>
          </cell>
          <cell r="N180">
            <v>39445014</v>
          </cell>
          <cell r="O180">
            <v>40340108</v>
          </cell>
          <cell r="P180">
            <v>41230247</v>
          </cell>
          <cell r="Q180">
            <v>42110971</v>
          </cell>
          <cell r="R180">
            <v>42986124</v>
          </cell>
          <cell r="S180">
            <v>43858273</v>
          </cell>
          <cell r="T180">
            <v>44732639</v>
          </cell>
          <cell r="U180">
            <v>45612622</v>
          </cell>
        </row>
        <row r="181">
          <cell r="A181" t="str">
            <v>Suriname</v>
          </cell>
          <cell r="B181" t="str">
            <v>SUR</v>
          </cell>
          <cell r="C181" t="str">
            <v>LAC</v>
          </cell>
          <cell r="D181" t="str">
            <v>Guilder</v>
          </cell>
          <cell r="E181">
            <v>2625</v>
          </cell>
          <cell r="F181">
            <v>436443</v>
          </cell>
          <cell r="G181">
            <v>440114</v>
          </cell>
          <cell r="H181">
            <v>443485</v>
          </cell>
          <cell r="I181">
            <v>446609</v>
          </cell>
          <cell r="J181">
            <v>449579</v>
          </cell>
          <cell r="K181">
            <v>452468</v>
          </cell>
          <cell r="L181">
            <v>455273</v>
          </cell>
          <cell r="M181">
            <v>457961</v>
          </cell>
          <cell r="N181">
            <v>460530</v>
          </cell>
          <cell r="O181">
            <v>462972</v>
          </cell>
          <cell r="P181">
            <v>465282</v>
          </cell>
          <cell r="Q181">
            <v>467461</v>
          </cell>
          <cell r="R181">
            <v>469511</v>
          </cell>
          <cell r="S181">
            <v>471421</v>
          </cell>
          <cell r="T181">
            <v>473179</v>
          </cell>
          <cell r="U181">
            <v>474776</v>
          </cell>
        </row>
        <row r="182">
          <cell r="A182" t="str">
            <v>Swaziland</v>
          </cell>
          <cell r="B182" t="str">
            <v>SWZ</v>
          </cell>
          <cell r="C182" t="str">
            <v>AFRhigh</v>
          </cell>
          <cell r="D182" t="str">
            <v>Lilangeni</v>
          </cell>
          <cell r="E182">
            <v>6.9516857838025716</v>
          </cell>
          <cell r="F182">
            <v>1058185</v>
          </cell>
          <cell r="G182">
            <v>1074566</v>
          </cell>
          <cell r="H182">
            <v>1089300</v>
          </cell>
          <cell r="I182">
            <v>1102437</v>
          </cell>
          <cell r="J182">
            <v>1114131</v>
          </cell>
          <cell r="K182">
            <v>1124529</v>
          </cell>
          <cell r="L182">
            <v>1133614</v>
          </cell>
          <cell r="M182">
            <v>1141423</v>
          </cell>
          <cell r="N182">
            <v>1148255</v>
          </cell>
          <cell r="O182">
            <v>1154497</v>
          </cell>
          <cell r="P182">
            <v>1160455</v>
          </cell>
          <cell r="Q182">
            <v>1166245</v>
          </cell>
          <cell r="R182">
            <v>1171886</v>
          </cell>
          <cell r="S182">
            <v>1177473</v>
          </cell>
          <cell r="T182">
            <v>1183078</v>
          </cell>
          <cell r="U182">
            <v>1188748</v>
          </cell>
        </row>
        <row r="183">
          <cell r="A183" t="str">
            <v>Sweden</v>
          </cell>
          <cell r="B183" t="str">
            <v>SWE</v>
          </cell>
          <cell r="C183" t="str">
            <v>EME</v>
          </cell>
          <cell r="F183">
            <v>8867689</v>
          </cell>
          <cell r="G183">
            <v>8889328</v>
          </cell>
          <cell r="H183">
            <v>8919969</v>
          </cell>
          <cell r="I183">
            <v>8957369</v>
          </cell>
          <cell r="J183">
            <v>8997688</v>
          </cell>
          <cell r="K183">
            <v>9038049</v>
          </cell>
          <cell r="L183">
            <v>9078176</v>
          </cell>
          <cell r="M183">
            <v>9118954</v>
          </cell>
          <cell r="N183">
            <v>9159978</v>
          </cell>
          <cell r="O183">
            <v>9200934</v>
          </cell>
          <cell r="P183">
            <v>9241600</v>
          </cell>
          <cell r="Q183">
            <v>9281573</v>
          </cell>
          <cell r="R183">
            <v>9320766</v>
          </cell>
          <cell r="S183">
            <v>9359697</v>
          </cell>
          <cell r="T183">
            <v>9399160</v>
          </cell>
          <cell r="U183">
            <v>9439692</v>
          </cell>
        </row>
        <row r="184">
          <cell r="A184" t="str">
            <v>Switzerland</v>
          </cell>
          <cell r="B184" t="str">
            <v>SWI</v>
          </cell>
          <cell r="C184" t="str">
            <v>EME</v>
          </cell>
          <cell r="F184">
            <v>7263234</v>
          </cell>
          <cell r="G184">
            <v>7291780</v>
          </cell>
          <cell r="H184">
            <v>7323811</v>
          </cell>
          <cell r="I184">
            <v>7357994</v>
          </cell>
          <cell r="J184">
            <v>7392067</v>
          </cell>
          <cell r="K184">
            <v>7424389</v>
          </cell>
          <cell r="L184">
            <v>7454795</v>
          </cell>
          <cell r="M184">
            <v>7483972</v>
          </cell>
          <cell r="N184">
            <v>7512120</v>
          </cell>
          <cell r="O184">
            <v>7539622</v>
          </cell>
          <cell r="P184">
            <v>7566783</v>
          </cell>
          <cell r="Q184">
            <v>7593590</v>
          </cell>
          <cell r="R184">
            <v>7619990</v>
          </cell>
          <cell r="S184">
            <v>7646223</v>
          </cell>
          <cell r="T184">
            <v>7672586</v>
          </cell>
          <cell r="U184">
            <v>7699294</v>
          </cell>
        </row>
        <row r="185">
          <cell r="A185" t="str">
            <v>Syrian Arab Republic</v>
          </cell>
          <cell r="B185" t="str">
            <v>SYR</v>
          </cell>
          <cell r="C185" t="str">
            <v>EMR</v>
          </cell>
          <cell r="D185" t="str">
            <v>Pound</v>
          </cell>
          <cell r="E185">
            <v>11.225</v>
          </cell>
          <cell r="F185">
            <v>16510861</v>
          </cell>
          <cell r="G185">
            <v>16949340</v>
          </cell>
          <cell r="H185">
            <v>17411357</v>
          </cell>
          <cell r="I185">
            <v>17893264</v>
          </cell>
          <cell r="J185">
            <v>18389228</v>
          </cell>
          <cell r="K185">
            <v>18893881</v>
          </cell>
          <cell r="L185">
            <v>19407558</v>
          </cell>
          <cell r="M185">
            <v>19928518</v>
          </cell>
          <cell r="N185">
            <v>20446734</v>
          </cell>
          <cell r="O185">
            <v>20949512</v>
          </cell>
          <cell r="P185">
            <v>21428048</v>
          </cell>
          <cell r="Q185">
            <v>21877375</v>
          </cell>
          <cell r="R185">
            <v>22300240</v>
          </cell>
          <cell r="S185">
            <v>22705225</v>
          </cell>
          <cell r="T185">
            <v>23105243</v>
          </cell>
          <cell r="U185">
            <v>23509678</v>
          </cell>
        </row>
        <row r="186">
          <cell r="A186" t="str">
            <v>Tajikistan</v>
          </cell>
          <cell r="B186" t="str">
            <v>TJK</v>
          </cell>
          <cell r="C186" t="str">
            <v>EEUR</v>
          </cell>
          <cell r="D186" t="str">
            <v>Somoni</v>
          </cell>
          <cell r="E186">
            <v>3090</v>
          </cell>
          <cell r="F186">
            <v>6172835</v>
          </cell>
          <cell r="G186">
            <v>6245969</v>
          </cell>
          <cell r="H186">
            <v>6317813</v>
          </cell>
          <cell r="I186">
            <v>6390641</v>
          </cell>
          <cell r="J186">
            <v>6467377</v>
          </cell>
          <cell r="K186">
            <v>6550213</v>
          </cell>
          <cell r="L186">
            <v>6639837</v>
          </cell>
          <cell r="M186">
            <v>6735996</v>
          </cell>
          <cell r="N186">
            <v>6838716</v>
          </cell>
          <cell r="O186">
            <v>6947678</v>
          </cell>
          <cell r="P186">
            <v>7062446</v>
          </cell>
          <cell r="Q186">
            <v>7183136</v>
          </cell>
          <cell r="R186">
            <v>7309345</v>
          </cell>
          <cell r="S186">
            <v>7439393</v>
          </cell>
          <cell r="T186">
            <v>7571066</v>
          </cell>
          <cell r="U186">
            <v>7702612</v>
          </cell>
        </row>
        <row r="187">
          <cell r="A187" t="str">
            <v>TFYR Macedonia</v>
          </cell>
          <cell r="B187" t="str">
            <v>MKD</v>
          </cell>
          <cell r="C187" t="str">
            <v>CEUR</v>
          </cell>
          <cell r="F187">
            <v>2009264</v>
          </cell>
          <cell r="G187">
            <v>2015911</v>
          </cell>
          <cell r="H187">
            <v>2021568</v>
          </cell>
          <cell r="I187">
            <v>2026320</v>
          </cell>
          <cell r="J187">
            <v>2030311</v>
          </cell>
          <cell r="K187">
            <v>2033655</v>
          </cell>
          <cell r="L187">
            <v>2036376</v>
          </cell>
          <cell r="M187">
            <v>2038464</v>
          </cell>
          <cell r="N187">
            <v>2039960</v>
          </cell>
          <cell r="O187">
            <v>2040905</v>
          </cell>
          <cell r="P187">
            <v>2041341</v>
          </cell>
          <cell r="Q187">
            <v>2041283</v>
          </cell>
          <cell r="R187">
            <v>2040763</v>
          </cell>
          <cell r="S187">
            <v>2039839</v>
          </cell>
          <cell r="T187">
            <v>2038585</v>
          </cell>
          <cell r="U187">
            <v>2037048</v>
          </cell>
        </row>
        <row r="188">
          <cell r="A188" t="str">
            <v>Thailand</v>
          </cell>
          <cell r="B188" t="str">
            <v>THA</v>
          </cell>
          <cell r="C188" t="str">
            <v>SEAR</v>
          </cell>
          <cell r="D188" t="str">
            <v>Baht</v>
          </cell>
          <cell r="E188">
            <v>39.679000000000002</v>
          </cell>
          <cell r="F188">
            <v>60665589</v>
          </cell>
          <cell r="G188">
            <v>61191592</v>
          </cell>
          <cell r="H188">
            <v>61674588</v>
          </cell>
          <cell r="I188">
            <v>62126510</v>
          </cell>
          <cell r="J188">
            <v>62565066</v>
          </cell>
          <cell r="K188">
            <v>63002911</v>
          </cell>
          <cell r="L188">
            <v>63443950</v>
          </cell>
          <cell r="M188">
            <v>63883661</v>
          </cell>
          <cell r="N188">
            <v>64316134</v>
          </cell>
          <cell r="O188">
            <v>64732050</v>
          </cell>
          <cell r="P188">
            <v>65124667</v>
          </cell>
          <cell r="Q188">
            <v>65492535</v>
          </cell>
          <cell r="R188">
            <v>65838123.000000007</v>
          </cell>
          <cell r="S188">
            <v>66163225.999999993</v>
          </cell>
          <cell r="T188">
            <v>66470886</v>
          </cell>
          <cell r="U188">
            <v>66763323.999999993</v>
          </cell>
        </row>
        <row r="189">
          <cell r="A189" t="str">
            <v>Timor-Leste</v>
          </cell>
          <cell r="B189" t="str">
            <v>TMP</v>
          </cell>
          <cell r="C189" t="str">
            <v>SEAR</v>
          </cell>
          <cell r="F189">
            <v>818523</v>
          </cell>
          <cell r="G189">
            <v>848583</v>
          </cell>
          <cell r="H189">
            <v>895825</v>
          </cell>
          <cell r="I189">
            <v>953912</v>
          </cell>
          <cell r="J189">
            <v>1013364</v>
          </cell>
          <cell r="K189">
            <v>1067285</v>
          </cell>
          <cell r="L189">
            <v>1113717</v>
          </cell>
          <cell r="M189">
            <v>1154776</v>
          </cell>
          <cell r="N189">
            <v>1192515</v>
          </cell>
          <cell r="O189">
            <v>1230459</v>
          </cell>
          <cell r="P189">
            <v>1271156</v>
          </cell>
          <cell r="Q189">
            <v>1314913</v>
          </cell>
          <cell r="R189">
            <v>1360635</v>
          </cell>
          <cell r="S189">
            <v>1407860</v>
          </cell>
          <cell r="T189">
            <v>1455794</v>
          </cell>
          <cell r="U189">
            <v>1503866</v>
          </cell>
        </row>
        <row r="190">
          <cell r="A190" t="str">
            <v>Togo</v>
          </cell>
          <cell r="B190" t="str">
            <v>TOG</v>
          </cell>
          <cell r="C190" t="str">
            <v>AFRlow</v>
          </cell>
          <cell r="D190" t="str">
            <v>Franc</v>
          </cell>
          <cell r="E190">
            <v>561.04999999999995</v>
          </cell>
          <cell r="F190">
            <v>5403039</v>
          </cell>
          <cell r="G190">
            <v>5576449</v>
          </cell>
          <cell r="H190">
            <v>5743542</v>
          </cell>
          <cell r="I190">
            <v>5906890</v>
          </cell>
          <cell r="J190">
            <v>6070843</v>
          </cell>
          <cell r="K190">
            <v>6238572</v>
          </cell>
          <cell r="L190">
            <v>6410428</v>
          </cell>
          <cell r="M190">
            <v>6585146</v>
          </cell>
          <cell r="N190">
            <v>6762421</v>
          </cell>
          <cell r="O190">
            <v>6941611</v>
          </cell>
          <cell r="P190">
            <v>7122217</v>
          </cell>
          <cell r="Q190">
            <v>7304238</v>
          </cell>
          <cell r="R190">
            <v>7487804</v>
          </cell>
          <cell r="S190">
            <v>7672663</v>
          </cell>
          <cell r="T190">
            <v>7858500</v>
          </cell>
          <cell r="U190">
            <v>8045054</v>
          </cell>
        </row>
        <row r="191">
          <cell r="A191" t="str">
            <v>Tokelau</v>
          </cell>
          <cell r="B191" t="str">
            <v>TOK</v>
          </cell>
          <cell r="C191" t="str">
            <v>WPR</v>
          </cell>
          <cell r="F191">
            <v>1517</v>
          </cell>
          <cell r="G191">
            <v>1504</v>
          </cell>
          <cell r="H191">
            <v>1479</v>
          </cell>
          <cell r="I191">
            <v>1449</v>
          </cell>
          <cell r="J191">
            <v>1421</v>
          </cell>
          <cell r="K191">
            <v>1401</v>
          </cell>
          <cell r="L191">
            <v>1391</v>
          </cell>
          <cell r="M191">
            <v>1389</v>
          </cell>
          <cell r="N191">
            <v>1392</v>
          </cell>
          <cell r="O191">
            <v>1396</v>
          </cell>
          <cell r="P191">
            <v>1399</v>
          </cell>
          <cell r="Q191">
            <v>1399</v>
          </cell>
          <cell r="R191">
            <v>1399</v>
          </cell>
          <cell r="S191">
            <v>1397</v>
          </cell>
          <cell r="T191">
            <v>1397</v>
          </cell>
          <cell r="U191">
            <v>1398</v>
          </cell>
        </row>
        <row r="192">
          <cell r="A192" t="str">
            <v>Tonga</v>
          </cell>
          <cell r="B192" t="str">
            <v>TON</v>
          </cell>
          <cell r="C192" t="str">
            <v>WPR</v>
          </cell>
          <cell r="F192">
            <v>98092</v>
          </cell>
          <cell r="G192">
            <v>98246</v>
          </cell>
          <cell r="H192">
            <v>98440</v>
          </cell>
          <cell r="I192">
            <v>98685</v>
          </cell>
          <cell r="J192">
            <v>98991</v>
          </cell>
          <cell r="K192">
            <v>99361</v>
          </cell>
          <cell r="L192">
            <v>99811</v>
          </cell>
          <cell r="M192">
            <v>100337</v>
          </cell>
          <cell r="N192">
            <v>100895</v>
          </cell>
          <cell r="O192">
            <v>101426</v>
          </cell>
          <cell r="P192">
            <v>101886</v>
          </cell>
          <cell r="Q192">
            <v>102254</v>
          </cell>
          <cell r="R192">
            <v>102553</v>
          </cell>
          <cell r="S192">
            <v>102841</v>
          </cell>
          <cell r="T192">
            <v>103204</v>
          </cell>
          <cell r="U192">
            <v>103700</v>
          </cell>
        </row>
        <row r="193">
          <cell r="A193" t="str">
            <v>Trinidad &amp; Tobago</v>
          </cell>
          <cell r="B193" t="str">
            <v>TRT</v>
          </cell>
          <cell r="C193" t="str">
            <v>LAC</v>
          </cell>
          <cell r="F193">
            <v>1300545</v>
          </cell>
          <cell r="G193">
            <v>1305464</v>
          </cell>
          <cell r="H193">
            <v>1310124</v>
          </cell>
          <cell r="I193">
            <v>1314639</v>
          </cell>
          <cell r="J193">
            <v>1319139</v>
          </cell>
          <cell r="K193">
            <v>1323722</v>
          </cell>
          <cell r="L193">
            <v>1328432</v>
          </cell>
          <cell r="M193">
            <v>1333270</v>
          </cell>
          <cell r="N193">
            <v>1338225</v>
          </cell>
          <cell r="O193">
            <v>1343267</v>
          </cell>
          <cell r="P193">
            <v>1348362</v>
          </cell>
          <cell r="Q193">
            <v>1353510</v>
          </cell>
          <cell r="R193">
            <v>1358689</v>
          </cell>
          <cell r="S193">
            <v>1363822</v>
          </cell>
          <cell r="T193">
            <v>1368811</v>
          </cell>
          <cell r="U193">
            <v>1373570</v>
          </cell>
        </row>
        <row r="194">
          <cell r="A194" t="str">
            <v>Tunisia</v>
          </cell>
          <cell r="B194" t="str">
            <v>TUN</v>
          </cell>
          <cell r="C194" t="str">
            <v>EMR</v>
          </cell>
          <cell r="F194">
            <v>9563500</v>
          </cell>
          <cell r="G194">
            <v>9672460</v>
          </cell>
          <cell r="H194">
            <v>9780271</v>
          </cell>
          <cell r="I194">
            <v>9887748</v>
          </cell>
          <cell r="J194">
            <v>9995700</v>
          </cell>
          <cell r="K194">
            <v>10104685</v>
          </cell>
          <cell r="L194">
            <v>10215222</v>
          </cell>
          <cell r="M194">
            <v>10327285</v>
          </cell>
          <cell r="N194">
            <v>10440169</v>
          </cell>
          <cell r="O194">
            <v>10552777</v>
          </cell>
          <cell r="P194">
            <v>10664281</v>
          </cell>
          <cell r="Q194">
            <v>10774440</v>
          </cell>
          <cell r="R194">
            <v>10883411</v>
          </cell>
          <cell r="S194">
            <v>10991222</v>
          </cell>
          <cell r="T194">
            <v>11098009</v>
          </cell>
          <cell r="U194">
            <v>11203826</v>
          </cell>
        </row>
        <row r="195">
          <cell r="A195" t="str">
            <v>Turkey</v>
          </cell>
          <cell r="B195" t="str">
            <v>TUR</v>
          </cell>
          <cell r="C195" t="str">
            <v>CEUR</v>
          </cell>
          <cell r="D195" t="str">
            <v>Lira</v>
          </cell>
          <cell r="E195">
            <v>1374556</v>
          </cell>
          <cell r="F195">
            <v>68158412</v>
          </cell>
          <cell r="G195">
            <v>69164100</v>
          </cell>
          <cell r="H195">
            <v>70135665</v>
          </cell>
          <cell r="I195">
            <v>71083896</v>
          </cell>
          <cell r="J195">
            <v>72024777</v>
          </cell>
          <cell r="K195">
            <v>72969723</v>
          </cell>
          <cell r="L195">
            <v>73921768</v>
          </cell>
          <cell r="M195">
            <v>74876697</v>
          </cell>
          <cell r="N195">
            <v>75829891</v>
          </cell>
          <cell r="O195">
            <v>76773946</v>
          </cell>
          <cell r="P195">
            <v>77703194</v>
          </cell>
          <cell r="Q195">
            <v>78616530</v>
          </cell>
          <cell r="R195">
            <v>79514997</v>
          </cell>
          <cell r="S195">
            <v>80397504</v>
          </cell>
          <cell r="T195">
            <v>81263200</v>
          </cell>
          <cell r="U195">
            <v>82111355</v>
          </cell>
        </row>
        <row r="196">
          <cell r="A196" t="str">
            <v>Turkmenistan</v>
          </cell>
          <cell r="B196" t="str">
            <v>TKM</v>
          </cell>
          <cell r="C196" t="str">
            <v>EEUR</v>
          </cell>
          <cell r="D196" t="str">
            <v>Manat</v>
          </cell>
          <cell r="E196">
            <v>5100</v>
          </cell>
          <cell r="F196">
            <v>4502140</v>
          </cell>
          <cell r="G196">
            <v>4564367</v>
          </cell>
          <cell r="H196">
            <v>4629911</v>
          </cell>
          <cell r="I196">
            <v>4697763</v>
          </cell>
          <cell r="J196">
            <v>4766009</v>
          </cell>
          <cell r="K196">
            <v>4833266</v>
          </cell>
          <cell r="L196">
            <v>4899456</v>
          </cell>
          <cell r="M196">
            <v>4965275</v>
          </cell>
          <cell r="N196">
            <v>5030972</v>
          </cell>
          <cell r="O196">
            <v>5096942</v>
          </cell>
          <cell r="P196">
            <v>5163430</v>
          </cell>
          <cell r="Q196">
            <v>5230404</v>
          </cell>
          <cell r="R196">
            <v>5297611</v>
          </cell>
          <cell r="S196">
            <v>5364798</v>
          </cell>
          <cell r="T196">
            <v>5431625</v>
          </cell>
          <cell r="U196">
            <v>5497776</v>
          </cell>
        </row>
        <row r="197">
          <cell r="A197" t="str">
            <v>Turks &amp; Caicos Islands</v>
          </cell>
          <cell r="B197" t="str">
            <v>TCA</v>
          </cell>
          <cell r="C197" t="str">
            <v>LAC</v>
          </cell>
          <cell r="F197">
            <v>18867</v>
          </cell>
          <cell r="G197">
            <v>19940</v>
          </cell>
          <cell r="H197">
            <v>21159</v>
          </cell>
          <cell r="I197">
            <v>22412</v>
          </cell>
          <cell r="J197">
            <v>23549</v>
          </cell>
          <cell r="K197">
            <v>24459</v>
          </cell>
          <cell r="L197">
            <v>25102</v>
          </cell>
          <cell r="M197">
            <v>25517</v>
          </cell>
          <cell r="N197">
            <v>25770</v>
          </cell>
          <cell r="O197">
            <v>25970</v>
          </cell>
          <cell r="P197">
            <v>26194</v>
          </cell>
          <cell r="Q197">
            <v>26462</v>
          </cell>
          <cell r="R197">
            <v>26751</v>
          </cell>
          <cell r="S197">
            <v>27053</v>
          </cell>
          <cell r="T197">
            <v>27350</v>
          </cell>
          <cell r="U197">
            <v>27625</v>
          </cell>
        </row>
        <row r="198">
          <cell r="A198" t="str">
            <v>Tuvalu</v>
          </cell>
          <cell r="B198" t="str">
            <v>TUV</v>
          </cell>
          <cell r="C198" t="str">
            <v>WPR</v>
          </cell>
          <cell r="F198">
            <v>10185</v>
          </cell>
          <cell r="G198">
            <v>10245</v>
          </cell>
          <cell r="H198">
            <v>10299</v>
          </cell>
          <cell r="I198">
            <v>10349</v>
          </cell>
          <cell r="J198">
            <v>10396</v>
          </cell>
          <cell r="K198">
            <v>10441</v>
          </cell>
          <cell r="L198">
            <v>10486</v>
          </cell>
          <cell r="M198">
            <v>10530</v>
          </cell>
          <cell r="N198">
            <v>10574</v>
          </cell>
          <cell r="O198">
            <v>10618</v>
          </cell>
          <cell r="P198">
            <v>10661</v>
          </cell>
          <cell r="Q198">
            <v>10704</v>
          </cell>
          <cell r="R198">
            <v>10747</v>
          </cell>
          <cell r="S198">
            <v>10791</v>
          </cell>
          <cell r="T198">
            <v>10836</v>
          </cell>
          <cell r="U198">
            <v>10884</v>
          </cell>
        </row>
        <row r="199">
          <cell r="A199" t="str">
            <v>Uganda</v>
          </cell>
          <cell r="B199" t="str">
            <v>UGA</v>
          </cell>
          <cell r="C199" t="str">
            <v>AFRhigh</v>
          </cell>
          <cell r="D199" t="str">
            <v>Shilling</v>
          </cell>
          <cell r="E199">
            <v>1990.7</v>
          </cell>
          <cell r="F199">
            <v>24689655</v>
          </cell>
          <cell r="G199">
            <v>25467495</v>
          </cell>
          <cell r="H199">
            <v>26284492</v>
          </cell>
          <cell r="I199">
            <v>27139128</v>
          </cell>
          <cell r="J199">
            <v>28027594</v>
          </cell>
          <cell r="K199">
            <v>28947181</v>
          </cell>
          <cell r="L199">
            <v>29898598</v>
          </cell>
          <cell r="M199">
            <v>30883807</v>
          </cell>
          <cell r="N199">
            <v>31902609</v>
          </cell>
          <cell r="O199">
            <v>32954658.000000004</v>
          </cell>
          <cell r="P199">
            <v>34039741</v>
          </cell>
          <cell r="Q199">
            <v>35156817</v>
          </cell>
          <cell r="R199">
            <v>36305888</v>
          </cell>
          <cell r="S199">
            <v>37488912</v>
          </cell>
          <cell r="T199">
            <v>38708600</v>
          </cell>
          <cell r="U199">
            <v>39966307</v>
          </cell>
        </row>
        <row r="200">
          <cell r="A200" t="str">
            <v>Ukraine</v>
          </cell>
          <cell r="B200" t="str">
            <v>UKR</v>
          </cell>
          <cell r="C200" t="str">
            <v>EEUR</v>
          </cell>
          <cell r="F200">
            <v>48854427</v>
          </cell>
          <cell r="G200">
            <v>48427550</v>
          </cell>
          <cell r="H200">
            <v>48027355</v>
          </cell>
          <cell r="I200">
            <v>47649046</v>
          </cell>
          <cell r="J200">
            <v>47281800</v>
          </cell>
          <cell r="K200">
            <v>46917544</v>
          </cell>
          <cell r="L200">
            <v>46557424</v>
          </cell>
          <cell r="M200">
            <v>46205379</v>
          </cell>
          <cell r="N200">
            <v>45858834</v>
          </cell>
          <cell r="O200">
            <v>45514440</v>
          </cell>
          <cell r="P200">
            <v>45169656</v>
          </cell>
          <cell r="Q200">
            <v>44823219</v>
          </cell>
          <cell r="R200">
            <v>44475205</v>
          </cell>
          <cell r="S200">
            <v>44126069</v>
          </cell>
          <cell r="T200">
            <v>43776863</v>
          </cell>
          <cell r="U200">
            <v>43428263</v>
          </cell>
        </row>
        <row r="201">
          <cell r="A201" t="str">
            <v>United Arab Emirates</v>
          </cell>
          <cell r="B201" t="str">
            <v>UAE</v>
          </cell>
          <cell r="C201" t="str">
            <v>EMR</v>
          </cell>
          <cell r="F201">
            <v>3247219</v>
          </cell>
          <cell r="G201">
            <v>3424368</v>
          </cell>
          <cell r="H201">
            <v>3602931</v>
          </cell>
          <cell r="I201">
            <v>3778838</v>
          </cell>
          <cell r="J201">
            <v>3947132</v>
          </cell>
          <cell r="K201">
            <v>4104291</v>
          </cell>
          <cell r="L201">
            <v>4248476</v>
          </cell>
          <cell r="M201">
            <v>4380439</v>
          </cell>
          <cell r="N201">
            <v>4502582</v>
          </cell>
          <cell r="O201">
            <v>4618738</v>
          </cell>
          <cell r="P201">
            <v>4731864</v>
          </cell>
          <cell r="Q201">
            <v>4842522</v>
          </cell>
          <cell r="R201">
            <v>4950248</v>
          </cell>
          <cell r="S201">
            <v>5055815</v>
          </cell>
          <cell r="T201">
            <v>5159932</v>
          </cell>
          <cell r="U201">
            <v>5263162</v>
          </cell>
        </row>
        <row r="202">
          <cell r="A202" t="str">
            <v>United Kingdom</v>
          </cell>
          <cell r="B202" t="str">
            <v>UNK</v>
          </cell>
          <cell r="C202" t="str">
            <v>EME</v>
          </cell>
          <cell r="F202">
            <v>58867587</v>
          </cell>
          <cell r="G202">
            <v>59115560</v>
          </cell>
          <cell r="H202">
            <v>59388333</v>
          </cell>
          <cell r="I202">
            <v>59676074</v>
          </cell>
          <cell r="J202">
            <v>59964950</v>
          </cell>
          <cell r="K202">
            <v>60244834</v>
          </cell>
          <cell r="L202">
            <v>60512058</v>
          </cell>
          <cell r="M202">
            <v>60768942</v>
          </cell>
          <cell r="N202">
            <v>61018648</v>
          </cell>
          <cell r="O202">
            <v>61266777</v>
          </cell>
          <cell r="P202">
            <v>61517378</v>
          </cell>
          <cell r="Q202">
            <v>61770597</v>
          </cell>
          <cell r="R202">
            <v>62024556</v>
          </cell>
          <cell r="S202">
            <v>62278967</v>
          </cell>
          <cell r="T202">
            <v>62533227</v>
          </cell>
          <cell r="U202">
            <v>62786780</v>
          </cell>
        </row>
        <row r="203">
          <cell r="A203" t="str">
            <v>UR Tanzania</v>
          </cell>
          <cell r="B203" t="str">
            <v>TAN</v>
          </cell>
          <cell r="C203" t="str">
            <v>AFRhigh</v>
          </cell>
          <cell r="F203">
            <v>33848753</v>
          </cell>
          <cell r="G203">
            <v>34712186</v>
          </cell>
          <cell r="H203">
            <v>35615114</v>
          </cell>
          <cell r="I203">
            <v>36550910</v>
          </cell>
          <cell r="J203">
            <v>37508004</v>
          </cell>
          <cell r="K203">
            <v>38477873</v>
          </cell>
          <cell r="L203">
            <v>39458709</v>
          </cell>
          <cell r="M203">
            <v>40453512</v>
          </cell>
          <cell r="N203">
            <v>41463923</v>
          </cell>
          <cell r="O203">
            <v>42492822</v>
          </cell>
          <cell r="P203">
            <v>43541652</v>
          </cell>
          <cell r="Q203">
            <v>44610617</v>
          </cell>
          <cell r="R203">
            <v>45696786</v>
          </cell>
          <cell r="S203">
            <v>46794682</v>
          </cell>
          <cell r="T203">
            <v>47897103</v>
          </cell>
          <cell r="U203">
            <v>48998650</v>
          </cell>
        </row>
        <row r="204">
          <cell r="A204" t="str">
            <v>Uruguay</v>
          </cell>
          <cell r="B204" t="str">
            <v>URU</v>
          </cell>
          <cell r="C204" t="str">
            <v>LAC</v>
          </cell>
          <cell r="F204">
            <v>3318238</v>
          </cell>
          <cell r="G204">
            <v>3324937</v>
          </cell>
          <cell r="H204">
            <v>3326395</v>
          </cell>
          <cell r="I204">
            <v>3324950</v>
          </cell>
          <cell r="J204">
            <v>3323921</v>
          </cell>
          <cell r="K204">
            <v>3325727</v>
          </cell>
          <cell r="L204">
            <v>3331195</v>
          </cell>
          <cell r="M204">
            <v>3339701</v>
          </cell>
          <cell r="N204">
            <v>3350454</v>
          </cell>
          <cell r="O204">
            <v>3362075</v>
          </cell>
          <cell r="P204">
            <v>3373551</v>
          </cell>
          <cell r="Q204">
            <v>3384736</v>
          </cell>
          <cell r="R204">
            <v>3395999</v>
          </cell>
          <cell r="S204">
            <v>3407424</v>
          </cell>
          <cell r="T204">
            <v>3419198</v>
          </cell>
          <cell r="U204">
            <v>3431430</v>
          </cell>
        </row>
        <row r="205">
          <cell r="A205" t="str">
            <v>US Virgin Islands</v>
          </cell>
          <cell r="B205" t="str">
            <v>VUS</v>
          </cell>
          <cell r="C205" t="str">
            <v>LAC</v>
          </cell>
          <cell r="F205">
            <v>110496</v>
          </cell>
          <cell r="G205">
            <v>110880</v>
          </cell>
          <cell r="H205">
            <v>111132</v>
          </cell>
          <cell r="I205">
            <v>111278</v>
          </cell>
          <cell r="J205">
            <v>111359</v>
          </cell>
          <cell r="K205">
            <v>111408</v>
          </cell>
          <cell r="L205">
            <v>111432</v>
          </cell>
          <cell r="M205">
            <v>111425</v>
          </cell>
          <cell r="N205">
            <v>111390</v>
          </cell>
          <cell r="O205">
            <v>111324</v>
          </cell>
          <cell r="P205">
            <v>111228</v>
          </cell>
          <cell r="Q205">
            <v>111105</v>
          </cell>
          <cell r="R205">
            <v>110958</v>
          </cell>
          <cell r="S205">
            <v>110791</v>
          </cell>
          <cell r="T205">
            <v>110604</v>
          </cell>
          <cell r="U205">
            <v>110401</v>
          </cell>
        </row>
        <row r="206">
          <cell r="A206" t="str">
            <v>USA</v>
          </cell>
          <cell r="B206" t="str">
            <v>USA</v>
          </cell>
          <cell r="C206" t="str">
            <v>EME</v>
          </cell>
          <cell r="F206">
            <v>284857068</v>
          </cell>
          <cell r="G206">
            <v>287836758</v>
          </cell>
          <cell r="H206">
            <v>290832028</v>
          </cell>
          <cell r="I206">
            <v>293836937</v>
          </cell>
          <cell r="J206">
            <v>296843882</v>
          </cell>
          <cell r="K206">
            <v>299846449</v>
          </cell>
          <cell r="L206">
            <v>302841225</v>
          </cell>
          <cell r="M206">
            <v>305826244</v>
          </cell>
          <cell r="N206">
            <v>308798278</v>
          </cell>
          <cell r="O206">
            <v>311754345</v>
          </cell>
          <cell r="P206">
            <v>314691640</v>
          </cell>
          <cell r="Q206">
            <v>317606852</v>
          </cell>
          <cell r="R206">
            <v>320497350</v>
          </cell>
          <cell r="S206">
            <v>323361925</v>
          </cell>
          <cell r="T206">
            <v>326199979</v>
          </cell>
          <cell r="U206">
            <v>329010321</v>
          </cell>
        </row>
        <row r="207">
          <cell r="A207" t="str">
            <v>Uzbekistan</v>
          </cell>
          <cell r="B207" t="str">
            <v>UZB</v>
          </cell>
          <cell r="C207" t="str">
            <v>EEUR</v>
          </cell>
          <cell r="D207" t="str">
            <v>Sum</v>
          </cell>
          <cell r="E207">
            <v>155</v>
          </cell>
          <cell r="F207">
            <v>24723547</v>
          </cell>
          <cell r="G207">
            <v>25083240</v>
          </cell>
          <cell r="H207">
            <v>25451550</v>
          </cell>
          <cell r="I207">
            <v>25827643</v>
          </cell>
          <cell r="J207">
            <v>26208819</v>
          </cell>
          <cell r="K207">
            <v>26593123</v>
          </cell>
          <cell r="L207">
            <v>26980509</v>
          </cell>
          <cell r="M207">
            <v>27372256</v>
          </cell>
          <cell r="N207">
            <v>27768983</v>
          </cell>
          <cell r="O207">
            <v>28171471</v>
          </cell>
          <cell r="P207">
            <v>28579758</v>
          </cell>
          <cell r="Q207">
            <v>28993800</v>
          </cell>
          <cell r="R207">
            <v>29411777</v>
          </cell>
          <cell r="S207">
            <v>29829678</v>
          </cell>
          <cell r="T207">
            <v>30242281</v>
          </cell>
          <cell r="U207">
            <v>30645437</v>
          </cell>
        </row>
        <row r="208">
          <cell r="A208" t="str">
            <v>Vanuatu</v>
          </cell>
          <cell r="B208" t="str">
            <v>VAN</v>
          </cell>
          <cell r="C208" t="str">
            <v>WPR</v>
          </cell>
          <cell r="D208" t="str">
            <v>Vatu</v>
          </cell>
          <cell r="E208">
            <v>146.08000000000001</v>
          </cell>
          <cell r="F208">
            <v>189723</v>
          </cell>
          <cell r="G208">
            <v>194194</v>
          </cell>
          <cell r="H208">
            <v>199150</v>
          </cell>
          <cell r="I208">
            <v>204462</v>
          </cell>
          <cell r="J208">
            <v>209918</v>
          </cell>
          <cell r="K208">
            <v>215366</v>
          </cell>
          <cell r="L208">
            <v>220772</v>
          </cell>
          <cell r="M208">
            <v>226179</v>
          </cell>
          <cell r="N208">
            <v>231592</v>
          </cell>
          <cell r="O208">
            <v>237040</v>
          </cell>
          <cell r="P208">
            <v>242538</v>
          </cell>
          <cell r="Q208">
            <v>248077</v>
          </cell>
          <cell r="R208">
            <v>253641</v>
          </cell>
          <cell r="S208">
            <v>259227</v>
          </cell>
          <cell r="T208">
            <v>264841</v>
          </cell>
          <cell r="U208">
            <v>270484</v>
          </cell>
        </row>
        <row r="209">
          <cell r="A209" t="str">
            <v>Venezuela</v>
          </cell>
          <cell r="B209" t="str">
            <v>VEN</v>
          </cell>
          <cell r="C209" t="str">
            <v>LAC</v>
          </cell>
          <cell r="F209">
            <v>24402422</v>
          </cell>
          <cell r="G209">
            <v>24866759</v>
          </cell>
          <cell r="H209">
            <v>25331052</v>
          </cell>
          <cell r="I209">
            <v>25795496</v>
          </cell>
          <cell r="J209">
            <v>26260319</v>
          </cell>
          <cell r="K209">
            <v>26725573</v>
          </cell>
          <cell r="L209">
            <v>27191210</v>
          </cell>
          <cell r="M209">
            <v>27656833</v>
          </cell>
          <cell r="N209">
            <v>28121688</v>
          </cell>
          <cell r="O209">
            <v>28584788</v>
          </cell>
          <cell r="P209">
            <v>29045288</v>
          </cell>
          <cell r="Q209">
            <v>29502762</v>
          </cell>
          <cell r="R209">
            <v>29956930</v>
          </cell>
          <cell r="S209">
            <v>30407257</v>
          </cell>
          <cell r="T209">
            <v>30853206</v>
          </cell>
          <cell r="U209">
            <v>31294295</v>
          </cell>
        </row>
        <row r="210">
          <cell r="A210" t="str">
            <v>Viet Nam</v>
          </cell>
          <cell r="B210" t="str">
            <v>VTN</v>
          </cell>
          <cell r="C210" t="str">
            <v>WPR</v>
          </cell>
          <cell r="D210" t="str">
            <v>Dong</v>
          </cell>
          <cell r="E210">
            <v>15519</v>
          </cell>
          <cell r="F210">
            <v>79094396</v>
          </cell>
          <cell r="G210">
            <v>80255806</v>
          </cell>
          <cell r="H210">
            <v>81440330</v>
          </cell>
          <cell r="I210">
            <v>82639773</v>
          </cell>
          <cell r="J210">
            <v>83839483</v>
          </cell>
          <cell r="K210">
            <v>85028643</v>
          </cell>
          <cell r="L210">
            <v>86205866</v>
          </cell>
          <cell r="M210">
            <v>87375197</v>
          </cell>
          <cell r="N210">
            <v>88537271</v>
          </cell>
          <cell r="O210">
            <v>89693687</v>
          </cell>
          <cell r="P210">
            <v>90845158</v>
          </cell>
          <cell r="Q210">
            <v>91991254</v>
          </cell>
          <cell r="R210">
            <v>93129795</v>
          </cell>
          <cell r="S210">
            <v>94257676</v>
          </cell>
          <cell r="T210">
            <v>95370957</v>
          </cell>
          <cell r="U210">
            <v>96466566</v>
          </cell>
        </row>
        <row r="211">
          <cell r="A211" t="str">
            <v>Wallis &amp; Futuna Is</v>
          </cell>
          <cell r="B211" t="str">
            <v>WAF</v>
          </cell>
          <cell r="C211" t="str">
            <v>WPR</v>
          </cell>
          <cell r="F211">
            <v>14897</v>
          </cell>
          <cell r="G211">
            <v>14952</v>
          </cell>
          <cell r="H211">
            <v>14984</v>
          </cell>
          <cell r="I211">
            <v>15004</v>
          </cell>
          <cell r="J211">
            <v>15030</v>
          </cell>
          <cell r="K211">
            <v>15079</v>
          </cell>
          <cell r="L211">
            <v>15153</v>
          </cell>
          <cell r="M211">
            <v>15249</v>
          </cell>
          <cell r="N211">
            <v>15358</v>
          </cell>
          <cell r="O211">
            <v>15474</v>
          </cell>
          <cell r="P211">
            <v>15586</v>
          </cell>
          <cell r="Q211">
            <v>15694</v>
          </cell>
          <cell r="R211">
            <v>15798</v>
          </cell>
          <cell r="S211">
            <v>15901</v>
          </cell>
          <cell r="T211">
            <v>16003</v>
          </cell>
          <cell r="U211">
            <v>16107</v>
          </cell>
        </row>
        <row r="212">
          <cell r="A212" t="str">
            <v>West Bank and Gaza Strip</v>
          </cell>
          <cell r="B212" t="str">
            <v>OPT</v>
          </cell>
          <cell r="C212" t="str">
            <v>EMR</v>
          </cell>
          <cell r="F212">
            <v>3149447</v>
          </cell>
          <cell r="G212">
            <v>3266453</v>
          </cell>
          <cell r="H212">
            <v>3386996</v>
          </cell>
          <cell r="I212">
            <v>3510372</v>
          </cell>
          <cell r="J212">
            <v>3635616</v>
          </cell>
          <cell r="K212">
            <v>3762005</v>
          </cell>
          <cell r="L212">
            <v>3889267</v>
          </cell>
          <cell r="M212">
            <v>4017496</v>
          </cell>
          <cell r="N212">
            <v>4146784</v>
          </cell>
          <cell r="O212">
            <v>4277360</v>
          </cell>
          <cell r="P212">
            <v>4409392</v>
          </cell>
          <cell r="Q212">
            <v>4542828</v>
          </cell>
          <cell r="R212">
            <v>4677556</v>
          </cell>
          <cell r="S212">
            <v>4813634</v>
          </cell>
          <cell r="T212">
            <v>4951140</v>
          </cell>
          <cell r="U212">
            <v>5090124</v>
          </cell>
        </row>
        <row r="213">
          <cell r="A213" t="str">
            <v>Yemen</v>
          </cell>
          <cell r="B213" t="str">
            <v>YEM</v>
          </cell>
          <cell r="C213" t="str">
            <v>EMR</v>
          </cell>
          <cell r="D213" t="str">
            <v>Rial</v>
          </cell>
          <cell r="E213">
            <v>183.93</v>
          </cell>
          <cell r="F213">
            <v>18181733</v>
          </cell>
          <cell r="G213">
            <v>18729750</v>
          </cell>
          <cell r="H213">
            <v>19294631</v>
          </cell>
          <cell r="I213">
            <v>19877497</v>
          </cell>
          <cell r="J213">
            <v>20477919</v>
          </cell>
          <cell r="K213">
            <v>21095679</v>
          </cell>
          <cell r="L213">
            <v>21732247</v>
          </cell>
          <cell r="M213">
            <v>22389172</v>
          </cell>
          <cell r="N213">
            <v>23066020</v>
          </cell>
          <cell r="O213">
            <v>23761746</v>
          </cell>
          <cell r="P213">
            <v>24475349</v>
          </cell>
          <cell r="Q213">
            <v>25206408</v>
          </cell>
          <cell r="R213">
            <v>25954505</v>
          </cell>
          <cell r="S213">
            <v>26718471</v>
          </cell>
          <cell r="T213">
            <v>27496884</v>
          </cell>
          <cell r="U213">
            <v>28288288</v>
          </cell>
        </row>
        <row r="214">
          <cell r="A214" t="str">
            <v>Zambia</v>
          </cell>
          <cell r="B214" t="str">
            <v>ZAM</v>
          </cell>
          <cell r="C214" t="str">
            <v>AFRhigh</v>
          </cell>
          <cell r="D214" t="str">
            <v>Kwacha</v>
          </cell>
          <cell r="E214">
            <v>4753.42</v>
          </cell>
          <cell r="F214">
            <v>10450880</v>
          </cell>
          <cell r="G214">
            <v>10665406</v>
          </cell>
          <cell r="H214">
            <v>10869653</v>
          </cell>
          <cell r="I214">
            <v>11068686</v>
          </cell>
          <cell r="J214">
            <v>11269795</v>
          </cell>
          <cell r="K214">
            <v>11478317</v>
          </cell>
          <cell r="L214">
            <v>11696160</v>
          </cell>
          <cell r="M214">
            <v>11922003</v>
          </cell>
          <cell r="N214">
            <v>12154058</v>
          </cell>
          <cell r="O214">
            <v>12389242</v>
          </cell>
          <cell r="P214">
            <v>12625415</v>
          </cell>
          <cell r="Q214">
            <v>12861958</v>
          </cell>
          <cell r="R214">
            <v>13100038</v>
          </cell>
          <cell r="S214">
            <v>13341338</v>
          </cell>
          <cell r="T214">
            <v>13588258</v>
          </cell>
          <cell r="U214">
            <v>13842343</v>
          </cell>
        </row>
        <row r="215">
          <cell r="A215" t="str">
            <v>Zimbabwe</v>
          </cell>
          <cell r="B215" t="str">
            <v>ZIM</v>
          </cell>
          <cell r="C215" t="str">
            <v>AFRhigh</v>
          </cell>
          <cell r="D215" t="str">
            <v>Zimbabwe Dollar</v>
          </cell>
          <cell r="E215">
            <v>54.945054945054942</v>
          </cell>
          <cell r="F215">
            <v>12656484</v>
          </cell>
          <cell r="G215">
            <v>12767328</v>
          </cell>
          <cell r="H215">
            <v>12859321</v>
          </cell>
          <cell r="I215">
            <v>12941359</v>
          </cell>
          <cell r="J215">
            <v>13025237</v>
          </cell>
          <cell r="K215">
            <v>13119679</v>
          </cell>
          <cell r="L215">
            <v>13228191</v>
          </cell>
          <cell r="M215">
            <v>13349436</v>
          </cell>
          <cell r="N215">
            <v>13481234</v>
          </cell>
          <cell r="O215">
            <v>13619317</v>
          </cell>
          <cell r="P215">
            <v>13760411</v>
          </cell>
          <cell r="Q215">
            <v>13904472</v>
          </cell>
          <cell r="R215">
            <v>14052499</v>
          </cell>
          <cell r="S215">
            <v>14203298</v>
          </cell>
          <cell r="T215">
            <v>14355462</v>
          </cell>
          <cell r="U215">
            <v>14507846</v>
          </cell>
        </row>
      </sheetData>
      <sheetData sheetId="1"/>
      <sheetData sheetId="2"/>
      <sheetData sheetId="3"/>
      <sheetData sheetId="4"/>
      <sheetData sheetId="5"/>
      <sheetData sheetId="6"/>
      <sheetData sheetId="7"/>
      <sheetData sheetId="8"/>
      <sheetData sheetId="9"/>
      <sheetData sheetId="10"/>
      <sheetData sheetId="11">
        <row r="7">
          <cell r="D7" t="str">
            <v>Kyrgyzstan</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otal_tplt"/>
      <sheetName val="_rqst_tplt"/>
      <sheetName val="_settings"/>
      <sheetName val="Welcome"/>
      <sheetName val="Prices"/>
      <sheetName val="Selection"/>
      <sheetName val="Enrolment"/>
      <sheetName val="Calcs"/>
      <sheetName val="Request (Yr 1)"/>
      <sheetName val="Request (Yr 2)"/>
      <sheetName val="Request (Yr 3)"/>
      <sheetName val="Request (Yr 4)"/>
      <sheetName val="Request (Yr 5)"/>
      <sheetName val="Request (Yr 6)"/>
      <sheetName val="Request (Yr 7)"/>
      <sheetName val="Request (Yr 8)"/>
      <sheetName val="Total Requested"/>
      <sheetName val="_pop"/>
      <sheetName val="Definitions"/>
      <sheetName val="HIV"/>
    </sheetNames>
    <sheetDataSet>
      <sheetData sheetId="0" refreshError="1"/>
      <sheetData sheetId="1" refreshError="1"/>
      <sheetData sheetId="2">
        <row r="11">
          <cell r="B11" t="str">
            <v>Injectable</v>
          </cell>
        </row>
        <row r="12">
          <cell r="B12" t="str">
            <v>Oral tablet</v>
          </cell>
        </row>
        <row r="13">
          <cell r="B13" t="str">
            <v>Other</v>
          </cell>
        </row>
        <row r="14">
          <cell r="B14" t="str">
            <v>Quinolone</v>
          </cell>
        </row>
        <row r="15">
          <cell r="B15" t="str">
            <v>Sachet</v>
          </cell>
        </row>
        <row r="19">
          <cell r="B19" t="str">
            <v>Bayer</v>
          </cell>
        </row>
        <row r="20">
          <cell r="B20" t="str">
            <v>Brown Burke</v>
          </cell>
        </row>
        <row r="21">
          <cell r="B21" t="str">
            <v>Eli Lilly</v>
          </cell>
        </row>
        <row r="22">
          <cell r="B22" t="str">
            <v>Fatol</v>
          </cell>
        </row>
        <row r="23">
          <cell r="B23" t="str">
            <v>Jacobus</v>
          </cell>
        </row>
        <row r="24">
          <cell r="B24" t="str">
            <v>Macleods</v>
          </cell>
        </row>
        <row r="25">
          <cell r="B25" t="str">
            <v>Panpharma</v>
          </cell>
        </row>
        <row r="29">
          <cell r="B29" t="str">
            <v>Capreomycin</v>
          </cell>
        </row>
        <row r="30">
          <cell r="B30" t="str">
            <v>Clarithromycine</v>
          </cell>
        </row>
        <row r="31">
          <cell r="B31" t="str">
            <v>Cycloserin</v>
          </cell>
        </row>
        <row r="32">
          <cell r="B32" t="str">
            <v>Ethionamide</v>
          </cell>
        </row>
        <row r="33">
          <cell r="B33" t="str">
            <v>Kanamycin</v>
          </cell>
        </row>
        <row r="34">
          <cell r="B34" t="str">
            <v>Moxifloxacin (local purchase)</v>
          </cell>
        </row>
        <row r="35">
          <cell r="B35" t="str">
            <v>Ofloxacine</v>
          </cell>
        </row>
        <row r="36">
          <cell r="B36" t="str">
            <v>PASER</v>
          </cell>
        </row>
        <row r="37">
          <cell r="B37" t="str">
            <v>Prothionamide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pop"/>
      <sheetName val="_pvt_epicountry"/>
      <sheetName val="_epibycountry"/>
      <sheetName val="_pvt_epiregion"/>
      <sheetName val="_epibyregion"/>
      <sheetName val="_pvt_costsregion"/>
      <sheetName val="_costbyregion"/>
      <sheetName val="_pvt_costscountry"/>
      <sheetName val="_costbycountry"/>
      <sheetName val="_ref_tables"/>
      <sheetName val="_settings"/>
      <sheetName val="Welcome"/>
      <sheetName val="Options"/>
      <sheetName val="Guidelines"/>
      <sheetName val="Baseline Budget"/>
      <sheetName val="Epidemiology"/>
      <sheetName val="1.2 Improving diagnosis"/>
      <sheetName val="Lab items list"/>
      <sheetName val="1.3 Patient support"/>
      <sheetName val="1.4 First-line drugs"/>
      <sheetName val="1.5.1 M&amp;E"/>
      <sheetName val="1.5.2 Management &amp; supervision"/>
      <sheetName val="1.5.3.1 Staff"/>
      <sheetName val="1.5.3.2 International TA"/>
      <sheetName val="1.5.3.3 Training"/>
      <sheetName val="2.1 TB HIV"/>
      <sheetName val="2.2 MDR TB"/>
      <sheetName val="2.3.1 High risk grups"/>
      <sheetName val="2.3.2 Infection control"/>
      <sheetName val="2.3.3 Childhood"/>
      <sheetName val="3.2 PAL"/>
      <sheetName val="4.1 PPM"/>
      <sheetName val="5.1 ACSM"/>
      <sheetName val="5.2 Community involvement"/>
      <sheetName val="6.1 OR"/>
      <sheetName val="Other"/>
      <sheetName val="Use general health services"/>
      <sheetName val="Table Costs Funding"/>
      <sheetName val="Table Costs by activity"/>
      <sheetName val="Fig Costs"/>
      <sheetName val="Fig Funding"/>
      <sheetName val="Table costs &amp; funding"/>
      <sheetName val="Table CostCategories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EEUR</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CatInt"/>
      <sheetName val="Summary by Cost Input"/>
      <sheetName val="Cost Inputs"/>
      <sheetName val="Rank unique Mod-Int-PR"/>
      <sheetName val="Assumptions HR"/>
      <sheetName val="Assumptions TRC"/>
      <sheetName val="Assumptions Other"/>
      <sheetName val="Free sheet-enter what you need"/>
      <sheetName val="Free pivot table"/>
      <sheetName val="Financial Triggers - Budget"/>
      <sheetName val="Country"/>
      <sheetName val="Recipient"/>
      <sheetName val="Assumptions"/>
      <sheetName val="CatCmp"/>
      <sheetName val="CatModules"/>
      <sheetName val="ModInCmp"/>
      <sheetName val="Budget Lines"/>
      <sheetName val="ActivityConcat"/>
      <sheetName val="CostGroup"/>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A2" t="str">
            <v>CHF</v>
          </cell>
          <cell r="AC2" t="str">
            <v>g</v>
          </cell>
        </row>
        <row r="3">
          <cell r="AC3" t="str">
            <v>mg</v>
          </cell>
        </row>
        <row r="4">
          <cell r="AC4" t="str">
            <v>ml</v>
          </cell>
        </row>
        <row r="5">
          <cell r="AC5" t="str">
            <v>tab</v>
          </cell>
        </row>
        <row r="6">
          <cell r="AC6" t="str">
            <v>supp</v>
          </cell>
        </row>
        <row r="7">
          <cell r="AC7" t="str">
            <v>Kit</v>
          </cell>
        </row>
        <row r="8">
          <cell r="AC8" t="str">
            <v>Capsule</v>
          </cell>
        </row>
        <row r="9">
          <cell r="AC9" t="str">
            <v>Injection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Заглавный лист"/>
      <sheetName val="Общие указания"/>
      <sheetName val="Общие допущения"/>
      <sheetName val="Детальные допущения"/>
      <sheetName val="Детальный бюджет на 1-й год"/>
      <sheetName val="Детальный бюджет на 2-й год"/>
      <sheetName val="Детальный бюджет на 3,4,5-й год"/>
      <sheetName val="Бюджет на 5 лет"/>
      <sheetName val="Краткий бюджет"/>
      <sheetName val="Welcome"/>
      <sheetName val="Range Page"/>
      <sheetName val="CAR Detailed"/>
      <sheetName val="Country Budget x 6"/>
      <sheetName val="_settings"/>
    </sheetNames>
    <sheetDataSet>
      <sheetData sheetId="0">
        <row r="3">
          <cell r="F3" t="str">
            <v>Кадровые ресурсы</v>
          </cell>
          <cell r="H3" t="str">
            <v>FBO</v>
          </cell>
        </row>
        <row r="4">
          <cell r="F4" t="str">
            <v>Техническая и административная помощь</v>
          </cell>
          <cell r="H4" t="str">
            <v>Негосударственные учреждения/общественные организации/высшие учебные учреждения</v>
          </cell>
        </row>
        <row r="5">
          <cell r="F5" t="str">
            <v>Обучение</v>
          </cell>
          <cell r="H5" t="str">
            <v>Частный сектор</v>
          </cell>
        </row>
        <row r="6">
          <cell r="F6" t="str">
            <v>Товары медицинского назначения и медицинское оборудование</v>
          </cell>
          <cell r="H6" t="str">
            <v>Министерство здравоохранения</v>
          </cell>
        </row>
        <row r="7">
          <cell r="F7" t="str">
            <v>Лекарственные препараты (медикаменты)</v>
          </cell>
          <cell r="H7" t="str">
            <v>Другие правительственные органы</v>
          </cell>
        </row>
        <row r="8">
          <cell r="F8" t="str">
            <v xml:space="preserve">Расходы на управление закупками и снабжением </v>
          </cell>
          <cell r="H8" t="str">
            <v>Программа развития ООН</v>
          </cell>
        </row>
        <row r="9">
          <cell r="F9" t="str">
            <v>Инфраструктура и другое оборудование</v>
          </cell>
          <cell r="H9" t="str">
            <v>Другие многосторонние организации</v>
          </cell>
        </row>
        <row r="10">
          <cell r="F10" t="str">
            <v>Информационные материалы</v>
          </cell>
        </row>
        <row r="11">
          <cell r="F11" t="str">
            <v>Мониторинг и оценка</v>
          </cell>
        </row>
        <row r="12">
          <cell r="F12" t="str">
            <v>Поддержка жизни клиентов/целевых групп населения</v>
          </cell>
        </row>
        <row r="13">
          <cell r="F13" t="str">
            <v>Планирование и администрирование</v>
          </cell>
        </row>
        <row r="14">
          <cell r="F14" t="str">
            <v>Накладные расходы</v>
          </cell>
        </row>
        <row r="15">
          <cell r="F15" t="str">
            <v>Прочие</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ormance Framework 3&amp;4"/>
      <sheetName val="HIV"/>
      <sheetName val="TB"/>
      <sheetName val="Malaria"/>
      <sheetName val="Definitions"/>
    </sheetNames>
    <sheetDataSet>
      <sheetData sheetId="0" refreshError="1"/>
      <sheetData sheetId="1" refreshError="1"/>
      <sheetData sheetId="2">
        <row r="2">
          <cell r="A2" t="str">
            <v>Please select…</v>
          </cell>
          <cell r="B2" t="str">
            <v>Please select…</v>
          </cell>
          <cell r="D2" t="str">
            <v>Please select…</v>
          </cell>
          <cell r="E2" t="str">
            <v>Please select…</v>
          </cell>
        </row>
        <row r="3">
          <cell r="A3" t="str">
            <v>BCC - Mass media</v>
          </cell>
          <cell r="B3" t="str">
            <v xml:space="preserve">% of young women and men aged 15-24 who are HIV infected </v>
          </cell>
          <cell r="D3" t="str">
            <v xml:space="preserve">% of women and men aged 15-49 who have had sexual intercourse with more than one partner in the last 12 months </v>
          </cell>
          <cell r="E3" t="str">
            <v>HMIS</v>
          </cell>
          <cell r="F3" t="str">
            <v>Please enter a corresponding indicator here…</v>
          </cell>
        </row>
        <row r="4">
          <cell r="A4" t="str">
            <v>BCC - community outreach and schools</v>
          </cell>
          <cell r="B4" t="str">
            <v xml:space="preserve">% of adults and children with HIV known to be on treatment 12 months after initiation of antiretroviral therapy </v>
          </cell>
          <cell r="D4" t="str">
            <v>% of never married young men and women aged 15-24 who have never had sex</v>
          </cell>
          <cell r="E4" t="str">
            <v>Patient records</v>
          </cell>
          <cell r="F4" t="str">
            <v>Please enter a data source here…</v>
          </cell>
        </row>
        <row r="5">
          <cell r="A5" t="str">
            <v xml:space="preserve">Condom </v>
          </cell>
          <cell r="B5" t="str">
            <v xml:space="preserve">% of infants born to HIV infected mothers who are infected </v>
          </cell>
          <cell r="D5" t="str">
            <v xml:space="preserve">% of young women and men aged 15-24 who have had sexual intercourse before the age of 15 </v>
          </cell>
          <cell r="E5" t="str">
            <v>Training records</v>
          </cell>
          <cell r="F5" t="str">
            <v>Please enter a SDA here…</v>
          </cell>
        </row>
        <row r="6">
          <cell r="A6" t="str">
            <v>Testing and Counseling</v>
          </cell>
          <cell r="B6" t="str">
            <v xml:space="preserve">% of most-at-risk population(s) (sex workers, clients of sex workers, men who have sex with men, injecting drug users) who are HIV infected </v>
          </cell>
          <cell r="D6" t="str">
            <v xml:space="preserve">% of injecting drug users reporting the use of sterile injecting equipment the last time they injected </v>
          </cell>
          <cell r="E6" t="str">
            <v>MICS (Multiple Indicator Cluster Survey)</v>
          </cell>
        </row>
        <row r="7">
          <cell r="A7" t="str">
            <v>PMTCT</v>
          </cell>
          <cell r="B7" t="str">
            <v>% of children under age 18 who are orphans</v>
          </cell>
          <cell r="D7" t="str">
            <v xml:space="preserve">% of injecting drug users reporting the use of a condom the last time they had sexual intercourse </v>
          </cell>
          <cell r="E7" t="str">
            <v>DHS/DHS+ (Demographic and Health Survey)</v>
          </cell>
        </row>
        <row r="8">
          <cell r="A8" t="str">
            <v>Post-exposure prophylaxis (PEP)</v>
          </cell>
          <cell r="D8" t="str">
            <v>Current school attendance among orphans and non-orphans</v>
          </cell>
          <cell r="E8" t="str">
            <v>AIS (AIDS Indicator Survey)</v>
          </cell>
        </row>
        <row r="9">
          <cell r="A9" t="str">
            <v>STI diagnosis and treatment</v>
          </cell>
          <cell r="D9" t="str">
            <v>% of women and men aged 15-49 who have had more than one sexual partner in the past 12 months reporting the use of a condom during their last sexual intercourse</v>
          </cell>
          <cell r="E9" t="str">
            <v>BSS (Behavioral Surveillance Survey)</v>
          </cell>
        </row>
        <row r="10">
          <cell r="A10" t="str">
            <v>Blood safety and universal precaution</v>
          </cell>
          <cell r="D10" t="str">
            <v xml:space="preserve">% of women and men aged 15-49 expressing accepting attitudes towards people with HIV </v>
          </cell>
          <cell r="E10" t="str">
            <v>Health Facility survey</v>
          </cell>
        </row>
        <row r="11">
          <cell r="A11" t="str">
            <v>Antiretroviral treatment (ARV) and monitoring</v>
          </cell>
          <cell r="D11" t="str">
            <v xml:space="preserve">% of female and male sex workers reporting the use of a condom with their most recent client </v>
          </cell>
          <cell r="E11" t="str">
            <v>SAMS (Service Availability Mapping Survey)</v>
          </cell>
        </row>
        <row r="12">
          <cell r="A12" t="str">
            <v>Prophylaxis and treatment for opportunistic infections</v>
          </cell>
          <cell r="D12" t="str">
            <v xml:space="preserve">% of men aged 15-49 reporting sex with a sex worker in the last 12 months who used a condom during last paid intercourse </v>
          </cell>
          <cell r="E12" t="str">
            <v>Households survey</v>
          </cell>
        </row>
        <row r="13">
          <cell r="A13" t="str">
            <v>Care and support for the chronically ill</v>
          </cell>
          <cell r="D13" t="str">
            <v xml:space="preserve">% of men reporting the use of condom the last time they had anal sex with a male partner </v>
          </cell>
          <cell r="E13" t="str">
            <v>Specific surveys and research (specify)</v>
          </cell>
        </row>
        <row r="14">
          <cell r="A14" t="str">
            <v>Support for orphans and vulnerable children</v>
          </cell>
          <cell r="E14" t="str">
            <v>Reports (specify)</v>
          </cell>
        </row>
        <row r="15">
          <cell r="A15" t="str">
            <v>TB/HIV</v>
          </cell>
          <cell r="E15" t="str">
            <v>Vital and disease-specific registry</v>
          </cell>
        </row>
        <row r="16">
          <cell r="A16" t="str">
            <v>Policy development including workplace policy</v>
          </cell>
          <cell r="E16" t="str">
            <v>Operational Research</v>
          </cell>
        </row>
        <row r="17">
          <cell r="A17" t="str">
            <v xml:space="preserve">Strengthening of civil society and institutional capacity building </v>
          </cell>
          <cell r="E17" t="str">
            <v>Health Provider survey</v>
          </cell>
        </row>
        <row r="18">
          <cell r="A18" t="str">
            <v>Stigma reduction in all settings</v>
          </cell>
          <cell r="E18" t="str">
            <v>National Health Account</v>
          </cell>
        </row>
        <row r="19">
          <cell r="A19" t="str">
            <v>HSS: Service delivery</v>
          </cell>
          <cell r="E19" t="str">
            <v>Administrative records</v>
          </cell>
        </row>
        <row r="20">
          <cell r="A20" t="str">
            <v>HSS: Health Workforce</v>
          </cell>
        </row>
        <row r="21">
          <cell r="A21" t="str">
            <v>HSS: Medical Products, vaccines and technology</v>
          </cell>
        </row>
        <row r="22">
          <cell r="A22" t="str">
            <v>HSS: Financing</v>
          </cell>
        </row>
        <row r="23">
          <cell r="A23" t="str">
            <v>HSS: Leadership and Governance</v>
          </cell>
        </row>
        <row r="24">
          <cell r="A24" t="str">
            <v xml:space="preserve">HSS: Information system </v>
          </cell>
        </row>
      </sheetData>
      <sheetData sheetId="3">
        <row r="2">
          <cell r="A2" t="str">
            <v>please select…</v>
          </cell>
          <cell r="B2" t="str">
            <v>please select…</v>
          </cell>
          <cell r="D2" t="str">
            <v>please select…</v>
          </cell>
          <cell r="E2" t="str">
            <v>please select…</v>
          </cell>
        </row>
        <row r="3">
          <cell r="A3" t="str">
            <v>High Quality DOTS</v>
          </cell>
          <cell r="B3" t="str">
            <v>TB prevalence rate</v>
          </cell>
          <cell r="D3" t="str">
            <v>Case detection rate: new smear positive TB cases</v>
          </cell>
          <cell r="E3" t="str">
            <v>R&amp;R TB system, quarterly reports</v>
          </cell>
        </row>
        <row r="4">
          <cell r="A4" t="str">
            <v>Improving diagnosis</v>
          </cell>
          <cell r="B4" t="str">
            <v>TB incidence rate</v>
          </cell>
          <cell r="D4" t="str">
            <v>Treatment success rate: new smear positive TB cases</v>
          </cell>
          <cell r="E4" t="str">
            <v xml:space="preserve">R&amp;R TB system, yearly management report </v>
          </cell>
        </row>
        <row r="5">
          <cell r="A5" t="str">
            <v xml:space="preserve">Patient support </v>
          </cell>
          <cell r="B5" t="str">
            <v>TB mortality rate</v>
          </cell>
          <cell r="E5" t="str">
            <v>TB prevalence survey</v>
          </cell>
        </row>
        <row r="6">
          <cell r="A6" t="str">
            <v xml:space="preserve">Procurement and supply management (First line drugs) </v>
          </cell>
          <cell r="E6" t="str">
            <v>TB patient register</v>
          </cell>
        </row>
        <row r="7">
          <cell r="A7" t="str">
            <v>M&amp;E</v>
          </cell>
          <cell r="E7" t="str">
            <v>TB laboratory register</v>
          </cell>
        </row>
        <row r="8">
          <cell r="A8" t="str">
            <v>TB/HIV</v>
          </cell>
          <cell r="E8" t="str">
            <v>TB treatment card</v>
          </cell>
        </row>
        <row r="9">
          <cell r="A9" t="str">
            <v>MDR-TB</v>
          </cell>
          <cell r="E9" t="str">
            <v>Training records</v>
          </cell>
        </row>
        <row r="10">
          <cell r="A10" t="str">
            <v xml:space="preserve">High-risk groups </v>
          </cell>
          <cell r="E10" t="str">
            <v>Specify- Reports, Surveys, Questionnaires etc.</v>
          </cell>
        </row>
        <row r="11">
          <cell r="A11" t="str">
            <v>PAL (Practical Approach to Lung Health)</v>
          </cell>
          <cell r="E11" t="str">
            <v>Health Provider survey</v>
          </cell>
        </row>
        <row r="12">
          <cell r="A12" t="str">
            <v>All care providers (PPM / ISTC - Public-Public, Public-Private Mix (PPM) approaches and International standards for TB care)</v>
          </cell>
          <cell r="E12" t="str">
            <v>Health Facility survey</v>
          </cell>
        </row>
        <row r="13">
          <cell r="A13" t="str">
            <v xml:space="preserve">ACSM (Advocacy, communication and social mobilization) </v>
          </cell>
          <cell r="E13" t="str">
            <v>National Health Account</v>
          </cell>
        </row>
        <row r="14">
          <cell r="A14" t="str">
            <v xml:space="preserve">Community TB care </v>
          </cell>
          <cell r="E14" t="str">
            <v>Households survey</v>
          </cell>
        </row>
        <row r="15">
          <cell r="A15" t="str">
            <v>Operational Research</v>
          </cell>
          <cell r="E15" t="str">
            <v>SAMS (Service Availability Mapping Survey)</v>
          </cell>
        </row>
        <row r="16">
          <cell r="A16" t="str">
            <v>HSS: Service delivery</v>
          </cell>
          <cell r="E16" t="str">
            <v>Administrative records</v>
          </cell>
        </row>
        <row r="17">
          <cell r="A17" t="str">
            <v>HSS:  Health Workforce</v>
          </cell>
        </row>
        <row r="18">
          <cell r="A18" t="str">
            <v>HSS:  Medical Products, Vaccines and Technology</v>
          </cell>
        </row>
        <row r="19">
          <cell r="A19" t="str">
            <v>HSS:  Financing</v>
          </cell>
        </row>
        <row r="20">
          <cell r="A20" t="str">
            <v>HSS:  Information System</v>
          </cell>
        </row>
        <row r="21">
          <cell r="A21" t="str">
            <v>HSS:  Leadership and Goverance</v>
          </cell>
        </row>
      </sheetData>
      <sheetData sheetId="4">
        <row r="2">
          <cell r="A2" t="str">
            <v>please select…</v>
          </cell>
          <cell r="B2" t="str">
            <v>please select…</v>
          </cell>
          <cell r="D2" t="str">
            <v>please select…</v>
          </cell>
          <cell r="E2" t="str">
            <v>please select…</v>
          </cell>
        </row>
        <row r="3">
          <cell r="A3" t="str">
            <v>BCC - Mass media</v>
          </cell>
          <cell r="B3" t="str">
            <v xml:space="preserve">Death rates associated with Malaria: all-cause under-5 mortality rate in highly endemic areas </v>
          </cell>
          <cell r="D3" t="str">
            <v>% of U5 children (and other target groups) with malaria/fever receiving appropriate treatment within 24 hours (community/health facility)</v>
          </cell>
          <cell r="E3" t="str">
            <v>DHS/DHS+ (Demographic and Health Survey)</v>
          </cell>
        </row>
        <row r="4">
          <cell r="A4" t="str">
            <v>BCC - community outreach</v>
          </cell>
          <cell r="B4" t="str">
            <v xml:space="preserve">Incidence of clinical malaria cases (estimated and/or reported) </v>
          </cell>
          <cell r="D4" t="str">
            <v>% of U5 children (and other target group) with uncomplicated malaria correctly managed at health facilities</v>
          </cell>
          <cell r="E4" t="str">
            <v>MIS (Malaria Indicator Survey)</v>
          </cell>
        </row>
        <row r="5">
          <cell r="A5" t="str">
            <v>Insecticide-treated nets (ITNs)</v>
          </cell>
          <cell r="B5" t="str">
            <v>Anaemia prevalence in children under 5 years of age</v>
          </cell>
          <cell r="D5" t="str">
            <v>% of U5 children (and other target groups) admitted with severe malaria and correctly managed at health facilities</v>
          </cell>
          <cell r="E5" t="str">
            <v>MICS (Multiple Indicator Cluster Survey)</v>
          </cell>
        </row>
        <row r="6">
          <cell r="A6" t="str">
            <v>Malaria prevention during pregnancy</v>
          </cell>
          <cell r="B6" t="str">
            <v xml:space="preserve">Prevalence of malaria parasite infection </v>
          </cell>
          <cell r="D6" t="str">
            <v>% of children U5 sleeping under an ITN</v>
          </cell>
          <cell r="E6" t="str">
            <v>Situation Analysis</v>
          </cell>
        </row>
        <row r="7">
          <cell r="A7" t="str">
            <v>Indoor Residual Spraying</v>
          </cell>
          <cell r="B7" t="str">
            <v>Laboratory-confirmed malaria cases seen in heath facilities</v>
          </cell>
          <cell r="D7" t="str">
            <v>% of households with at least one ITN</v>
          </cell>
          <cell r="E7" t="str">
            <v>HMIS</v>
          </cell>
        </row>
        <row r="8">
          <cell r="A8" t="str">
            <v>Prompt, effective anti-malarial treatment</v>
          </cell>
          <cell r="B8" t="str">
            <v>Laboratory-confirmed malaria deaths seen in health facilities</v>
          </cell>
          <cell r="D8" t="str">
            <v>% of pregnant women (and other target groups) sleeping under an ITN</v>
          </cell>
          <cell r="E8" t="str">
            <v>Health Facility survey</v>
          </cell>
        </row>
        <row r="9">
          <cell r="A9" t="str">
            <v>Home based management of malaria</v>
          </cell>
          <cell r="B9" t="str">
            <v>Malaria-attributed deaths in sentinel demographic surveillance sites</v>
          </cell>
          <cell r="D9" t="str">
            <v>% of pregnant women on Intermittent preventive treatment (IPT) according to national policy (specific to Sub-Saharian Africa)</v>
          </cell>
          <cell r="E9" t="str">
            <v>Health Provider survey</v>
          </cell>
        </row>
        <row r="10">
          <cell r="A10" t="str">
            <v>Diagnosis</v>
          </cell>
          <cell r="B10" t="str">
            <v>API (Annual Parasite Index) (specific to Latin America and Asia)</v>
          </cell>
          <cell r="D10" t="str">
            <v>% of households in malaria areas protected by IRS</v>
          </cell>
          <cell r="E10" t="str">
            <v>Key informant survey</v>
          </cell>
        </row>
        <row r="11">
          <cell r="A11" t="str">
            <v>Monitoring drug resistance</v>
          </cell>
          <cell r="B11" t="str">
            <v xml:space="preserve">Incidence of confirmed malaria cases  </v>
          </cell>
          <cell r="D11" t="str">
            <v>% of households covered by ITN or IRS</v>
          </cell>
          <cell r="E11" t="str">
            <v>Households survey</v>
          </cell>
        </row>
        <row r="12">
          <cell r="A12" t="str">
            <v>Monitoring insecticide resistance</v>
          </cell>
          <cell r="E12" t="str">
            <v>Vital registration systems</v>
          </cell>
        </row>
        <row r="13">
          <cell r="A13" t="str">
            <v>Coordination and partnership development (national, community, public-private)</v>
          </cell>
          <cell r="E13" t="str">
            <v>Training records</v>
          </cell>
        </row>
        <row r="14">
          <cell r="A14" t="str">
            <v>HSS: Service delivery</v>
          </cell>
          <cell r="E14" t="str">
            <v>Patients records</v>
          </cell>
        </row>
        <row r="15">
          <cell r="A15" t="str">
            <v xml:space="preserve">HSS: Health Workforce </v>
          </cell>
          <cell r="E15" t="str">
            <v>Surveillance systems</v>
          </cell>
        </row>
        <row r="16">
          <cell r="A16" t="str">
            <v xml:space="preserve">HSS: Medical Products, Vaccines and Technology </v>
          </cell>
          <cell r="E16" t="str">
            <v>Other report, specify</v>
          </cell>
        </row>
        <row r="17">
          <cell r="A17" t="str">
            <v xml:space="preserve">HSS: Information system </v>
          </cell>
          <cell r="E17" t="str">
            <v>National Health Account</v>
          </cell>
        </row>
        <row r="18">
          <cell r="A18" t="str">
            <v xml:space="preserve">HSS: Financing </v>
          </cell>
          <cell r="E18" t="str">
            <v>SAMS (Service Availability Mapping Survey)</v>
          </cell>
        </row>
        <row r="19">
          <cell r="A19" t="str">
            <v xml:space="preserve">HSS: Leadership and Goverance </v>
          </cell>
          <cell r="E19" t="str">
            <v>Other survey, specify</v>
          </cell>
        </row>
        <row r="20">
          <cell r="E20" t="str">
            <v>Administrative records</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
      <sheetName val="Система эф. работы"/>
      <sheetName val="HIV"/>
      <sheetName val="TB"/>
      <sheetName val="Malaria"/>
      <sheetName val="HSS"/>
      <sheetName val="Epid data"/>
      <sheetName val="Definitions"/>
      <sheetName val="Range Page"/>
      <sheetName val="CAR Detailed"/>
      <sheetName val="Country Budget x 6"/>
    </sheetNames>
    <sheetDataSet>
      <sheetData sheetId="0"/>
      <sheetData sheetId="1"/>
      <sheetData sheetId="2">
        <row r="2">
          <cell r="A2" t="str">
            <v>Выберите….</v>
          </cell>
        </row>
      </sheetData>
      <sheetData sheetId="3">
        <row r="2">
          <cell r="A2" t="str">
            <v>Выберите…</v>
          </cell>
        </row>
      </sheetData>
      <sheetData sheetId="4">
        <row r="2">
          <cell r="A2" t="str">
            <v>Выберите...</v>
          </cell>
        </row>
      </sheetData>
      <sheetData sheetId="5">
        <row r="3">
          <cell r="A3" t="str">
            <v>Выберите…</v>
          </cell>
        </row>
        <row r="4">
          <cell r="A4" t="str">
            <v>УСЗ (Укрепление систем здравоохранения): Оказание услуг</v>
          </cell>
        </row>
        <row r="5">
          <cell r="A5" t="str">
            <v>УСЗ: Кадровые ресурсы</v>
          </cell>
        </row>
        <row r="6">
          <cell r="A6" t="str">
            <v>УСЗ: Продукты медицинского назначения, вакцины и технология</v>
          </cell>
        </row>
        <row r="7">
          <cell r="A7" t="str">
            <v>УСЗ: Финансирование</v>
          </cell>
        </row>
        <row r="8">
          <cell r="A8" t="str">
            <v>УСЗ: Управление и руководство</v>
          </cell>
        </row>
        <row r="9">
          <cell r="A9" t="str">
            <v>УСЗ: Информационные системы</v>
          </cell>
        </row>
        <row r="10">
          <cell r="A10" t="str">
            <v xml:space="preserve">УСС (Укрепление систем сообществ): Мониторинг и документация общинных и правительственных программ </v>
          </cell>
        </row>
        <row r="11">
          <cell r="A11" t="str">
            <v xml:space="preserve">УСС: Информационно-разъяснительная деятельность, коммуникация и социальная мобилизация </v>
          </cell>
        </row>
        <row r="12">
          <cell r="A12" t="str">
            <v xml:space="preserve">УСС: Создание сетей на уровне сообществ, сотрудничество и координация </v>
          </cell>
        </row>
        <row r="13">
          <cell r="A13" t="str">
            <v>УСС: Людские ресурсы: укрепление навыков в сфере предоставления услуг, информационно-разъяснительной деятельности и лидерских навыков</v>
          </cell>
        </row>
        <row r="14">
          <cell r="A14" t="str">
            <v>УСС: Финансовые ресурсы</v>
          </cell>
        </row>
        <row r="15">
          <cell r="A15" t="str">
            <v>УСС: Материально-технические ресурсы – инфраструктура и основные продукты (включая продукты медицинского назначения и другие продукты и технологии</v>
          </cell>
        </row>
        <row r="16">
          <cell r="A16" t="str">
            <v>УСС: Виды деятельности и услуги на базе сообществ – предоставление, использование и качество услуг</v>
          </cell>
        </row>
        <row r="17">
          <cell r="A17" t="str">
            <v xml:space="preserve">УСС: Управление, ответственность и лидерство </v>
          </cell>
        </row>
        <row r="18">
          <cell r="A18" t="str">
            <v xml:space="preserve">УСС: Мониторинг и оценка, создание достоверных баз данных </v>
          </cell>
        </row>
        <row r="19">
          <cell r="A19" t="str">
            <v xml:space="preserve">УСС: Стратегическое планирование </v>
          </cell>
        </row>
      </sheetData>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B PF v04 21 May 2010"/>
      <sheetName val="SDAs_impact_datasources"/>
      <sheetName val="HSS"/>
    </sheetNames>
    <sheetDataSet>
      <sheetData sheetId="0"/>
      <sheetData sheetId="1"/>
      <sheetData sheetId="2">
        <row r="2">
          <cell r="D2" t="str">
            <v>impact</v>
          </cell>
          <cell r="E2" t="str">
            <v>R&amp;R TB system, quarterly reports</v>
          </cell>
        </row>
        <row r="3">
          <cell r="D3" t="str">
            <v>outcome</v>
          </cell>
          <cell r="E3" t="str">
            <v xml:space="preserve">R&amp;R TB system, yearly management report </v>
          </cell>
        </row>
        <row r="4">
          <cell r="E4" t="str">
            <v>TB prevalence survey</v>
          </cell>
        </row>
        <row r="5">
          <cell r="E5" t="str">
            <v>TB patient register</v>
          </cell>
        </row>
        <row r="6">
          <cell r="E6" t="str">
            <v>TB laboratory register</v>
          </cell>
        </row>
        <row r="7">
          <cell r="E7" t="str">
            <v>TB treatment card</v>
          </cell>
        </row>
        <row r="8">
          <cell r="E8" t="str">
            <v>Training records</v>
          </cell>
        </row>
        <row r="9">
          <cell r="E9" t="str">
            <v>Specify- Reports, Surveys, Questionnaires etc.</v>
          </cell>
        </row>
        <row r="10">
          <cell r="E10" t="str">
            <v>Health Provider survey</v>
          </cell>
        </row>
        <row r="11">
          <cell r="E11" t="str">
            <v>Health Facility survey</v>
          </cell>
        </row>
        <row r="12">
          <cell r="E12" t="str">
            <v>National Health Account</v>
          </cell>
        </row>
        <row r="13">
          <cell r="E13" t="str">
            <v>Households survey</v>
          </cell>
        </row>
        <row r="14">
          <cell r="E14" t="str">
            <v>SAMS (Service Availability Mapping Survey)</v>
          </cell>
        </row>
        <row r="15">
          <cell r="E15" t="str">
            <v>Administrative records</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GF"/>
      <sheetName val="Definitions"/>
      <sheetName val="SDAs_impact_datasources"/>
      <sheetName val="HSS"/>
      <sheetName val="HIV"/>
      <sheetName val="TB"/>
    </sheetNames>
    <sheetDataSet>
      <sheetData sheetId="0"/>
      <sheetData sheetId="1">
        <row r="31">
          <cell r="B31" t="str">
            <v>Please Select…</v>
          </cell>
        </row>
        <row r="32">
          <cell r="B32" t="str">
            <v>FBO</v>
          </cell>
        </row>
        <row r="33">
          <cell r="B33" t="str">
            <v>NGO/CBO/Academic</v>
          </cell>
        </row>
        <row r="34">
          <cell r="B34" t="str">
            <v>Private Sector</v>
          </cell>
        </row>
        <row r="35">
          <cell r="B35" t="str">
            <v>Ministry of Health (MoH)</v>
          </cell>
        </row>
        <row r="36">
          <cell r="B36" t="str">
            <v>Other Government</v>
          </cell>
        </row>
        <row r="37">
          <cell r="B37" t="str">
            <v>UNDP</v>
          </cell>
        </row>
        <row r="38">
          <cell r="B38" t="str">
            <v>Other Multilateral Organisation</v>
          </cell>
        </row>
        <row r="127">
          <cell r="B127" t="str">
            <v>Please Select…</v>
          </cell>
        </row>
        <row r="128">
          <cell r="B128" t="str">
            <v>HIV:Prevention</v>
          </cell>
        </row>
        <row r="129">
          <cell r="B129" t="str">
            <v>HIV:Treatment</v>
          </cell>
        </row>
        <row r="130">
          <cell r="B130" t="str">
            <v>HIV:Care and Support</v>
          </cell>
        </row>
        <row r="131">
          <cell r="B131" t="str">
            <v>HIV:TB/HIV Collaborative Activities</v>
          </cell>
        </row>
        <row r="132">
          <cell r="B132" t="str">
            <v>HIV:Supportive Environment</v>
          </cell>
        </row>
        <row r="133">
          <cell r="B133" t="str">
            <v>HIV:Health Systems Strengthening (HSS)</v>
          </cell>
        </row>
        <row r="134">
          <cell r="B134" t="str">
            <v>HIV_TB: TB Detection</v>
          </cell>
        </row>
        <row r="135">
          <cell r="B135" t="str">
            <v>HIV_TB: TB Treatment</v>
          </cell>
        </row>
        <row r="136">
          <cell r="B136" t="str">
            <v>HIV_TB: Collaborative Activities</v>
          </cell>
        </row>
        <row r="137">
          <cell r="B137" t="str">
            <v>HIV_TB: Supportive Environment</v>
          </cell>
        </row>
        <row r="138">
          <cell r="B138" t="str">
            <v>HIV_TB: Health Systems Strengthening (HSS)</v>
          </cell>
        </row>
        <row r="139">
          <cell r="B139" t="str">
            <v>Mal: Prevention</v>
          </cell>
        </row>
        <row r="140">
          <cell r="B140" t="str">
            <v>Mal: Treatment</v>
          </cell>
        </row>
        <row r="141">
          <cell r="B141" t="str">
            <v>Mal: Supportive Environment</v>
          </cell>
        </row>
        <row r="142">
          <cell r="B142" t="str">
            <v>Mal: Health Systems Strengthening (HSS)</v>
          </cell>
        </row>
        <row r="143">
          <cell r="B143" t="str">
            <v>TB Detection</v>
          </cell>
        </row>
        <row r="144">
          <cell r="B144" t="str">
            <v>TB Treatment</v>
          </cell>
        </row>
        <row r="145">
          <cell r="B145" t="str">
            <v>TB/HIV Collaborative Activities</v>
          </cell>
        </row>
        <row r="146">
          <cell r="B146" t="str">
            <v>TB: Supportive Environment</v>
          </cell>
        </row>
        <row r="147">
          <cell r="B147" t="str">
            <v>TB: Health Systems Strengthening (HSS)</v>
          </cell>
        </row>
        <row r="148">
          <cell r="B148" t="str">
            <v>HSS: Health Systems Strengthening (HSS)</v>
          </cell>
        </row>
        <row r="149">
          <cell r="B149" t="str">
            <v>HSS: Supportive Environment</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 CIs"/>
      <sheetName val="CatInt"/>
      <sheetName val="Setup"/>
      <sheetName val="Cost Inputs"/>
      <sheetName val="CatCmp"/>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Pharma CIs"/>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s"/>
      <sheetName val="Assumptions "/>
      <sheetName val="GF Review_19Apr07"/>
      <sheetName val="from PR_20Mar07"/>
      <sheetName val="Definitions"/>
      <sheetName val="HSS"/>
      <sheetName val="SDAs_impact_datasources"/>
    </sheetNames>
    <sheetDataSet>
      <sheetData sheetId="0">
        <row r="2">
          <cell r="A2" t="str">
            <v>Please Select…</v>
          </cell>
        </row>
        <row r="3">
          <cell r="A3" t="str">
            <v>Prevention: BCC - Mass media</v>
          </cell>
        </row>
        <row r="4">
          <cell r="A4" t="str">
            <v>Prevention: BCC - community outreach</v>
          </cell>
        </row>
        <row r="5">
          <cell r="A5" t="str">
            <v>Prevention: Condon distribution</v>
          </cell>
        </row>
        <row r="6">
          <cell r="A6" t="str">
            <v>Prevention: Testing and Counseling</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TB/HIV collaborative activities: Intensified case-finding among PLWHA</v>
          </cell>
        </row>
        <row r="16">
          <cell r="A16" t="str">
            <v>TB/HIV collaborative activities: Prevention of TB disease in PLWHA</v>
          </cell>
        </row>
        <row r="17">
          <cell r="A17" t="str">
            <v>TB/HIV collaborative activities: Prevention of HIV in TB patients</v>
          </cell>
        </row>
        <row r="18">
          <cell r="A18" t="str">
            <v>TB/HIV collaborative activities: Prevention of opportunistic infections in PLWHA with TB</v>
          </cell>
        </row>
        <row r="19">
          <cell r="A19" t="str">
            <v xml:space="preserve">TB/HIV collaborative activities: HIV care and support for HIV-positive TB patients </v>
          </cell>
        </row>
        <row r="20">
          <cell r="A20" t="str">
            <v>TB/HIV collaborative activities: Provision of antiretroviral treatment for TB patients during TB treatment</v>
          </cell>
        </row>
        <row r="21">
          <cell r="A21" t="str">
            <v>Supportive environment: Policy development including workplace policy</v>
          </cell>
        </row>
        <row r="22">
          <cell r="A22" t="str">
            <v xml:space="preserve">Supportive environment: Strengthening of civil society and institutional capacity building </v>
          </cell>
        </row>
        <row r="23">
          <cell r="A23" t="str">
            <v>Supportive environment: Stigma reduction in all settings</v>
          </cell>
        </row>
        <row r="24">
          <cell r="A24" t="str">
            <v>TB: Identification of infectious cases</v>
          </cell>
        </row>
        <row r="25">
          <cell r="A25" t="str">
            <v>TB: Timely detection and quality treatment of cases</v>
          </cell>
        </row>
        <row r="26">
          <cell r="A26" t="str">
            <v>TB: MDR-TB</v>
          </cell>
        </row>
        <row r="27">
          <cell r="A27" t="str">
            <v>TB: PPM (Public Private Mix)</v>
          </cell>
        </row>
        <row r="28">
          <cell r="A28" t="str">
            <v>Supportive Environment: Laboratory</v>
          </cell>
        </row>
        <row r="29">
          <cell r="A29" t="str">
            <v>Supportive Environment: Human resources</v>
          </cell>
        </row>
        <row r="30">
          <cell r="A30" t="str">
            <v>Supportive Environment: Community TB care (CTBC)</v>
          </cell>
        </row>
        <row r="31">
          <cell r="A31" t="str">
            <v>Prevention: Insecticide-treated nets (ITNs)</v>
          </cell>
        </row>
        <row r="32">
          <cell r="A32" t="str">
            <v>Prevention: Malaria prevention during pregnancy</v>
          </cell>
        </row>
        <row r="33">
          <cell r="A33" t="str">
            <v>Prevention: Vector control (other than ITNs)</v>
          </cell>
        </row>
        <row r="34">
          <cell r="A34" t="str">
            <v>Treatment: Prompt, effective anti-malarial treatment</v>
          </cell>
        </row>
        <row r="35">
          <cell r="A35" t="str">
            <v>Treatment: Home based management of malaria</v>
          </cell>
        </row>
        <row r="36">
          <cell r="A36" t="str">
            <v>Treatment: Diagnosis</v>
          </cell>
        </row>
        <row r="37">
          <cell r="A37" t="str">
            <v>Supportive environment: Monitoring drug resistance</v>
          </cell>
        </row>
        <row r="38">
          <cell r="A38" t="str">
            <v>Supportive environment: Monitoring insecticide resistance</v>
          </cell>
        </row>
        <row r="39">
          <cell r="A39" t="str">
            <v>Supportive environment: Coordination and partnership development (national, community, public-private)</v>
          </cell>
        </row>
        <row r="40">
          <cell r="A40" t="str">
            <v>Service delivery</v>
          </cell>
        </row>
        <row r="41">
          <cell r="A41" t="str">
            <v>Human resources</v>
          </cell>
        </row>
        <row r="42">
          <cell r="A42" t="str">
            <v>Community Systems Strengthening</v>
          </cell>
        </row>
        <row r="43">
          <cell r="A43" t="str">
            <v>Information system &amp; Operational research</v>
          </cell>
        </row>
        <row r="44">
          <cell r="A44" t="str">
            <v>Infrastructure</v>
          </cell>
        </row>
        <row r="45">
          <cell r="A45" t="str">
            <v>Procurement and Supply management</v>
          </cell>
        </row>
      </sheetData>
      <sheetData sheetId="1"/>
      <sheetData sheetId="2"/>
      <sheetData sheetId="3"/>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ormance Framework 3&amp;4"/>
      <sheetName val="HIV"/>
      <sheetName val="TB"/>
      <sheetName val="Malaria"/>
      <sheetName val="SDAs"/>
    </sheetNames>
    <sheetDataSet>
      <sheetData sheetId="0" refreshError="1"/>
      <sheetData sheetId="1" refreshError="1"/>
      <sheetData sheetId="2">
        <row r="2">
          <cell r="A2" t="str">
            <v>Please select…</v>
          </cell>
        </row>
        <row r="3">
          <cell r="F3" t="str">
            <v>Please enter a corresponding indicator here…</v>
          </cell>
        </row>
      </sheetData>
      <sheetData sheetId="3">
        <row r="2">
          <cell r="A2" t="str">
            <v>please select…</v>
          </cell>
        </row>
      </sheetData>
      <sheetData sheetId="4">
        <row r="2">
          <cell r="A2" t="str">
            <v>please select…</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Kyrgyz Indigo"/>
      <sheetName val="Musaada"/>
      <sheetName val="Podruga"/>
      <sheetName val="Tais Plus"/>
      <sheetName val="Tais Plus Dva"/>
      <sheetName val="Ulukman Daryger"/>
      <sheetName val="AntiSPID"/>
      <sheetName val="Prosvet"/>
      <sheetName val=" Ishenim Nuru"/>
      <sheetName val="Krik_SDPСenter"/>
      <sheetName val="AvN"/>
      <sheetName val="Ayan-Delta"/>
      <sheetName val="Antistigma К-Б"/>
      <sheetName val="Antistigma Kant"/>
      <sheetName val="Ranar"/>
      <sheetName val="RANS plus"/>
      <sheetName val="Zdorovoe pokolenie"/>
      <sheetName val="Harmonia plus"/>
      <sheetName val="РЦ СПИД"/>
      <sheetName val="ГЦПБС"/>
      <sheetName val="ООЦПБС"/>
      <sheetName val="РЦН"/>
      <sheetName val="MoH"/>
      <sheetName val="Карабалта_МСМ"/>
      <sheetName val="Талас"/>
      <sheetName val="Кызылкия"/>
      <sheetName val="Луин Ош"/>
      <sheetName val="Лжв Бишкек"/>
      <sheetName val="Сеть"/>
      <sheetName val="ФСК"/>
    </sheetNames>
    <sheetDataSet>
      <sheetData sheetId="0"/>
      <sheetData sheetId="1">
        <row r="33">
          <cell r="J33">
            <v>1928429.7</v>
          </cell>
        </row>
      </sheetData>
      <sheetData sheetId="2">
        <row r="34">
          <cell r="J34">
            <v>2850089.7</v>
          </cell>
        </row>
      </sheetData>
      <sheetData sheetId="3">
        <row r="32">
          <cell r="J32">
            <v>1767111</v>
          </cell>
        </row>
      </sheetData>
      <sheetData sheetId="4">
        <row r="34">
          <cell r="J34">
            <v>2219826.63</v>
          </cell>
        </row>
      </sheetData>
      <sheetData sheetId="5">
        <row r="33">
          <cell r="J33">
            <v>1294808.01</v>
          </cell>
        </row>
      </sheetData>
      <sheetData sheetId="6">
        <row r="36">
          <cell r="J36">
            <v>1558222.45</v>
          </cell>
        </row>
      </sheetData>
      <sheetData sheetId="7">
        <row r="35">
          <cell r="J35">
            <v>2015504.7</v>
          </cell>
        </row>
      </sheetData>
      <sheetData sheetId="8">
        <row r="27">
          <cell r="I27">
            <v>1372110</v>
          </cell>
        </row>
      </sheetData>
      <sheetData sheetId="9">
        <row r="27">
          <cell r="I27">
            <v>1040010</v>
          </cell>
        </row>
      </sheetData>
      <sheetData sheetId="10">
        <row r="31">
          <cell r="I31">
            <v>2638967</v>
          </cell>
        </row>
      </sheetData>
      <sheetData sheetId="11">
        <row r="24">
          <cell r="I24">
            <v>903610.05</v>
          </cell>
        </row>
      </sheetData>
      <sheetData sheetId="12">
        <row r="30">
          <cell r="I30">
            <v>1177264.5</v>
          </cell>
        </row>
      </sheetData>
      <sheetData sheetId="13">
        <row r="31">
          <cell r="I31">
            <v>1413888</v>
          </cell>
        </row>
      </sheetData>
      <sheetData sheetId="14">
        <row r="30">
          <cell r="I30">
            <v>890379</v>
          </cell>
        </row>
      </sheetData>
      <sheetData sheetId="15">
        <row r="27">
          <cell r="I27">
            <v>1199757</v>
          </cell>
        </row>
      </sheetData>
      <sheetData sheetId="16">
        <row r="28">
          <cell r="I28">
            <v>1395756.9</v>
          </cell>
        </row>
      </sheetData>
      <sheetData sheetId="17">
        <row r="28">
          <cell r="I28">
            <v>1067328</v>
          </cell>
        </row>
      </sheetData>
      <sheetData sheetId="18">
        <row r="38">
          <cell r="I38">
            <v>728062.49999999988</v>
          </cell>
        </row>
      </sheetData>
      <sheetData sheetId="19">
        <row r="57">
          <cell r="I57">
            <v>6552544.0830437494</v>
          </cell>
        </row>
      </sheetData>
      <sheetData sheetId="20">
        <row r="29">
          <cell r="J29">
            <v>335603.78687999997</v>
          </cell>
        </row>
      </sheetData>
      <sheetData sheetId="21">
        <row r="37">
          <cell r="I37">
            <v>1201295.0844000001</v>
          </cell>
        </row>
      </sheetData>
      <sheetData sheetId="22">
        <row r="118">
          <cell r="L118">
            <v>17902704.664999999</v>
          </cell>
        </row>
      </sheetData>
      <sheetData sheetId="23">
        <row r="12">
          <cell r="J12">
            <v>689471.98</v>
          </cell>
        </row>
      </sheetData>
      <sheetData sheetId="24">
        <row r="26">
          <cell r="J26">
            <v>1314049.6399999999</v>
          </cell>
        </row>
      </sheetData>
      <sheetData sheetId="25">
        <row r="30">
          <cell r="J30">
            <v>968850</v>
          </cell>
        </row>
      </sheetData>
      <sheetData sheetId="26">
        <row r="30">
          <cell r="J30">
            <v>996885</v>
          </cell>
        </row>
      </sheetData>
      <sheetData sheetId="27">
        <row r="34">
          <cell r="I34">
            <v>3557415</v>
          </cell>
        </row>
      </sheetData>
      <sheetData sheetId="28">
        <row r="24">
          <cell r="J24">
            <v>2033040.8880000003</v>
          </cell>
        </row>
      </sheetData>
      <sheetData sheetId="29">
        <row r="29">
          <cell r="I29">
            <v>1444704.4439999999</v>
          </cell>
        </row>
      </sheetData>
      <sheetData sheetId="30">
        <row r="23">
          <cell r="H23">
            <v>1485281.28</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o.katkalova/Desktop/GF%20grant%202018-2020/Sem%201%202018/&#1087;&#1077;&#1088;&#1077;&#1088;&#1072;&#1089;&#1095;&#1077;&#1090;%20&#1085;&#1072;%204,5%20&#1080;%203,5%20&#1084;&#1083;&#1085;/PIVOT%20on%206th%20month%20budget_after%20meeting_3.510%20mln_final.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o.katkalova/Desktop/GF%20grant%202018-2020/Sem%201%202018/&#1087;&#1077;&#1088;&#1077;&#1088;&#1072;&#1089;&#1095;&#1077;&#1090;%20&#1085;&#1072;%204,5%20&#1080;%203,5%20&#1084;&#1083;&#1085;/PIVOT%20on%206th%20month%20budget_after%20meeting_3.510%20mln_final.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lena Mikhalchenko" refreshedDate="43073.520304398146" createdVersion="5" refreshedVersion="5" minRefreshableVersion="3" recordCount="153">
  <cacheSource type="worksheet">
    <worksheetSource ref="A2:BW155" sheet="Detailed Budget" r:id="rId2"/>
  </cacheSource>
  <cacheFields count="75">
    <cacheField name="Budget Line No." numFmtId="0">
      <sharedItems containsString="0" containsBlank="1" containsNumber="1" containsInteger="1" minValue="1" maxValue="152"/>
    </cacheField>
    <cacheField name="SA" numFmtId="0">
      <sharedItems containsBlank="1"/>
    </cacheField>
    <cacheField name="Module" numFmtId="0">
      <sharedItems containsBlank="1"/>
    </cacheField>
    <cacheField name="Intervention" numFmtId="0">
      <sharedItems containsBlank="1"/>
    </cacheField>
    <cacheField name="Activity Description" numFmtId="0">
      <sharedItems containsBlank="1" longText="1"/>
    </cacheField>
    <cacheField name="Cost Input" numFmtId="0">
      <sharedItems containsBlank="1" count="36">
        <s v="4.2 Anti-tuberculosis medicines"/>
        <s v="5.4 Rapid Diagnostic Test"/>
        <s v="5.6 Laboratory reagents"/>
        <s v="5.7 Syringes and needles"/>
        <s v="5.8 Other consumables"/>
        <s v="6.3 Microscopes"/>
        <s v="6.4 TB Molecular Test equipment"/>
        <s v="6.6 Other health equipment"/>
        <s v="7.7 Other PSM costs"/>
        <s v="5.2 Condoms - Male"/>
        <s v="5.3 Condoms - Female"/>
        <s v="4.4 Opioid substitution medicines"/>
        <s v="4.7 Other medicines"/>
        <s v="4.1 Antiretroviral medicines"/>
        <s v="6.2 HIV Viral Load analyser/accessories"/>
        <s v="6.1 CD4 analyser/accessories"/>
        <s v="1.2 Salaries - outreach workers, medical staff and other service providers"/>
        <s v="1.1 Salaries - program management"/>
        <s v="11.1 Office related costs"/>
        <s v="1.3 Performance based suppliments, incentives"/>
        <s v="12.2 Food and care packages"/>
        <s v="9.3 Other non-health equipment"/>
        <s v="3.4 Other external professional services"/>
        <s v="2.3 Supervision/surveys/data collection related per diems/transport/other costs"/>
        <s v="12.5 Other LSCTP costs"/>
        <s v="3.1 TA Fees - Consultants"/>
        <s v="2.4 Meeting/Advocacy related per diems/transport/other costs"/>
        <s v="12.3 Cash incentives/transfer to patients/beneficiaries/counsellors/mediators"/>
        <s v="10.1 Printed materials (forms, books, guidelines, brochure, leaflets...)"/>
        <s v="2.1 Training related per diems/transport/other costs"/>
        <s v="3.3 External audit fees"/>
        <s v="2.2 Technical Assistance Fees/Consultants"/>
        <s v="7.4 In-country distribution costs"/>
        <s v="7.3 Warehouse and Storage Costs"/>
        <s v="11.3 Indirect cost recovery (ICR) - % based"/>
        <m/>
      </sharedItems>
    </cacheField>
    <cacheField name="Component" numFmtId="0">
      <sharedItems containsBlank="1" count="5">
        <s v="TB"/>
        <s v="HIV"/>
        <s v="TB/HIV"/>
        <s v="MOH"/>
        <m/>
      </sharedItems>
    </cacheField>
    <cacheField name="Cost Input No" numFmtId="0">
      <sharedItems containsString="0" containsBlank="1" containsNumber="1" minValue="1.1000000000000001" maxValue="12.5"/>
    </cacheField>
    <cacheField name="Implementer" numFmtId="0">
      <sharedItems containsBlank="1"/>
    </cacheField>
    <cacheField name="Recipient Type" numFmtId="0">
      <sharedItems containsBlank="1" count="3">
        <s v="PR"/>
        <s v="SR"/>
        <m/>
      </sharedItems>
    </cacheField>
    <cacheField name="Type of Implementation Entity" numFmtId="0">
      <sharedItems containsBlank="1"/>
    </cacheField>
    <cacheField name="Currency" numFmtId="0">
      <sharedItems containsBlank="1"/>
    </cacheField>
    <cacheField name="Unit of Measure" numFmtId="0">
      <sharedItems containsBlank="1"/>
    </cacheField>
    <cacheField name="Cost Grouping No" numFmtId="0">
      <sharedItems containsString="0" containsBlank="1" containsNumber="1" containsInteger="1" minValue="1" maxValue="12"/>
    </cacheField>
    <cacheField name="Payment Currency" numFmtId="0">
      <sharedItems containsBlank="1"/>
    </cacheField>
    <cacheField name="Currency2" numFmtId="0">
      <sharedItems containsBlank="1"/>
    </cacheField>
    <cacheField name="Y1 Unit Cost (Payment Currency)" numFmtId="0">
      <sharedItems containsString="0" containsBlank="1" containsNumber="1" minValue="7.0000000000000007E-2" maxValue="7359699.7306415373"/>
    </cacheField>
    <cacheField name="Y1 Unit Cost (Grant Currency)" numFmtId="0">
      <sharedItems containsString="0" containsBlank="1" containsNumber="1" minValue="7.0000000000000007E-2" maxValue="200662.65065"/>
    </cacheField>
    <cacheField name="Q1 Quantity" numFmtId="0">
      <sharedItems containsString="0" containsBlank="1" containsNumber="1" minValue="1" maxValue="7818121.8558877297"/>
    </cacheField>
    <cacheField name="Q1 Cash Outflow" numFmtId="165">
      <sharedItems containsMixedTypes="1" containsNumber="1" minValue="109.64912280701753" maxValue="8365390.3857998708"/>
    </cacheField>
    <cacheField name="Q1 Revised Cash Outflow" numFmtId="165">
      <sharedItems containsString="0" containsBlank="1" containsNumber="1" minValue="0" maxValue="2271228.5300397398"/>
    </cacheField>
    <cacheField name="Q2 Quantity" numFmtId="165">
      <sharedItems containsString="0" containsBlank="1" containsNumber="1" minValue="0" maxValue="6840"/>
    </cacheField>
    <cacheField name="Q2 Cash Outflow" numFmtId="165">
      <sharedItems containsBlank="1" containsMixedTypes="1" containsNumber="1" minValue="0" maxValue="1522762.9681292491"/>
    </cacheField>
    <cacheField name="Q2 Revised Cash Outflow" numFmtId="165">
      <sharedItems containsSemiMixedTypes="0" containsString="0" containsNumber="1" minValue="0" maxValue="1238146.3553090382"/>
    </cacheField>
    <cacheField name="Q3 Quantity" numFmtId="165">
      <sharedItems containsNonDate="0" containsString="0" containsBlank="1"/>
    </cacheField>
    <cacheField name="Q3 Cash Outflow " numFmtId="165">
      <sharedItems containsBlank="1"/>
    </cacheField>
    <cacheField name="Q4 Quantity" numFmtId="165">
      <sharedItems containsNonDate="0" containsString="0" containsBlank="1"/>
    </cacheField>
    <cacheField name="Q4 Cash Outflow" numFmtId="165">
      <sharedItems containsBlank="1"/>
    </cacheField>
    <cacheField name="Y1 Total Quantity" numFmtId="165">
      <sharedItems containsSemiMixedTypes="0" containsString="0" containsNumber="1" minValue="1" maxValue="15663091.207828093"/>
    </cacheField>
    <cacheField name="Y1 Total Cash Outflow" numFmtId="165">
      <sharedItems containsSemiMixedTypes="0" containsString="0" containsNumber="1" minValue="154.44" maxValue="9994746.7616981622"/>
    </cacheField>
    <cacheField name="Y1 Revised 1-4" numFmtId="165">
      <sharedItems containsSemiMixedTypes="0" containsString="0" containsNumber="1" minValue="0" maxValue="3509374.8853487778"/>
    </cacheField>
    <cacheField name="Y2 Unit Cost (Payment Currency)" numFmtId="165">
      <sharedItems containsNonDate="0" containsString="0" containsBlank="1"/>
    </cacheField>
    <cacheField name="Y2 Unit Cost (Grant Currency)" numFmtId="165">
      <sharedItems containsBlank="1"/>
    </cacheField>
    <cacheField name="Q5 Quantity" numFmtId="165">
      <sharedItems containsNonDate="0" containsString="0" containsBlank="1"/>
    </cacheField>
    <cacheField name="Q5 Cash Outflow" numFmtId="165">
      <sharedItems containsBlank="1"/>
    </cacheField>
    <cacheField name="Q6 Quantity" numFmtId="165">
      <sharedItems containsNonDate="0" containsString="0" containsBlank="1"/>
    </cacheField>
    <cacheField name="Q6 Cash Outflow" numFmtId="165">
      <sharedItems containsBlank="1"/>
    </cacheField>
    <cacheField name="Q7 Quantity" numFmtId="165">
      <sharedItems containsNonDate="0" containsString="0" containsBlank="1"/>
    </cacheField>
    <cacheField name="Q7 Cash Outflow" numFmtId="165">
      <sharedItems containsBlank="1"/>
    </cacheField>
    <cacheField name="Q8 Quantity" numFmtId="165">
      <sharedItems containsNonDate="0" containsString="0" containsBlank="1"/>
    </cacheField>
    <cacheField name="Q8 Cash Outflow" numFmtId="165">
      <sharedItems containsBlank="1"/>
    </cacheField>
    <cacheField name="Y2 Total Quantity" numFmtId="165">
      <sharedItems containsBlank="1"/>
    </cacheField>
    <cacheField name="Y2 Total Cash Outflow" numFmtId="165">
      <sharedItems containsBlank="1"/>
    </cacheField>
    <cacheField name="c" numFmtId="165">
      <sharedItems containsNonDate="0" containsString="0" containsBlank="1"/>
    </cacheField>
    <cacheField name="Y3 Unit Cost (Payment Currency)" numFmtId="165">
      <sharedItems containsNonDate="0" containsString="0" containsBlank="1"/>
    </cacheField>
    <cacheField name="Y3 Unit Cost (Grant Currency)" numFmtId="165">
      <sharedItems containsBlank="1"/>
    </cacheField>
    <cacheField name="Q9 Quantity" numFmtId="165">
      <sharedItems containsNonDate="0" containsString="0" containsBlank="1"/>
    </cacheField>
    <cacheField name="Q9 Cash Outflow" numFmtId="165">
      <sharedItems containsBlank="1"/>
    </cacheField>
    <cacheField name="Q10 Quantity" numFmtId="165">
      <sharedItems containsNonDate="0" containsString="0" containsBlank="1"/>
    </cacheField>
    <cacheField name="Q10 Cash Outflow" numFmtId="165">
      <sharedItems containsBlank="1"/>
    </cacheField>
    <cacheField name="Q11 Quantity" numFmtId="165">
      <sharedItems containsNonDate="0" containsString="0" containsBlank="1"/>
    </cacheField>
    <cacheField name="Q11 Cash Outflow" numFmtId="165">
      <sharedItems containsBlank="1"/>
    </cacheField>
    <cacheField name="Q12 Quantity" numFmtId="165">
      <sharedItems containsNonDate="0" containsString="0" containsBlank="1"/>
    </cacheField>
    <cacheField name="Q12 Cash Outflow" numFmtId="165">
      <sharedItems containsBlank="1"/>
    </cacheField>
    <cacheField name="Y3 Total Quantity" numFmtId="165">
      <sharedItems containsBlank="1"/>
    </cacheField>
    <cacheField name="Y3 Total Cash Outflow" numFmtId="165">
      <sharedItems containsBlank="1"/>
    </cacheField>
    <cacheField name="d" numFmtId="165">
      <sharedItems containsNonDate="0" containsString="0" containsBlank="1"/>
    </cacheField>
    <cacheField name="Y4 Unit Cost (Payment Currency)" numFmtId="165">
      <sharedItems containsNonDate="0" containsString="0" containsBlank="1"/>
    </cacheField>
    <cacheField name="Y4 Unit Cost (Grant Currency)" numFmtId="165">
      <sharedItems containsBlank="1"/>
    </cacheField>
    <cacheField name="Q13 Quantity" numFmtId="165">
      <sharedItems containsNonDate="0" containsString="0" containsBlank="1"/>
    </cacheField>
    <cacheField name="Q13 Cash Outflow" numFmtId="165">
      <sharedItems containsBlank="1"/>
    </cacheField>
    <cacheField name="Q14 Quantity" numFmtId="165">
      <sharedItems containsNonDate="0" containsString="0" containsBlank="1"/>
    </cacheField>
    <cacheField name="Q14 Cash Outflow" numFmtId="165">
      <sharedItems containsBlank="1"/>
    </cacheField>
    <cacheField name="Q15 Quantity" numFmtId="165">
      <sharedItems containsNonDate="0" containsString="0" containsBlank="1"/>
    </cacheField>
    <cacheField name="Q15 Cash Outflow" numFmtId="165">
      <sharedItems containsBlank="1"/>
    </cacheField>
    <cacheField name="Q16 Quantity" numFmtId="165">
      <sharedItems containsNonDate="0" containsString="0" containsBlank="1"/>
    </cacheField>
    <cacheField name="Q16 Cash Outflow" numFmtId="165">
      <sharedItems containsBlank="1"/>
    </cacheField>
    <cacheField name="Y4 Total Quantity" numFmtId="165">
      <sharedItems containsBlank="1"/>
    </cacheField>
    <cacheField name="Y4 Total Cash Outflow" numFmtId="165">
      <sharedItems containsBlank="1"/>
    </cacheField>
    <cacheField name="e" numFmtId="165">
      <sharedItems containsNonDate="0" containsString="0" containsBlank="1"/>
    </cacheField>
    <cacheField name="Y1-4 Total Quantity" numFmtId="165">
      <sharedItems containsString="0" containsBlank="1" containsNumber="1" minValue="1" maxValue="9340884.824016979"/>
    </cacheField>
    <cacheField name="Y1-4 Total Cash Outflow" numFmtId="165">
      <sharedItems containsSemiMixedTypes="0" containsString="0" containsNumber="1" minValue="154.44" maxValue="9994746.7616981622"/>
    </cacheField>
    <cacheField name="Assumptions to Support Unit Cost" numFmtId="0">
      <sharedItems containsBlank="1"/>
    </cacheField>
    <cacheField name="Justification/Comments" numFmtId="0">
      <sharedItems containsBlank="1"/>
    </cacheField>
    <cacheField name="Changes" numFmtId="165">
      <sharedItems containsSemiMixedTypes="0" containsString="0" containsNumber="1" minValue="-8504.6600000000017" maxValue="6485371.87634938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ena Mikhalchenko" refreshedDate="43073.520304398146" createdVersion="5" refreshedVersion="5" minRefreshableVersion="3" recordCount="153">
  <cacheSource type="worksheet">
    <worksheetSource ref="A2:BW155" sheet="Detailed Budget" r:id="rId2"/>
  </cacheSource>
  <cacheFields count="75">
    <cacheField name="Budget Line No." numFmtId="0">
      <sharedItems containsString="0" containsBlank="1" containsNumber="1" containsInteger="1" minValue="1" maxValue="152"/>
    </cacheField>
    <cacheField name="SA" numFmtId="0">
      <sharedItems containsBlank="1"/>
    </cacheField>
    <cacheField name="Module" numFmtId="0">
      <sharedItems containsBlank="1"/>
    </cacheField>
    <cacheField name="Intervention" numFmtId="0">
      <sharedItems containsBlank="1"/>
    </cacheField>
    <cacheField name="Activity Description" numFmtId="0">
      <sharedItems containsBlank="1" longText="1"/>
    </cacheField>
    <cacheField name="Cost Input" numFmtId="0">
      <sharedItems containsBlank="1" count="36">
        <s v="4.2 Anti-tuberculosis medicines"/>
        <s v="5.4 Rapid Diagnostic Test"/>
        <s v="5.6 Laboratory reagents"/>
        <s v="5.7 Syringes and needles"/>
        <s v="5.8 Other consumables"/>
        <s v="6.3 Microscopes"/>
        <s v="6.4 TB Molecular Test equipment"/>
        <s v="6.6 Other health equipment"/>
        <s v="7.7 Other PSM costs"/>
        <s v="5.2 Condoms - Male"/>
        <s v="5.3 Condoms - Female"/>
        <s v="4.4 Opioid substitution medicines"/>
        <s v="4.7 Other medicines"/>
        <s v="4.1 Antiretroviral medicines"/>
        <s v="6.2 HIV Viral Load analyser/accessories"/>
        <s v="6.1 CD4 analyser/accessories"/>
        <s v="1.2 Salaries - outreach workers, medical staff and other service providers"/>
        <s v="1.1 Salaries - program management"/>
        <s v="11.1 Office related costs"/>
        <s v="1.3 Performance based suppliments, incentives"/>
        <s v="12.2 Food and care packages"/>
        <s v="9.3 Other non-health equipment"/>
        <s v="3.4 Other external professional services"/>
        <s v="2.3 Supervision/surveys/data collection related per diems/transport/other costs"/>
        <s v="12.5 Other LSCTP costs"/>
        <s v="3.1 TA Fees - Consultants"/>
        <s v="2.4 Meeting/Advocacy related per diems/transport/other costs"/>
        <s v="12.3 Cash incentives/transfer to patients/beneficiaries/counsellors/mediators"/>
        <s v="10.1 Printed materials (forms, books, guidelines, brochure, leaflets...)"/>
        <s v="2.1 Training related per diems/transport/other costs"/>
        <s v="3.3 External audit fees"/>
        <s v="2.2 Technical Assistance Fees/Consultants"/>
        <s v="7.4 In-country distribution costs"/>
        <s v="7.3 Warehouse and Storage Costs"/>
        <s v="11.3 Indirect cost recovery (ICR) - % based"/>
        <m/>
      </sharedItems>
    </cacheField>
    <cacheField name="Component" numFmtId="0">
      <sharedItems containsBlank="1" count="5">
        <s v="TB"/>
        <s v="HIV"/>
        <s v="TB/HIV"/>
        <s v="MOH"/>
        <m/>
      </sharedItems>
    </cacheField>
    <cacheField name="Cost Input No" numFmtId="0">
      <sharedItems containsString="0" containsBlank="1" containsNumber="1" minValue="1.1000000000000001" maxValue="12.5"/>
    </cacheField>
    <cacheField name="Implementer" numFmtId="0">
      <sharedItems containsBlank="1"/>
    </cacheField>
    <cacheField name="Recipient Type" numFmtId="0">
      <sharedItems containsBlank="1" count="3">
        <s v="PR"/>
        <s v="SR"/>
        <m/>
      </sharedItems>
    </cacheField>
    <cacheField name="Type of Implementation Entity" numFmtId="0">
      <sharedItems containsBlank="1"/>
    </cacheField>
    <cacheField name="Currency" numFmtId="0">
      <sharedItems containsBlank="1"/>
    </cacheField>
    <cacheField name="Unit of Measure" numFmtId="0">
      <sharedItems containsBlank="1"/>
    </cacheField>
    <cacheField name="Cost Grouping No" numFmtId="0">
      <sharedItems containsString="0" containsBlank="1" containsNumber="1" containsInteger="1" minValue="1" maxValue="12"/>
    </cacheField>
    <cacheField name="Payment Currency" numFmtId="0">
      <sharedItems containsBlank="1"/>
    </cacheField>
    <cacheField name="Currency2" numFmtId="0">
      <sharedItems containsBlank="1"/>
    </cacheField>
    <cacheField name="Y1 Unit Cost (Payment Currency)" numFmtId="0">
      <sharedItems containsString="0" containsBlank="1" containsNumber="1" minValue="7.0000000000000007E-2" maxValue="7359699.7306415373"/>
    </cacheField>
    <cacheField name="Y1 Unit Cost (Grant Currency)" numFmtId="0">
      <sharedItems containsString="0" containsBlank="1" containsNumber="1" minValue="7.0000000000000007E-2" maxValue="200662.65065"/>
    </cacheField>
    <cacheField name="Q1 Quantity" numFmtId="0">
      <sharedItems containsString="0" containsBlank="1" containsNumber="1" minValue="1" maxValue="7818121.8558877297"/>
    </cacheField>
    <cacheField name="Q1 Cash Outflow" numFmtId="165">
      <sharedItems containsMixedTypes="1" containsNumber="1" minValue="109.64912280701753" maxValue="8365390.3857998708"/>
    </cacheField>
    <cacheField name="Q1 Revised Cash Outflow" numFmtId="165">
      <sharedItems containsString="0" containsBlank="1" containsNumber="1" minValue="0" maxValue="2271228.5300397398"/>
    </cacheField>
    <cacheField name="Q2 Quantity" numFmtId="165">
      <sharedItems containsString="0" containsBlank="1" containsNumber="1" minValue="0" maxValue="6840"/>
    </cacheField>
    <cacheField name="Q2 Cash Outflow" numFmtId="165">
      <sharedItems containsBlank="1" containsMixedTypes="1" containsNumber="1" minValue="0" maxValue="1522762.9681292491"/>
    </cacheField>
    <cacheField name="Q2 Revised Cash Outflow" numFmtId="165">
      <sharedItems containsSemiMixedTypes="0" containsString="0" containsNumber="1" minValue="0" maxValue="1238146.3553090382"/>
    </cacheField>
    <cacheField name="Q3 Quantity" numFmtId="165">
      <sharedItems containsNonDate="0" containsString="0" containsBlank="1"/>
    </cacheField>
    <cacheField name="Q3 Cash Outflow " numFmtId="165">
      <sharedItems containsBlank="1"/>
    </cacheField>
    <cacheField name="Q4 Quantity" numFmtId="165">
      <sharedItems containsNonDate="0" containsString="0" containsBlank="1"/>
    </cacheField>
    <cacheField name="Q4 Cash Outflow" numFmtId="165">
      <sharedItems containsBlank="1"/>
    </cacheField>
    <cacheField name="Y1 Total Quantity" numFmtId="165">
      <sharedItems containsSemiMixedTypes="0" containsString="0" containsNumber="1" minValue="1" maxValue="15663091.207828093"/>
    </cacheField>
    <cacheField name="Y1 Total Cash Outflow" numFmtId="165">
      <sharedItems containsSemiMixedTypes="0" containsString="0" containsNumber="1" minValue="154.44" maxValue="9994746.7616981622"/>
    </cacheField>
    <cacheField name="Y1 Revised 1-4" numFmtId="165">
      <sharedItems containsSemiMixedTypes="0" containsString="0" containsNumber="1" minValue="0" maxValue="3509374.8853487778"/>
    </cacheField>
    <cacheField name="Y2 Unit Cost (Payment Currency)" numFmtId="165">
      <sharedItems containsNonDate="0" containsString="0" containsBlank="1"/>
    </cacheField>
    <cacheField name="Y2 Unit Cost (Grant Currency)" numFmtId="165">
      <sharedItems containsBlank="1"/>
    </cacheField>
    <cacheField name="Q5 Quantity" numFmtId="165">
      <sharedItems containsNonDate="0" containsString="0" containsBlank="1"/>
    </cacheField>
    <cacheField name="Q5 Cash Outflow" numFmtId="165">
      <sharedItems containsBlank="1"/>
    </cacheField>
    <cacheField name="Q6 Quantity" numFmtId="165">
      <sharedItems containsNonDate="0" containsString="0" containsBlank="1"/>
    </cacheField>
    <cacheField name="Q6 Cash Outflow" numFmtId="165">
      <sharedItems containsBlank="1"/>
    </cacheField>
    <cacheField name="Q7 Quantity" numFmtId="165">
      <sharedItems containsNonDate="0" containsString="0" containsBlank="1"/>
    </cacheField>
    <cacheField name="Q7 Cash Outflow" numFmtId="165">
      <sharedItems containsBlank="1"/>
    </cacheField>
    <cacheField name="Q8 Quantity" numFmtId="165">
      <sharedItems containsNonDate="0" containsString="0" containsBlank="1"/>
    </cacheField>
    <cacheField name="Q8 Cash Outflow" numFmtId="165">
      <sharedItems containsBlank="1"/>
    </cacheField>
    <cacheField name="Y2 Total Quantity" numFmtId="165">
      <sharedItems containsBlank="1"/>
    </cacheField>
    <cacheField name="Y2 Total Cash Outflow" numFmtId="165">
      <sharedItems containsBlank="1"/>
    </cacheField>
    <cacheField name="c" numFmtId="165">
      <sharedItems containsNonDate="0" containsString="0" containsBlank="1"/>
    </cacheField>
    <cacheField name="Y3 Unit Cost (Payment Currency)" numFmtId="165">
      <sharedItems containsNonDate="0" containsString="0" containsBlank="1"/>
    </cacheField>
    <cacheField name="Y3 Unit Cost (Grant Currency)" numFmtId="165">
      <sharedItems containsBlank="1"/>
    </cacheField>
    <cacheField name="Q9 Quantity" numFmtId="165">
      <sharedItems containsNonDate="0" containsString="0" containsBlank="1"/>
    </cacheField>
    <cacheField name="Q9 Cash Outflow" numFmtId="165">
      <sharedItems containsBlank="1"/>
    </cacheField>
    <cacheField name="Q10 Quantity" numFmtId="165">
      <sharedItems containsNonDate="0" containsString="0" containsBlank="1"/>
    </cacheField>
    <cacheField name="Q10 Cash Outflow" numFmtId="165">
      <sharedItems containsBlank="1"/>
    </cacheField>
    <cacheField name="Q11 Quantity" numFmtId="165">
      <sharedItems containsNonDate="0" containsString="0" containsBlank="1"/>
    </cacheField>
    <cacheField name="Q11 Cash Outflow" numFmtId="165">
      <sharedItems containsBlank="1"/>
    </cacheField>
    <cacheField name="Q12 Quantity" numFmtId="165">
      <sharedItems containsNonDate="0" containsString="0" containsBlank="1"/>
    </cacheField>
    <cacheField name="Q12 Cash Outflow" numFmtId="165">
      <sharedItems containsBlank="1"/>
    </cacheField>
    <cacheField name="Y3 Total Quantity" numFmtId="165">
      <sharedItems containsBlank="1"/>
    </cacheField>
    <cacheField name="Y3 Total Cash Outflow" numFmtId="165">
      <sharedItems containsBlank="1"/>
    </cacheField>
    <cacheField name="d" numFmtId="165">
      <sharedItems containsNonDate="0" containsString="0" containsBlank="1"/>
    </cacheField>
    <cacheField name="Y4 Unit Cost (Payment Currency)" numFmtId="165">
      <sharedItems containsNonDate="0" containsString="0" containsBlank="1"/>
    </cacheField>
    <cacheField name="Y4 Unit Cost (Grant Currency)" numFmtId="165">
      <sharedItems containsBlank="1"/>
    </cacheField>
    <cacheField name="Q13 Quantity" numFmtId="165">
      <sharedItems containsNonDate="0" containsString="0" containsBlank="1"/>
    </cacheField>
    <cacheField name="Q13 Cash Outflow" numFmtId="165">
      <sharedItems containsBlank="1"/>
    </cacheField>
    <cacheField name="Q14 Quantity" numFmtId="165">
      <sharedItems containsNonDate="0" containsString="0" containsBlank="1"/>
    </cacheField>
    <cacheField name="Q14 Cash Outflow" numFmtId="165">
      <sharedItems containsBlank="1"/>
    </cacheField>
    <cacheField name="Q15 Quantity" numFmtId="165">
      <sharedItems containsNonDate="0" containsString="0" containsBlank="1"/>
    </cacheField>
    <cacheField name="Q15 Cash Outflow" numFmtId="165">
      <sharedItems containsBlank="1"/>
    </cacheField>
    <cacheField name="Q16 Quantity" numFmtId="165">
      <sharedItems containsNonDate="0" containsString="0" containsBlank="1"/>
    </cacheField>
    <cacheField name="Q16 Cash Outflow" numFmtId="165">
      <sharedItems containsBlank="1"/>
    </cacheField>
    <cacheField name="Y4 Total Quantity" numFmtId="165">
      <sharedItems containsBlank="1"/>
    </cacheField>
    <cacheField name="Y4 Total Cash Outflow" numFmtId="165">
      <sharedItems containsBlank="1"/>
    </cacheField>
    <cacheField name="e" numFmtId="165">
      <sharedItems containsNonDate="0" containsString="0" containsBlank="1"/>
    </cacheField>
    <cacheField name="Y1-4 Total Quantity" numFmtId="165">
      <sharedItems containsString="0" containsBlank="1" containsNumber="1" minValue="1" maxValue="9340884.824016979"/>
    </cacheField>
    <cacheField name="Y1-4 Total Cash Outflow" numFmtId="165">
      <sharedItems containsSemiMixedTypes="0" containsString="0" containsNumber="1" minValue="154.44" maxValue="9994746.7616981622"/>
    </cacheField>
    <cacheField name="Assumptions to Support Unit Cost" numFmtId="0">
      <sharedItems containsBlank="1"/>
    </cacheField>
    <cacheField name="Justification/Comments" numFmtId="0">
      <sharedItems containsBlank="1"/>
    </cacheField>
    <cacheField name="Changes" numFmtId="165">
      <sharedItems containsSemiMixedTypes="0" containsString="0" containsNumber="1" minValue="-8504.6600000000017" maxValue="6485371.87634938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3">
  <r>
    <n v="1"/>
    <m/>
    <s v="MDR-TB"/>
    <s v="Treatment: MDR-TB"/>
    <s v="Capreomycin; Imipenem/Cilastatin; Kanamycin; Bedaquiline; Amoxicillin/Clavulanic acid; Cycloserine; Levofloxacin; Moxifloxacin; Para-AminoSalicylate Sodium; Prothionamide; Clofazimine; Delamanid; Water for injection; Ethambutol; Isoniazid/Rifampicin; Isoniazid/Pyrazinamide/Rifampicin; Linezolide; "/>
    <x v="0"/>
    <x v="0"/>
    <n v="4.2"/>
    <s v="United Nations Development Programme"/>
    <x v="0"/>
    <s v="Multilateral – UNDP"/>
    <s v="USD"/>
    <s v="Cost of a pack"/>
    <n v="4"/>
    <s v="USD"/>
    <s v="Grant"/>
    <n v="1"/>
    <n v="1"/>
    <n v="2315256.17"/>
    <n v="2315256.17"/>
    <n v="424400.5"/>
    <m/>
    <s v=""/>
    <n v="424400.5"/>
    <m/>
    <s v=""/>
    <m/>
    <s v=""/>
    <n v="2315256.17"/>
    <n v="2315256.17"/>
    <n v="848801"/>
    <m/>
    <s v=""/>
    <m/>
    <s v=""/>
    <m/>
    <s v=""/>
    <m/>
    <s v=""/>
    <m/>
    <s v=""/>
    <s v=""/>
    <s v=""/>
    <m/>
    <m/>
    <s v=""/>
    <m/>
    <s v=""/>
    <m/>
    <s v=""/>
    <m/>
    <s v=""/>
    <m/>
    <s v=""/>
    <s v=""/>
    <s v=""/>
    <m/>
    <m/>
    <s v=""/>
    <m/>
    <s v=""/>
    <m/>
    <s v=""/>
    <m/>
    <s v=""/>
    <m/>
    <s v=""/>
    <s v=""/>
    <s v=""/>
    <m/>
    <n v="2315256.17"/>
    <n v="2315256.17"/>
    <s v="PSM Products &amp; Costs"/>
    <s v="as per detailed LOHP"/>
    <n v="1466455.17"/>
  </r>
  <r>
    <n v="2"/>
    <m/>
    <s v="MDR-TB"/>
    <s v="Case detection and diagnosis: MDR-TB"/>
    <s v="Rapid Diagnostic Test - Tuberculosis; "/>
    <x v="1"/>
    <x v="0"/>
    <n v="5.4"/>
    <s v="United Nations Development Programme"/>
    <x v="0"/>
    <s v="Multilateral – UNDP"/>
    <s v="USD"/>
    <s v="Cost of a pack"/>
    <n v="5"/>
    <s v="USD"/>
    <s v="Grant"/>
    <n v="1"/>
    <n v="1"/>
    <n v="7650"/>
    <n v="7650"/>
    <n v="3825"/>
    <m/>
    <s v=""/>
    <n v="0"/>
    <m/>
    <s v=""/>
    <m/>
    <s v=""/>
    <n v="7650"/>
    <n v="7650"/>
    <n v="3825"/>
    <m/>
    <s v=""/>
    <m/>
    <s v=""/>
    <m/>
    <s v=""/>
    <m/>
    <s v=""/>
    <m/>
    <s v=""/>
    <s v=""/>
    <s v=""/>
    <m/>
    <m/>
    <s v=""/>
    <m/>
    <s v=""/>
    <m/>
    <s v=""/>
    <m/>
    <s v=""/>
    <m/>
    <s v=""/>
    <s v=""/>
    <s v=""/>
    <m/>
    <m/>
    <s v=""/>
    <m/>
    <s v=""/>
    <m/>
    <s v=""/>
    <m/>
    <s v=""/>
    <m/>
    <s v=""/>
    <s v=""/>
    <s v=""/>
    <m/>
    <n v="7650"/>
    <n v="7650"/>
    <s v="PSM Products &amp; Costs"/>
    <s v="as per detailed LOHP"/>
    <n v="3825"/>
  </r>
  <r>
    <n v="3"/>
    <m/>
    <s v="MDR-TB"/>
    <s v="Case detection and diagnosis: MDR-TB"/>
    <s v="Pipette; 4-NITROBENZOIC ACID; AURAMINE O; BAG, WASTE BIOHAZARD; BARIUM CHLORIDE; CAPREOMYCIN sulfate; CHLORINE TABLETS;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
    <x v="2"/>
    <x v="0"/>
    <n v="5.6"/>
    <s v="United Nations Development Programme"/>
    <x v="0"/>
    <s v="Multilateral – UNDP"/>
    <s v="USD"/>
    <s v="N/A"/>
    <n v="5"/>
    <s v="USD"/>
    <s v="Grant"/>
    <n v="1"/>
    <n v="1"/>
    <n v="60993.8"/>
    <n v="60993.8"/>
    <n v="0"/>
    <m/>
    <s v=""/>
    <n v="0"/>
    <m/>
    <s v=""/>
    <m/>
    <s v=""/>
    <n v="60993.8"/>
    <n v="60993.8"/>
    <n v="0"/>
    <m/>
    <s v=""/>
    <m/>
    <s v=""/>
    <m/>
    <s v=""/>
    <m/>
    <s v=""/>
    <m/>
    <s v=""/>
    <s v=""/>
    <s v=""/>
    <m/>
    <m/>
    <s v=""/>
    <m/>
    <s v=""/>
    <m/>
    <s v=""/>
    <m/>
    <s v=""/>
    <m/>
    <s v=""/>
    <s v=""/>
    <s v=""/>
    <m/>
    <m/>
    <s v=""/>
    <m/>
    <s v=""/>
    <m/>
    <s v=""/>
    <m/>
    <s v=""/>
    <m/>
    <s v=""/>
    <s v=""/>
    <s v=""/>
    <m/>
    <n v="60993.8"/>
    <n v="60993.8"/>
    <s v="PSM Products &amp; Costs"/>
    <s v="as per detailed LOHP"/>
    <n v="60993.8"/>
  </r>
  <r>
    <n v="4"/>
    <m/>
    <s v="MDR-TB"/>
    <s v="Treatment: MDR-TB"/>
    <s v="Syringe &amp; needle; "/>
    <x v="3"/>
    <x v="0"/>
    <n v="5.7"/>
    <s v="United Nations Development Programme"/>
    <x v="0"/>
    <s v="Multilateral – UNDP"/>
    <s v="USD"/>
    <s v="Cost of a pack"/>
    <n v="5"/>
    <s v="USD"/>
    <s v="Grant"/>
    <n v="1"/>
    <n v="1"/>
    <n v="51614.64"/>
    <n v="51614.64"/>
    <n v="18997"/>
    <m/>
    <s v=""/>
    <n v="0"/>
    <m/>
    <s v=""/>
    <m/>
    <s v=""/>
    <n v="51614.64"/>
    <n v="51614.64"/>
    <n v="18997"/>
    <m/>
    <s v=""/>
    <m/>
    <s v=""/>
    <m/>
    <s v=""/>
    <m/>
    <s v=""/>
    <m/>
    <s v=""/>
    <s v=""/>
    <s v=""/>
    <m/>
    <m/>
    <s v=""/>
    <m/>
    <s v=""/>
    <m/>
    <s v=""/>
    <m/>
    <s v=""/>
    <m/>
    <s v=""/>
    <s v=""/>
    <s v=""/>
    <m/>
    <m/>
    <s v=""/>
    <m/>
    <s v=""/>
    <m/>
    <s v=""/>
    <m/>
    <s v=""/>
    <m/>
    <s v=""/>
    <s v=""/>
    <s v=""/>
    <m/>
    <n v="51614.64"/>
    <n v="51614.64"/>
    <s v="PSM Products &amp; Costs"/>
    <s v="as per detailed LOHP"/>
    <n v="32617.64"/>
  </r>
  <r>
    <n v="5"/>
    <m/>
    <s v="MDR-TB"/>
    <s v="Case detection and diagnosis: MDR-TB"/>
    <s v="Disposable GOWNS; FILM SEALING (PARAFILM) ; FILTER; GLOVE; GLYCEROL; MICROTUBE; OIL, IMMERSION; RESPIRATOR; PCR tube; PETRI DISH; PHENOL; PIPETTE; TUBE, CENTRIFUGE; WATER, pure molecular ; Applicature stick; Sputum containers; Surgical masks; X-ray films; "/>
    <x v="4"/>
    <x v="0"/>
    <n v="5.8"/>
    <s v="United Nations Development Programme"/>
    <x v="0"/>
    <s v="Multilateral – UNDP"/>
    <s v="USD"/>
    <s v="N/A"/>
    <n v="5"/>
    <s v="USD"/>
    <s v="Grant"/>
    <n v="1"/>
    <n v="1"/>
    <n v="126357"/>
    <n v="126357"/>
    <n v="0"/>
    <m/>
    <s v=""/>
    <n v="0"/>
    <m/>
    <s v=""/>
    <m/>
    <s v=""/>
    <n v="126357"/>
    <n v="126357"/>
    <n v="0"/>
    <m/>
    <s v=""/>
    <m/>
    <s v=""/>
    <m/>
    <s v=""/>
    <m/>
    <s v=""/>
    <m/>
    <s v=""/>
    <s v=""/>
    <s v=""/>
    <m/>
    <m/>
    <s v=""/>
    <m/>
    <s v=""/>
    <m/>
    <s v=""/>
    <m/>
    <s v=""/>
    <m/>
    <s v=""/>
    <s v=""/>
    <s v=""/>
    <m/>
    <m/>
    <s v=""/>
    <m/>
    <s v=""/>
    <m/>
    <s v=""/>
    <m/>
    <s v=""/>
    <m/>
    <s v=""/>
    <s v=""/>
    <s v=""/>
    <m/>
    <n v="126357"/>
    <n v="126357"/>
    <s v="PSM Products &amp; Costs"/>
    <s v="as per detailed LOHP"/>
    <n v="126357"/>
  </r>
  <r>
    <n v="6"/>
    <m/>
    <s v="MDR-TB"/>
    <s v="Treatment: MDR-TB"/>
    <s v="Port system; Huber needles; NaCl 0,9% vial; Intravenous dispenser system; Gloves sterile for Imipenem/Cilastatin; "/>
    <x v="4"/>
    <x v="0"/>
    <n v="5.8"/>
    <s v="United Nations Development Programme"/>
    <x v="0"/>
    <s v="Multilateral – UNDP"/>
    <s v="USD"/>
    <s v="N/A"/>
    <n v="5"/>
    <s v="USD"/>
    <s v="Grant"/>
    <n v="1"/>
    <n v="1"/>
    <n v="73572.42"/>
    <n v="73572.42"/>
    <n v="0"/>
    <m/>
    <s v=""/>
    <n v="0"/>
    <m/>
    <s v=""/>
    <m/>
    <s v=""/>
    <n v="73572.42"/>
    <n v="73572.42"/>
    <n v="0"/>
    <m/>
    <s v=""/>
    <m/>
    <s v=""/>
    <m/>
    <s v=""/>
    <m/>
    <s v=""/>
    <m/>
    <s v=""/>
    <s v=""/>
    <s v=""/>
    <m/>
    <m/>
    <s v=""/>
    <m/>
    <s v=""/>
    <m/>
    <s v=""/>
    <m/>
    <s v=""/>
    <m/>
    <s v=""/>
    <s v=""/>
    <s v=""/>
    <m/>
    <m/>
    <s v=""/>
    <m/>
    <s v=""/>
    <m/>
    <s v=""/>
    <m/>
    <s v=""/>
    <m/>
    <s v=""/>
    <s v=""/>
    <s v=""/>
    <m/>
    <n v="73572.42"/>
    <n v="73572.42"/>
    <s v="PSM Products &amp; Costs"/>
    <s v="as per detailed LOHP"/>
    <n v="73572.42"/>
  </r>
  <r>
    <n v="7"/>
    <m/>
    <s v="MDR-TB"/>
    <s v="Case detection and diagnosis: MDR-TB"/>
    <s v="Microscopes &amp; accessories; "/>
    <x v="5"/>
    <x v="0"/>
    <n v="6.3"/>
    <s v="United Nations Development Programme"/>
    <x v="0"/>
    <s v="Multilateral – UNDP"/>
    <s v="USD"/>
    <s v="Cost of a pack"/>
    <n v="6"/>
    <s v="USD"/>
    <s v="Grant"/>
    <n v="1"/>
    <n v="1"/>
    <n v="2460"/>
    <n v="2460"/>
    <n v="0"/>
    <m/>
    <s v=""/>
    <n v="0"/>
    <m/>
    <s v=""/>
    <m/>
    <s v=""/>
    <n v="2460"/>
    <n v="2460"/>
    <n v="0"/>
    <m/>
    <s v=""/>
    <m/>
    <s v=""/>
    <m/>
    <s v=""/>
    <m/>
    <s v=""/>
    <m/>
    <s v=""/>
    <s v=""/>
    <s v=""/>
    <m/>
    <m/>
    <s v=""/>
    <m/>
    <s v=""/>
    <m/>
    <s v=""/>
    <m/>
    <s v=""/>
    <m/>
    <s v=""/>
    <s v=""/>
    <s v=""/>
    <m/>
    <m/>
    <s v=""/>
    <m/>
    <s v=""/>
    <m/>
    <s v=""/>
    <m/>
    <s v=""/>
    <m/>
    <s v=""/>
    <s v=""/>
    <s v=""/>
    <m/>
    <n v="2460"/>
    <n v="2460"/>
    <s v="PSM Products &amp; Costs"/>
    <s v="as per detailed LOHP"/>
    <n v="2460"/>
  </r>
  <r>
    <n v="8"/>
    <m/>
    <s v="MDR-TB"/>
    <s v="Case detection and diagnosis: MDR-TB"/>
    <s v="GeneXpert Instruments, Accessories  and Xpert Cartridges; HAIN LIFESCIENCE Consumables and others; "/>
    <x v="6"/>
    <x v="0"/>
    <n v="6.4"/>
    <s v="United Nations Development Programme"/>
    <x v="0"/>
    <s v="Multilateral – UNDP"/>
    <s v="USD"/>
    <s v="Cost of a pack"/>
    <n v="6"/>
    <s v="USD"/>
    <s v="Grant"/>
    <n v="1"/>
    <n v="1"/>
    <n v="535998"/>
    <n v="535998"/>
    <n v="267999"/>
    <m/>
    <s v=""/>
    <n v="0"/>
    <m/>
    <s v=""/>
    <m/>
    <s v=""/>
    <n v="535998"/>
    <n v="535998"/>
    <n v="267999"/>
    <m/>
    <s v=""/>
    <m/>
    <s v=""/>
    <m/>
    <s v=""/>
    <m/>
    <s v=""/>
    <m/>
    <s v=""/>
    <s v=""/>
    <s v=""/>
    <m/>
    <m/>
    <s v=""/>
    <m/>
    <s v=""/>
    <m/>
    <s v=""/>
    <m/>
    <s v=""/>
    <m/>
    <s v=""/>
    <s v=""/>
    <s v=""/>
    <m/>
    <m/>
    <s v=""/>
    <m/>
    <s v=""/>
    <m/>
    <s v=""/>
    <m/>
    <s v=""/>
    <m/>
    <s v=""/>
    <s v=""/>
    <s v=""/>
    <m/>
    <n v="535998"/>
    <n v="535998"/>
    <s v="PSM Products &amp; Costs"/>
    <s v="as per detailed LOHP"/>
    <n v="267999"/>
  </r>
  <r>
    <n v="9"/>
    <m/>
    <s v="MDR-TB"/>
    <s v="Case detection and diagnosis: MDR-TB"/>
    <s v="BD BACTEC MGIT 960 Consumable; "/>
    <x v="7"/>
    <x v="0"/>
    <n v="6.6"/>
    <s v="United Nations Development Programme"/>
    <x v="0"/>
    <s v="Multilateral – UNDP"/>
    <s v="USD"/>
    <s v="N/A"/>
    <n v="6"/>
    <s v="USD"/>
    <s v="Grant"/>
    <n v="1"/>
    <n v="1"/>
    <n v="155624.59999999998"/>
    <n v="155624.59999999998"/>
    <n v="86312"/>
    <m/>
    <s v=""/>
    <n v="0"/>
    <m/>
    <s v=""/>
    <m/>
    <s v=""/>
    <n v="155624.59999999998"/>
    <n v="155624.59999999998"/>
    <n v="86312"/>
    <m/>
    <s v=""/>
    <m/>
    <s v=""/>
    <m/>
    <s v=""/>
    <m/>
    <s v=""/>
    <m/>
    <s v=""/>
    <s v=""/>
    <s v=""/>
    <m/>
    <m/>
    <s v=""/>
    <m/>
    <s v=""/>
    <m/>
    <s v=""/>
    <m/>
    <s v=""/>
    <m/>
    <s v=""/>
    <s v=""/>
    <s v=""/>
    <m/>
    <m/>
    <s v=""/>
    <m/>
    <s v=""/>
    <m/>
    <s v=""/>
    <m/>
    <s v=""/>
    <m/>
    <s v=""/>
    <s v=""/>
    <s v=""/>
    <m/>
    <n v="155624.59999999998"/>
    <n v="155624.59999999998"/>
    <s v="PSM Products &amp; Costs"/>
    <s v="as per detailed LOHP"/>
    <n v="69312.599999999977"/>
  </r>
  <r>
    <n v="10"/>
    <m/>
    <s v="MDR-TB"/>
    <s v="Case detection and diagnosis: MDR-TB"/>
    <s v="Procurement fee, Insurance, Freight, Customs, In-country trans-n etc."/>
    <x v="8"/>
    <x v="0"/>
    <n v="7.7"/>
    <s v="United Nations Development Programme"/>
    <x v="0"/>
    <s v="Multilateral – UNDP"/>
    <s v="USD"/>
    <s v="N/A"/>
    <n v="7"/>
    <s v="USD"/>
    <s v="Grant"/>
    <n v="1"/>
    <n v="1"/>
    <n v="177816.68"/>
    <n v="177816.68"/>
    <n v="71627.259999999995"/>
    <m/>
    <s v=""/>
    <n v="0"/>
    <m/>
    <s v=""/>
    <m/>
    <s v=""/>
    <n v="177816.68"/>
    <n v="177816.68"/>
    <n v="71627.259999999995"/>
    <m/>
    <s v=""/>
    <m/>
    <s v=""/>
    <m/>
    <s v=""/>
    <m/>
    <s v=""/>
    <m/>
    <s v=""/>
    <s v=""/>
    <s v=""/>
    <m/>
    <m/>
    <s v=""/>
    <m/>
    <s v=""/>
    <m/>
    <s v=""/>
    <m/>
    <s v=""/>
    <m/>
    <s v=""/>
    <s v=""/>
    <s v=""/>
    <m/>
    <m/>
    <s v=""/>
    <m/>
    <s v=""/>
    <m/>
    <s v=""/>
    <m/>
    <s v=""/>
    <m/>
    <s v=""/>
    <s v=""/>
    <s v=""/>
    <m/>
    <n v="177816.68"/>
    <n v="177816.68"/>
    <s v="PSM Products &amp; Costs"/>
    <s v="as per detailed LOHP"/>
    <n v="106189.42"/>
  </r>
  <r>
    <n v="11"/>
    <m/>
    <s v="MDR-TB"/>
    <s v="Treatment: MDR-TB"/>
    <s v="Procurement fee, Insurance, Freight, Customs, In-country trans-n etc."/>
    <x v="8"/>
    <x v="0"/>
    <n v="7.7"/>
    <s v="United Nations Development Programme"/>
    <x v="0"/>
    <s v="Multilateral – UNDP"/>
    <s v="USD"/>
    <s v="N/A"/>
    <n v="7"/>
    <s v="USD"/>
    <s v="Grant"/>
    <n v="1"/>
    <n v="1"/>
    <n v="366066.48449999996"/>
    <n v="366066.48449999996"/>
    <n v="130169"/>
    <m/>
    <s v=""/>
    <n v="0"/>
    <m/>
    <s v=""/>
    <m/>
    <s v=""/>
    <n v="366066.48449999996"/>
    <n v="366066.48449999996"/>
    <n v="130169"/>
    <m/>
    <s v=""/>
    <m/>
    <s v=""/>
    <m/>
    <s v=""/>
    <m/>
    <s v=""/>
    <m/>
    <s v=""/>
    <s v=""/>
    <s v=""/>
    <m/>
    <m/>
    <s v=""/>
    <m/>
    <s v=""/>
    <m/>
    <s v=""/>
    <m/>
    <s v=""/>
    <m/>
    <s v=""/>
    <s v=""/>
    <s v=""/>
    <m/>
    <m/>
    <s v=""/>
    <m/>
    <s v=""/>
    <m/>
    <s v=""/>
    <m/>
    <s v=""/>
    <m/>
    <s v=""/>
    <s v=""/>
    <s v=""/>
    <m/>
    <n v="366066.48449999996"/>
    <n v="366066.48449999996"/>
    <s v="PSM Products &amp; Costs"/>
    <s v="as per detailed LOHP"/>
    <n v="235897.48449999996"/>
  </r>
  <r>
    <n v="12"/>
    <m/>
    <s v="Comprehensive prevention programs for sex workers and their clients"/>
    <s v="Condoms and lubricant programming for sex workers"/>
    <s v="Male Latex Condom; "/>
    <x v="9"/>
    <x v="1"/>
    <n v="5.2"/>
    <s v="United Nations Development Programme"/>
    <x v="0"/>
    <s v="Multilateral – UNDP"/>
    <s v="USD"/>
    <s v="Cost of a pack"/>
    <n v="5"/>
    <s v="USD"/>
    <s v="Grant"/>
    <n v="1"/>
    <n v="1"/>
    <n v="33596.160000000003"/>
    <n v="33596.160000000003"/>
    <n v="0"/>
    <m/>
    <s v=""/>
    <n v="0"/>
    <m/>
    <s v=""/>
    <m/>
    <s v=""/>
    <n v="33596.160000000003"/>
    <n v="33596.160000000003"/>
    <n v="0"/>
    <m/>
    <s v=""/>
    <m/>
    <s v=""/>
    <m/>
    <s v=""/>
    <m/>
    <s v=""/>
    <m/>
    <s v=""/>
    <s v=""/>
    <s v=""/>
    <m/>
    <m/>
    <s v=""/>
    <m/>
    <s v=""/>
    <m/>
    <s v=""/>
    <m/>
    <s v=""/>
    <m/>
    <s v=""/>
    <s v=""/>
    <s v=""/>
    <m/>
    <m/>
    <s v=""/>
    <m/>
    <s v=""/>
    <m/>
    <s v=""/>
    <m/>
    <s v=""/>
    <m/>
    <s v=""/>
    <s v=""/>
    <s v=""/>
    <m/>
    <n v="33596.160000000003"/>
    <n v="33596.160000000003"/>
    <s v="PSM Products &amp; Costs"/>
    <s v="as per detailed LOHP"/>
    <n v="33596.160000000003"/>
  </r>
  <r>
    <n v="13"/>
    <m/>
    <s v="Comprehensive prevention programs for sex workers and their clients"/>
    <s v="Condoms and lubricant programming for sex workers"/>
    <s v="Female Condom; "/>
    <x v="10"/>
    <x v="1"/>
    <n v="5.3"/>
    <s v="United Nations Development Programme"/>
    <x v="0"/>
    <s v="Multilateral – UNDP"/>
    <s v="USD"/>
    <s v="Cost of a pack"/>
    <n v="5"/>
    <s v="USD"/>
    <s v="Grant"/>
    <n v="1"/>
    <n v="1"/>
    <n v="136973.20000000001"/>
    <n v="136973.20000000001"/>
    <n v="0"/>
    <m/>
    <s v=""/>
    <n v="0"/>
    <m/>
    <s v=""/>
    <m/>
    <s v=""/>
    <n v="136973.20000000001"/>
    <n v="136973.20000000001"/>
    <n v="0"/>
    <m/>
    <s v=""/>
    <m/>
    <s v=""/>
    <m/>
    <s v=""/>
    <m/>
    <s v=""/>
    <m/>
    <s v=""/>
    <s v=""/>
    <s v=""/>
    <m/>
    <m/>
    <s v=""/>
    <m/>
    <s v=""/>
    <m/>
    <s v=""/>
    <m/>
    <s v=""/>
    <m/>
    <s v=""/>
    <s v=""/>
    <s v=""/>
    <m/>
    <m/>
    <s v=""/>
    <m/>
    <s v=""/>
    <m/>
    <s v=""/>
    <m/>
    <s v=""/>
    <m/>
    <s v=""/>
    <s v=""/>
    <s v=""/>
    <m/>
    <n v="136973.20000000001"/>
    <n v="136973.20000000001"/>
    <s v="PSM Products &amp; Costs"/>
    <s v="as per detailed LOHP"/>
    <n v="136973.20000000001"/>
  </r>
  <r>
    <n v="14"/>
    <m/>
    <s v="Comprehensive prevention programs for sex workers and their clients"/>
    <s v="HIV testing services for sex workers"/>
    <s v="Rapid Diagnostic Test - HIV; "/>
    <x v="1"/>
    <x v="1"/>
    <n v="5.4"/>
    <s v="United Nations Development Programme"/>
    <x v="0"/>
    <s v="Multilateral – UNDP"/>
    <s v="USD"/>
    <s v="Cost of a pack"/>
    <n v="5"/>
    <s v="USD"/>
    <s v="Grant"/>
    <n v="1"/>
    <n v="1"/>
    <n v="13417.5"/>
    <n v="13417.5"/>
    <n v="0"/>
    <m/>
    <s v=""/>
    <n v="0"/>
    <m/>
    <s v=""/>
    <m/>
    <s v=""/>
    <n v="13417.5"/>
    <n v="13417.5"/>
    <n v="0"/>
    <m/>
    <s v=""/>
    <m/>
    <s v=""/>
    <m/>
    <s v=""/>
    <m/>
    <s v=""/>
    <m/>
    <s v=""/>
    <s v=""/>
    <s v=""/>
    <m/>
    <m/>
    <s v=""/>
    <m/>
    <s v=""/>
    <m/>
    <s v=""/>
    <m/>
    <s v=""/>
    <m/>
    <s v=""/>
    <s v=""/>
    <s v=""/>
    <m/>
    <m/>
    <s v=""/>
    <m/>
    <s v=""/>
    <m/>
    <s v=""/>
    <m/>
    <s v=""/>
    <m/>
    <s v=""/>
    <s v=""/>
    <s v=""/>
    <m/>
    <n v="13417.5"/>
    <n v="13417.5"/>
    <s v="PSM Products &amp; Costs"/>
    <s v="as per detailed LOHP"/>
    <n v="13417.5"/>
  </r>
  <r>
    <n v="15"/>
    <m/>
    <s v="Comprehensive prevention programs for sex workers and their clients"/>
    <s v="Condoms and lubricant programming for sex workers"/>
    <s v="Procurement fee, Insurance, Freight, Customs, In-country trans-n etc."/>
    <x v="8"/>
    <x v="1"/>
    <n v="7.7"/>
    <s v="United Nations Development Programme"/>
    <x v="0"/>
    <s v="Multilateral – UNDP"/>
    <s v="USD"/>
    <s v="N/A"/>
    <n v="7"/>
    <s v="USD"/>
    <s v="Grant"/>
    <n v="1"/>
    <n v="1"/>
    <n v="92569.680000000008"/>
    <n v="92569.680000000008"/>
    <m/>
    <m/>
    <s v=""/>
    <n v="0"/>
    <m/>
    <s v=""/>
    <m/>
    <s v=""/>
    <n v="92569.680000000008"/>
    <n v="92569.680000000008"/>
    <n v="0"/>
    <m/>
    <s v=""/>
    <m/>
    <s v=""/>
    <m/>
    <s v=""/>
    <m/>
    <s v=""/>
    <m/>
    <s v=""/>
    <s v=""/>
    <s v=""/>
    <m/>
    <m/>
    <s v=""/>
    <m/>
    <s v=""/>
    <m/>
    <s v=""/>
    <m/>
    <s v=""/>
    <m/>
    <s v=""/>
    <s v=""/>
    <s v=""/>
    <m/>
    <m/>
    <s v=""/>
    <m/>
    <s v=""/>
    <m/>
    <s v=""/>
    <m/>
    <s v=""/>
    <m/>
    <s v=""/>
    <s v=""/>
    <s v=""/>
    <m/>
    <n v="92569.680000000008"/>
    <n v="92569.680000000008"/>
    <s v="PSM Products &amp; Costs"/>
    <s v="as per detailed LOHP"/>
    <n v="92569.680000000008"/>
  </r>
  <r>
    <n v="16"/>
    <m/>
    <s v="Comprehensive prevention programs for sex workers and their clients"/>
    <s v="HIV testing services for sex workers"/>
    <s v="Procurement fee, Insurance, Freight, Customs, In-country trans-n etc."/>
    <x v="8"/>
    <x v="1"/>
    <n v="7.7"/>
    <s v="United Nations Development Programme"/>
    <x v="0"/>
    <s v="Multilateral – UNDP"/>
    <s v="USD"/>
    <s v="N/A"/>
    <n v="7"/>
    <s v="USD"/>
    <s v="Grant"/>
    <n v="1"/>
    <n v="1"/>
    <n v="3453.45"/>
    <n v="3453.45"/>
    <m/>
    <m/>
    <s v=""/>
    <n v="0"/>
    <m/>
    <s v=""/>
    <m/>
    <s v=""/>
    <n v="3453.45"/>
    <n v="3453.45"/>
    <n v="0"/>
    <m/>
    <s v=""/>
    <m/>
    <s v=""/>
    <m/>
    <s v=""/>
    <m/>
    <s v=""/>
    <m/>
    <s v=""/>
    <s v=""/>
    <s v=""/>
    <m/>
    <m/>
    <s v=""/>
    <m/>
    <s v=""/>
    <m/>
    <s v=""/>
    <m/>
    <s v=""/>
    <m/>
    <s v=""/>
    <s v=""/>
    <s v=""/>
    <m/>
    <m/>
    <s v=""/>
    <m/>
    <s v=""/>
    <m/>
    <s v=""/>
    <m/>
    <s v=""/>
    <m/>
    <s v=""/>
    <s v=""/>
    <s v=""/>
    <m/>
    <n v="3453.45"/>
    <n v="3453.45"/>
    <s v="PSM Products &amp; Costs"/>
    <s v="as per detailed LOHP"/>
    <n v="3453.45"/>
  </r>
  <r>
    <n v="17"/>
    <m/>
    <s v="Comprehensive prevention programs for sex workers and their clients"/>
    <s v="Condoms and lubricant programming for sex workers"/>
    <s v="Lubricant; "/>
    <x v="4"/>
    <x v="1"/>
    <n v="5.8"/>
    <s v="United Nations Development Programme"/>
    <x v="0"/>
    <s v="Multilateral – UNDP"/>
    <s v="USD"/>
    <s v="N/A"/>
    <n v="5"/>
    <s v="USD"/>
    <s v="Grant"/>
    <n v="1"/>
    <n v="1"/>
    <n v="14570"/>
    <n v="14570"/>
    <n v="0"/>
    <m/>
    <s v=""/>
    <n v="0"/>
    <m/>
    <s v=""/>
    <m/>
    <s v=""/>
    <n v="14570"/>
    <n v="14570"/>
    <n v="0"/>
    <m/>
    <s v=""/>
    <m/>
    <s v=""/>
    <m/>
    <s v=""/>
    <m/>
    <s v=""/>
    <m/>
    <s v=""/>
    <s v=""/>
    <s v=""/>
    <m/>
    <m/>
    <s v=""/>
    <m/>
    <s v=""/>
    <m/>
    <s v=""/>
    <m/>
    <s v=""/>
    <m/>
    <s v=""/>
    <s v=""/>
    <s v=""/>
    <m/>
    <m/>
    <s v=""/>
    <m/>
    <s v=""/>
    <m/>
    <s v=""/>
    <m/>
    <s v=""/>
    <m/>
    <s v=""/>
    <s v=""/>
    <s v=""/>
    <m/>
    <n v="14570"/>
    <n v="14570"/>
    <s v="PSM Products &amp; Costs"/>
    <s v="as per detailed LOHP"/>
    <n v="14570"/>
  </r>
  <r>
    <n v="18"/>
    <m/>
    <s v="Comprehensive prevention programs for sex workers and their clients"/>
    <s v="HIV testing services for sex workers"/>
    <s v="HIV ELISA test, Ag/Ab; Disinfectant napkins; "/>
    <x v="4"/>
    <x v="1"/>
    <n v="5.8"/>
    <s v="United Nations Development Programme"/>
    <x v="0"/>
    <s v="Multilateral – UNDP"/>
    <s v="USD"/>
    <s v="N/A"/>
    <n v="5"/>
    <s v="USD"/>
    <s v="Grant"/>
    <n v="1"/>
    <n v="1"/>
    <n v="2280"/>
    <n v="2280"/>
    <n v="0"/>
    <m/>
    <s v=""/>
    <n v="0"/>
    <m/>
    <s v=""/>
    <m/>
    <s v=""/>
    <n v="2280"/>
    <n v="2280"/>
    <n v="0"/>
    <m/>
    <s v=""/>
    <m/>
    <s v=""/>
    <m/>
    <s v=""/>
    <m/>
    <s v=""/>
    <m/>
    <s v=""/>
    <s v=""/>
    <s v=""/>
    <m/>
    <m/>
    <s v=""/>
    <m/>
    <s v=""/>
    <m/>
    <s v=""/>
    <m/>
    <s v=""/>
    <m/>
    <s v=""/>
    <s v=""/>
    <s v=""/>
    <m/>
    <m/>
    <s v=""/>
    <m/>
    <s v=""/>
    <m/>
    <s v=""/>
    <m/>
    <s v=""/>
    <m/>
    <s v=""/>
    <s v=""/>
    <s v=""/>
    <m/>
    <n v="2280"/>
    <n v="2280"/>
    <s v="PSM Products &amp; Costs"/>
    <s v="as per detailed LOHP"/>
    <n v="2280"/>
  </r>
  <r>
    <n v="19"/>
    <m/>
    <s v="Comprehensive prevention programs for people who inject drugs (PWID) and their partners"/>
    <s v="Condoms and lubricant programming for PWID"/>
    <s v="Male Latex Condom; "/>
    <x v="9"/>
    <x v="1"/>
    <n v="5.2"/>
    <s v="United Nations Development Programme"/>
    <x v="0"/>
    <s v="Multilateral – UNDP"/>
    <s v="USD"/>
    <s v="Cost of a pack"/>
    <n v="5"/>
    <s v="USD"/>
    <s v="Grant"/>
    <n v="1"/>
    <n v="1"/>
    <n v="18308.16"/>
    <n v="18308.16"/>
    <n v="0"/>
    <m/>
    <s v=""/>
    <n v="0"/>
    <m/>
    <s v=""/>
    <m/>
    <s v=""/>
    <n v="18308.16"/>
    <n v="18308.16"/>
    <n v="0"/>
    <m/>
    <s v=""/>
    <m/>
    <s v=""/>
    <m/>
    <s v=""/>
    <m/>
    <s v=""/>
    <m/>
    <s v=""/>
    <s v=""/>
    <s v=""/>
    <m/>
    <m/>
    <s v=""/>
    <m/>
    <s v=""/>
    <m/>
    <s v=""/>
    <m/>
    <s v=""/>
    <m/>
    <s v=""/>
    <s v=""/>
    <s v=""/>
    <m/>
    <m/>
    <s v=""/>
    <m/>
    <s v=""/>
    <m/>
    <s v=""/>
    <m/>
    <s v=""/>
    <m/>
    <s v=""/>
    <s v=""/>
    <s v=""/>
    <m/>
    <n v="18308.16"/>
    <n v="18308.16"/>
    <s v="PSM Products &amp; Costs"/>
    <s v="as per detailed LOHP"/>
    <n v="18308.16"/>
  </r>
  <r>
    <n v="20"/>
    <m/>
    <s v="Comprehensive prevention programs for people who inject drugs (PWID) and their partners"/>
    <s v="HIV testing services for PWID"/>
    <s v="Rapid Diagnostic Test - HIV; "/>
    <x v="1"/>
    <x v="1"/>
    <n v="5.4"/>
    <s v="United Nations Development Programme"/>
    <x v="0"/>
    <s v="Multilateral – UNDP"/>
    <s v="USD"/>
    <s v="Cost of a pack"/>
    <n v="5"/>
    <s v="USD"/>
    <s v="Grant"/>
    <n v="1"/>
    <n v="1"/>
    <n v="43875"/>
    <n v="43875"/>
    <n v="0"/>
    <m/>
    <s v=""/>
    <n v="0"/>
    <m/>
    <s v=""/>
    <m/>
    <s v=""/>
    <n v="43875"/>
    <n v="43875"/>
    <n v="0"/>
    <m/>
    <s v=""/>
    <m/>
    <s v=""/>
    <m/>
    <s v=""/>
    <m/>
    <s v=""/>
    <m/>
    <s v=""/>
    <s v=""/>
    <s v=""/>
    <m/>
    <m/>
    <s v=""/>
    <m/>
    <s v=""/>
    <m/>
    <s v=""/>
    <m/>
    <s v=""/>
    <m/>
    <s v=""/>
    <s v=""/>
    <s v=""/>
    <m/>
    <m/>
    <s v=""/>
    <m/>
    <s v=""/>
    <m/>
    <s v=""/>
    <m/>
    <s v=""/>
    <m/>
    <s v=""/>
    <s v=""/>
    <s v=""/>
    <m/>
    <n v="43875"/>
    <n v="43875"/>
    <s v="PSM Products &amp; Costs"/>
    <s v="as per detailed LOHP"/>
    <n v="43875"/>
  </r>
  <r>
    <n v="21"/>
    <m/>
    <s v="Comprehensive prevention programs for people who inject drugs (PWID) and their partners"/>
    <s v="OST and other drug dependence treatment for PWID"/>
    <s v="*Methadone; "/>
    <x v="11"/>
    <x v="1"/>
    <n v="4.4000000000000004"/>
    <s v="United Nations Development Programme"/>
    <x v="0"/>
    <s v="Multilateral – UNDP"/>
    <s v="USD"/>
    <s v="Cost of a pack"/>
    <n v="4"/>
    <s v="USD"/>
    <s v="Grant"/>
    <n v="1"/>
    <n v="1"/>
    <n v="96000"/>
    <n v="96000"/>
    <n v="86400"/>
    <m/>
    <s v=""/>
    <n v="0"/>
    <m/>
    <s v=""/>
    <m/>
    <s v=""/>
    <n v="96000"/>
    <n v="96000"/>
    <n v="86400"/>
    <m/>
    <s v=""/>
    <m/>
    <s v=""/>
    <m/>
    <s v=""/>
    <m/>
    <s v=""/>
    <m/>
    <s v=""/>
    <s v=""/>
    <s v=""/>
    <m/>
    <m/>
    <s v=""/>
    <m/>
    <s v=""/>
    <m/>
    <s v=""/>
    <m/>
    <s v=""/>
    <m/>
    <s v=""/>
    <s v=""/>
    <s v=""/>
    <m/>
    <m/>
    <s v=""/>
    <m/>
    <s v=""/>
    <m/>
    <s v=""/>
    <m/>
    <s v=""/>
    <m/>
    <s v=""/>
    <s v=""/>
    <s v=""/>
    <m/>
    <n v="96000"/>
    <n v="96000"/>
    <s v="PSM Products &amp; Costs"/>
    <s v="as per detailed LOHP"/>
    <n v="9600"/>
  </r>
  <r>
    <n v="22"/>
    <m/>
    <s v="Comprehensive prevention programs for people who inject drugs (PWID) and their partners"/>
    <s v="Condoms and lubricant programming for PWID"/>
    <s v="Procurement fee, Insurance, Freight, Customs, In-country trans-n etc."/>
    <x v="8"/>
    <x v="1"/>
    <n v="7.7"/>
    <s v="United Nations Development Programme"/>
    <x v="0"/>
    <s v="Multilateral – UNDP"/>
    <s v="USD"/>
    <s v="N/A"/>
    <n v="7"/>
    <s v="USD"/>
    <s v="Grant"/>
    <n v="1"/>
    <n v="1"/>
    <n v="7323.2640000000001"/>
    <n v="7323.2640000000001"/>
    <m/>
    <m/>
    <s v=""/>
    <n v="0"/>
    <m/>
    <s v=""/>
    <m/>
    <s v=""/>
    <n v="7323.2640000000001"/>
    <n v="7323.2640000000001"/>
    <n v="0"/>
    <m/>
    <s v=""/>
    <m/>
    <s v=""/>
    <m/>
    <s v=""/>
    <m/>
    <s v=""/>
    <m/>
    <s v=""/>
    <s v=""/>
    <s v=""/>
    <m/>
    <m/>
    <s v=""/>
    <m/>
    <s v=""/>
    <m/>
    <s v=""/>
    <m/>
    <s v=""/>
    <m/>
    <s v=""/>
    <s v=""/>
    <s v=""/>
    <m/>
    <m/>
    <s v=""/>
    <m/>
    <s v=""/>
    <m/>
    <s v=""/>
    <m/>
    <s v=""/>
    <m/>
    <s v=""/>
    <s v=""/>
    <s v=""/>
    <m/>
    <n v="7323.2640000000001"/>
    <n v="7323.2640000000001"/>
    <s v="PSM Products &amp; Costs"/>
    <s v="as per detailed LOHP"/>
    <n v="7323.2640000000001"/>
  </r>
  <r>
    <n v="23"/>
    <m/>
    <s v="Comprehensive prevention programs for people who inject drugs (PWID) and their partners"/>
    <s v="HIV testing services for PWID"/>
    <s v="Procurement fee, Insurance, Freight, Customs, In-country trans-n etc."/>
    <x v="8"/>
    <x v="1"/>
    <n v="7.7"/>
    <s v="United Nations Development Programme"/>
    <x v="0"/>
    <s v="Multilateral – UNDP"/>
    <s v="USD"/>
    <s v="N/A"/>
    <n v="7"/>
    <s v="USD"/>
    <s v="Grant"/>
    <n v="1"/>
    <n v="1"/>
    <n v="12798.72"/>
    <n v="12798.72"/>
    <m/>
    <m/>
    <s v=""/>
    <n v="0"/>
    <m/>
    <s v=""/>
    <m/>
    <s v=""/>
    <n v="12798.72"/>
    <n v="12798.72"/>
    <n v="0"/>
    <m/>
    <s v=""/>
    <m/>
    <s v=""/>
    <m/>
    <s v=""/>
    <m/>
    <s v=""/>
    <m/>
    <s v=""/>
    <s v=""/>
    <s v=""/>
    <m/>
    <m/>
    <s v=""/>
    <m/>
    <s v=""/>
    <m/>
    <s v=""/>
    <m/>
    <s v=""/>
    <m/>
    <s v=""/>
    <s v=""/>
    <s v=""/>
    <m/>
    <m/>
    <s v=""/>
    <m/>
    <s v=""/>
    <m/>
    <s v=""/>
    <m/>
    <s v=""/>
    <m/>
    <s v=""/>
    <s v=""/>
    <s v=""/>
    <m/>
    <n v="12798.72"/>
    <n v="12798.72"/>
    <s v="PSM Products &amp; Costs"/>
    <s v="as per detailed LOHP"/>
    <n v="12798.72"/>
  </r>
  <r>
    <n v="24"/>
    <m/>
    <s v="Comprehensive prevention programs for people who inject drugs (PWID) and their partners"/>
    <s v="Needle and Syringe programs for PWID and their partners"/>
    <s v="Syringes 1 ml with needles G23 ; Syringes 2 ml with needles G23 ; Syringes 5 ml with needles G23; Syringes 10 ml with needles G23; "/>
    <x v="3"/>
    <x v="1"/>
    <n v="5.7"/>
    <s v="United Nations Development Programme"/>
    <x v="0"/>
    <s v="Multilateral – UNDP"/>
    <s v="USD"/>
    <s v="Cost of a pack"/>
    <n v="5"/>
    <s v="USD"/>
    <s v="Grant"/>
    <n v="1"/>
    <n v="1"/>
    <n v="95883"/>
    <n v="95883"/>
    <n v="0"/>
    <m/>
    <s v=""/>
    <n v="0"/>
    <m/>
    <s v=""/>
    <m/>
    <s v=""/>
    <n v="95883"/>
    <n v="95883"/>
    <n v="0"/>
    <m/>
    <s v=""/>
    <m/>
    <s v=""/>
    <m/>
    <s v=""/>
    <m/>
    <s v=""/>
    <m/>
    <s v=""/>
    <s v=""/>
    <s v=""/>
    <m/>
    <m/>
    <s v=""/>
    <m/>
    <s v=""/>
    <m/>
    <s v=""/>
    <m/>
    <s v=""/>
    <m/>
    <s v=""/>
    <s v=""/>
    <s v=""/>
    <m/>
    <m/>
    <s v=""/>
    <m/>
    <s v=""/>
    <m/>
    <s v=""/>
    <m/>
    <s v=""/>
    <m/>
    <s v=""/>
    <s v=""/>
    <s v=""/>
    <m/>
    <n v="95883"/>
    <n v="95883"/>
    <s v="PSM Products &amp; Costs"/>
    <s v="as per detailed LOHP"/>
    <n v="95883"/>
  </r>
  <r>
    <n v="25"/>
    <m/>
    <s v="Comprehensive prevention programs for people who inject drugs (PWID) and their partners"/>
    <s v="Needle and Syringe programs for PWID and their partners"/>
    <s v="Procurement fee, Insurance, Freight, Customs, In-country trans-n etc."/>
    <x v="8"/>
    <x v="1"/>
    <n v="7.7"/>
    <s v="United Nations Development Programme"/>
    <x v="0"/>
    <s v="Multilateral – UNDP"/>
    <s v="USD"/>
    <s v="N/A"/>
    <n v="7"/>
    <s v="USD"/>
    <s v="Grant"/>
    <n v="1"/>
    <n v="1"/>
    <n v="51713.1"/>
    <n v="51713.1"/>
    <m/>
    <m/>
    <s v=""/>
    <n v="0"/>
    <m/>
    <s v=""/>
    <m/>
    <s v=""/>
    <n v="51713.1"/>
    <n v="51713.1"/>
    <n v="0"/>
    <m/>
    <s v=""/>
    <m/>
    <s v=""/>
    <m/>
    <s v=""/>
    <m/>
    <s v=""/>
    <m/>
    <s v=""/>
    <s v=""/>
    <s v=""/>
    <m/>
    <m/>
    <s v=""/>
    <m/>
    <s v=""/>
    <m/>
    <s v=""/>
    <m/>
    <s v=""/>
    <m/>
    <s v=""/>
    <s v=""/>
    <s v=""/>
    <m/>
    <m/>
    <s v=""/>
    <m/>
    <s v=""/>
    <m/>
    <s v=""/>
    <m/>
    <s v=""/>
    <m/>
    <s v=""/>
    <s v=""/>
    <s v=""/>
    <m/>
    <n v="51713.1"/>
    <n v="51713.1"/>
    <s v="PSM Products &amp; Costs"/>
    <s v="as per detailed LOHP"/>
    <n v="51713.1"/>
  </r>
  <r>
    <n v="26"/>
    <m/>
    <s v="Comprehensive prevention programs for people who inject drugs (PWID) and their partners"/>
    <s v="HIV testing services for PWID"/>
    <s v="HIV ELISA test, Ag/Ab; Disinfectant napkins; "/>
    <x v="4"/>
    <x v="1"/>
    <n v="5.8"/>
    <s v="United Nations Development Programme"/>
    <x v="0"/>
    <s v="Multilateral – UNDP"/>
    <s v="USD"/>
    <s v="N/A"/>
    <n v="5"/>
    <s v="USD"/>
    <s v="Grant"/>
    <n v="1"/>
    <n v="1"/>
    <n v="14301"/>
    <n v="14301"/>
    <n v="0"/>
    <m/>
    <s v=""/>
    <n v="0"/>
    <m/>
    <s v=""/>
    <m/>
    <s v=""/>
    <n v="14301"/>
    <n v="14301"/>
    <n v="0"/>
    <m/>
    <s v=""/>
    <m/>
    <s v=""/>
    <m/>
    <s v=""/>
    <m/>
    <s v=""/>
    <m/>
    <s v=""/>
    <s v=""/>
    <s v=""/>
    <m/>
    <m/>
    <s v=""/>
    <m/>
    <s v=""/>
    <m/>
    <s v=""/>
    <m/>
    <s v=""/>
    <m/>
    <s v=""/>
    <s v=""/>
    <s v=""/>
    <m/>
    <m/>
    <s v=""/>
    <m/>
    <s v=""/>
    <m/>
    <s v=""/>
    <m/>
    <s v=""/>
    <m/>
    <s v=""/>
    <s v=""/>
    <s v=""/>
    <m/>
    <n v="14301"/>
    <n v="14301"/>
    <s v="PSM Products &amp; Costs"/>
    <s v="as per detailed LOHP"/>
    <n v="14301"/>
  </r>
  <r>
    <n v="27"/>
    <m/>
    <s v="Comprehensive prevention programs for people who inject drugs (PWID) and their partners"/>
    <s v="OST and other drug dependence treatment for PWID"/>
    <s v="Procurement fee, Insurance, Freight, Customs, In-country trans-n etc."/>
    <x v="8"/>
    <x v="1"/>
    <n v="7.7"/>
    <s v="United Nations Development Programme"/>
    <x v="0"/>
    <s v="Multilateral – UNDP"/>
    <s v="USD"/>
    <s v="N/A"/>
    <n v="7"/>
    <s v="USD"/>
    <s v="Grant"/>
    <n v="1"/>
    <n v="1"/>
    <n v="34153.737200000003"/>
    <n v="34153.737200000003"/>
    <n v="19008"/>
    <m/>
    <s v=""/>
    <n v="0"/>
    <m/>
    <s v=""/>
    <m/>
    <s v=""/>
    <n v="34153.737200000003"/>
    <n v="34153.737200000003"/>
    <n v="19008"/>
    <m/>
    <s v=""/>
    <m/>
    <s v=""/>
    <m/>
    <s v=""/>
    <m/>
    <s v=""/>
    <m/>
    <s v=""/>
    <s v=""/>
    <s v=""/>
    <m/>
    <m/>
    <s v=""/>
    <m/>
    <s v=""/>
    <m/>
    <s v=""/>
    <m/>
    <s v=""/>
    <m/>
    <s v=""/>
    <s v=""/>
    <s v=""/>
    <m/>
    <m/>
    <s v=""/>
    <m/>
    <s v=""/>
    <m/>
    <s v=""/>
    <m/>
    <s v=""/>
    <m/>
    <s v=""/>
    <s v=""/>
    <s v=""/>
    <m/>
    <n v="34153.737200000003"/>
    <n v="34153.737200000003"/>
    <s v="PSM Products &amp; Costs"/>
    <s v="as per detailed LOHP"/>
    <n v="15145.737200000003"/>
  </r>
  <r>
    <n v="28"/>
    <m/>
    <s v="Comprehensive prevention programs for people who inject drugs (PWID) and their partners"/>
    <s v="Needle and Syringe programs for PWID and their partners"/>
    <s v="Antiseptic napkins/alcohol tissue; "/>
    <x v="4"/>
    <x v="1"/>
    <n v="5.8"/>
    <s v="United Nations Development Programme"/>
    <x v="0"/>
    <s v="Multilateral – UNDP"/>
    <s v="USD"/>
    <s v="N/A"/>
    <n v="5"/>
    <s v="USD"/>
    <s v="Grant"/>
    <n v="1"/>
    <n v="1"/>
    <n v="19035"/>
    <n v="19035"/>
    <n v="0"/>
    <m/>
    <s v=""/>
    <n v="0"/>
    <m/>
    <s v=""/>
    <m/>
    <s v=""/>
    <n v="19035"/>
    <n v="19035"/>
    <n v="0"/>
    <m/>
    <s v=""/>
    <m/>
    <s v=""/>
    <m/>
    <s v=""/>
    <m/>
    <s v=""/>
    <m/>
    <s v=""/>
    <s v=""/>
    <s v=""/>
    <m/>
    <m/>
    <s v=""/>
    <m/>
    <s v=""/>
    <m/>
    <s v=""/>
    <m/>
    <s v=""/>
    <m/>
    <s v=""/>
    <s v=""/>
    <s v=""/>
    <m/>
    <m/>
    <s v=""/>
    <m/>
    <s v=""/>
    <m/>
    <s v=""/>
    <m/>
    <s v=""/>
    <m/>
    <s v=""/>
    <s v=""/>
    <s v=""/>
    <m/>
    <n v="19035"/>
    <n v="19035"/>
    <s v="PSM Products &amp; Costs"/>
    <s v="as per detailed LOHP"/>
    <n v="19035"/>
  </r>
  <r>
    <n v="29"/>
    <m/>
    <s v="Comprehensive prevention programs for people who inject drugs (PWID) and their partners"/>
    <s v="OST and other drug dependence treatment for PWID"/>
    <s v="Plastic/paper cups for methadone; Drug Rapid Urine_x000a_Test (benzodiazepine); Drug Rapid UrineTest_x000a_(MOP); Gloves; Bags, autoclavable; Conteiner for used syringes; "/>
    <x v="4"/>
    <x v="1"/>
    <n v="5.8"/>
    <s v="United Nations Development Programme"/>
    <x v="0"/>
    <s v="Multilateral – UNDP"/>
    <s v="USD"/>
    <s v="N/A"/>
    <n v="5"/>
    <s v="USD"/>
    <s v="Grant"/>
    <n v="1"/>
    <n v="1"/>
    <n v="59244.259999999995"/>
    <n v="59244.259999999995"/>
    <n v="0"/>
    <m/>
    <s v=""/>
    <n v="0"/>
    <m/>
    <s v=""/>
    <m/>
    <s v=""/>
    <n v="59244.259999999995"/>
    <n v="59244.259999999995"/>
    <n v="0"/>
    <m/>
    <s v=""/>
    <m/>
    <s v=""/>
    <m/>
    <s v=""/>
    <m/>
    <s v=""/>
    <m/>
    <s v=""/>
    <s v=""/>
    <s v=""/>
    <m/>
    <m/>
    <s v=""/>
    <m/>
    <s v=""/>
    <m/>
    <s v=""/>
    <m/>
    <s v=""/>
    <m/>
    <s v=""/>
    <s v=""/>
    <s v=""/>
    <m/>
    <m/>
    <s v=""/>
    <m/>
    <s v=""/>
    <m/>
    <s v=""/>
    <m/>
    <s v=""/>
    <m/>
    <s v=""/>
    <s v=""/>
    <s v=""/>
    <m/>
    <n v="59244.259999999995"/>
    <n v="59244.259999999995"/>
    <s v="PSM Products &amp; Costs"/>
    <s v="as per detailed LOHP"/>
    <n v="59244.259999999995"/>
  </r>
  <r>
    <n v="30"/>
    <m/>
    <s v="Comprehensive prevention programs for people who inject drugs (PWID) and their partners"/>
    <s v="Overdose prevention and management"/>
    <s v="Naloxone; "/>
    <x v="12"/>
    <x v="1"/>
    <n v="4.7"/>
    <s v="United Nations Development Programme"/>
    <x v="0"/>
    <s v="Multilateral – UNDP"/>
    <s v="USD"/>
    <s v="N/A"/>
    <n v="4"/>
    <s v="USD"/>
    <s v="Grant"/>
    <n v="1"/>
    <n v="1"/>
    <n v="8775"/>
    <n v="8775"/>
    <n v="0"/>
    <m/>
    <s v=""/>
    <n v="0"/>
    <m/>
    <s v=""/>
    <m/>
    <s v=""/>
    <n v="8775"/>
    <n v="8775"/>
    <n v="0"/>
    <m/>
    <s v=""/>
    <m/>
    <s v=""/>
    <m/>
    <s v=""/>
    <m/>
    <s v=""/>
    <m/>
    <s v=""/>
    <s v=""/>
    <s v=""/>
    <m/>
    <m/>
    <s v=""/>
    <m/>
    <s v=""/>
    <m/>
    <s v=""/>
    <m/>
    <s v=""/>
    <m/>
    <s v=""/>
    <s v=""/>
    <s v=""/>
    <m/>
    <m/>
    <s v=""/>
    <m/>
    <s v=""/>
    <m/>
    <s v=""/>
    <m/>
    <s v=""/>
    <m/>
    <s v=""/>
    <s v=""/>
    <s v=""/>
    <m/>
    <n v="8775"/>
    <n v="8775"/>
    <s v="PSM Products &amp; Costs"/>
    <s v="as per detailed LOHP"/>
    <n v="8775"/>
  </r>
  <r>
    <n v="31"/>
    <m/>
    <s v="Comprehensive prevention programs for people who inject drugs (PWID) and their partners"/>
    <s v="Overdose prevention and management"/>
    <s v="Procurement fee, Insurance, Freight, Customs, In-country trans-n etc."/>
    <x v="8"/>
    <x v="1"/>
    <n v="7.7"/>
    <s v="United Nations Development Programme"/>
    <x v="0"/>
    <s v="Multilateral – UNDP"/>
    <s v="USD"/>
    <s v="N/A"/>
    <n v="7"/>
    <s v="USD"/>
    <s v="Grant"/>
    <n v="1"/>
    <n v="1"/>
    <n v="1755"/>
    <n v="1755"/>
    <m/>
    <m/>
    <s v=""/>
    <n v="0"/>
    <m/>
    <s v=""/>
    <m/>
    <s v=""/>
    <n v="1755"/>
    <n v="1755"/>
    <n v="0"/>
    <m/>
    <s v=""/>
    <m/>
    <s v=""/>
    <m/>
    <s v=""/>
    <m/>
    <s v=""/>
    <m/>
    <s v=""/>
    <s v=""/>
    <s v=""/>
    <m/>
    <m/>
    <s v=""/>
    <m/>
    <s v=""/>
    <m/>
    <s v=""/>
    <m/>
    <s v=""/>
    <m/>
    <s v=""/>
    <s v=""/>
    <s v=""/>
    <m/>
    <m/>
    <s v=""/>
    <m/>
    <s v=""/>
    <m/>
    <s v=""/>
    <m/>
    <s v=""/>
    <m/>
    <s v=""/>
    <s v=""/>
    <s v=""/>
    <m/>
    <n v="1755"/>
    <n v="1755"/>
    <s v="PSM Products &amp; Costs"/>
    <s v="as per detailed LOHP"/>
    <n v="1755"/>
  </r>
  <r>
    <n v="32"/>
    <m/>
    <s v="Prevention programs for other vulnerable populations"/>
    <s v="HIV testing services for other vulnerable populations"/>
    <s v="HIV ELISA test, Ag/Ab; "/>
    <x v="4"/>
    <x v="1"/>
    <n v="5.8"/>
    <s v="United Nations Development Programme"/>
    <x v="0"/>
    <s v="Multilateral – UNDP"/>
    <s v="USD"/>
    <s v="N/A"/>
    <n v="5"/>
    <s v="USD"/>
    <s v="Grant"/>
    <n v="1"/>
    <n v="1"/>
    <n v="2255"/>
    <n v="2255"/>
    <n v="0"/>
    <m/>
    <s v=""/>
    <n v="0"/>
    <m/>
    <s v=""/>
    <m/>
    <s v=""/>
    <n v="2255"/>
    <n v="2255"/>
    <n v="0"/>
    <m/>
    <s v=""/>
    <m/>
    <s v=""/>
    <m/>
    <s v=""/>
    <m/>
    <s v=""/>
    <m/>
    <s v=""/>
    <s v=""/>
    <s v=""/>
    <m/>
    <m/>
    <s v=""/>
    <m/>
    <s v=""/>
    <m/>
    <s v=""/>
    <m/>
    <s v=""/>
    <m/>
    <s v=""/>
    <s v=""/>
    <s v=""/>
    <m/>
    <m/>
    <s v=""/>
    <m/>
    <s v=""/>
    <m/>
    <s v=""/>
    <m/>
    <s v=""/>
    <m/>
    <s v=""/>
    <s v=""/>
    <s v=""/>
    <m/>
    <n v="2255"/>
    <n v="2255"/>
    <s v="PSM Products &amp; Costs"/>
    <s v="as per detailed LOHP"/>
    <n v="2255"/>
  </r>
  <r>
    <n v="33"/>
    <m/>
    <s v="PMTCT"/>
    <s v="Prong 4: Treatment, care and support to mothers living with HIV, their children and families"/>
    <s v="Nevirapine; Zidovudine; "/>
    <x v="13"/>
    <x v="1"/>
    <n v="4.0999999999999996"/>
    <s v="United Nations Development Programme"/>
    <x v="0"/>
    <s v="Multilateral – UNDP"/>
    <s v="USD"/>
    <s v="Cost of a pack"/>
    <n v="4"/>
    <s v="USD"/>
    <s v="Grant"/>
    <n v="1"/>
    <n v="1"/>
    <n v="702"/>
    <n v="702"/>
    <n v="660"/>
    <m/>
    <s v=""/>
    <n v="0"/>
    <m/>
    <s v=""/>
    <m/>
    <s v=""/>
    <n v="702"/>
    <n v="702"/>
    <n v="660"/>
    <m/>
    <s v=""/>
    <m/>
    <s v=""/>
    <m/>
    <s v=""/>
    <m/>
    <s v=""/>
    <m/>
    <s v=""/>
    <s v=""/>
    <s v=""/>
    <m/>
    <m/>
    <s v=""/>
    <m/>
    <s v=""/>
    <m/>
    <s v=""/>
    <m/>
    <s v=""/>
    <m/>
    <s v=""/>
    <s v=""/>
    <s v=""/>
    <m/>
    <m/>
    <s v=""/>
    <m/>
    <s v=""/>
    <m/>
    <s v=""/>
    <m/>
    <s v=""/>
    <m/>
    <s v=""/>
    <s v=""/>
    <s v=""/>
    <m/>
    <n v="702"/>
    <n v="702"/>
    <s v="PSM Products &amp; Costs"/>
    <s v="as per detailed LOHP"/>
    <n v="42"/>
  </r>
  <r>
    <n v="34"/>
    <m/>
    <s v="PMTCT"/>
    <s v="Prong 3: Preventing vertical HIV transmission"/>
    <s v="HIV Early Infant Diagnosis  kits; "/>
    <x v="14"/>
    <x v="1"/>
    <n v="6.2"/>
    <s v="United Nations Development Programme"/>
    <x v="0"/>
    <s v="Multilateral – UNDP"/>
    <s v="USD"/>
    <s v="Cost of a pack"/>
    <n v="6"/>
    <s v="USD"/>
    <s v="Grant"/>
    <n v="1"/>
    <n v="1"/>
    <n v="7200"/>
    <n v="7200"/>
    <n v="1800"/>
    <m/>
    <s v=""/>
    <n v="0"/>
    <m/>
    <s v=""/>
    <m/>
    <s v=""/>
    <n v="7200"/>
    <n v="7200"/>
    <n v="1800"/>
    <m/>
    <s v=""/>
    <m/>
    <s v=""/>
    <m/>
    <s v=""/>
    <m/>
    <s v=""/>
    <m/>
    <s v=""/>
    <s v=""/>
    <s v=""/>
    <m/>
    <m/>
    <s v=""/>
    <m/>
    <s v=""/>
    <m/>
    <s v=""/>
    <m/>
    <s v=""/>
    <m/>
    <s v=""/>
    <s v=""/>
    <s v=""/>
    <m/>
    <m/>
    <s v=""/>
    <m/>
    <s v=""/>
    <m/>
    <s v=""/>
    <m/>
    <s v=""/>
    <m/>
    <s v=""/>
    <s v=""/>
    <s v=""/>
    <m/>
    <n v="7200"/>
    <n v="7200"/>
    <s v="PSM Products &amp; Costs"/>
    <s v="as per detailed LOHP"/>
    <n v="5400"/>
  </r>
  <r>
    <n v="35"/>
    <m/>
    <s v="PMTCT"/>
    <s v="Prong 3: Preventing vertical HIV transmission"/>
    <s v="Rapid Diagnostic Test - HIV; "/>
    <x v="1"/>
    <x v="1"/>
    <n v="5.4"/>
    <s v="United Nations Development Programme"/>
    <x v="0"/>
    <s v="Multilateral – UNDP"/>
    <s v="USD"/>
    <s v="Cost of a pack"/>
    <n v="5"/>
    <s v="USD"/>
    <s v="Grant"/>
    <n v="1"/>
    <n v="1"/>
    <n v="5906.25"/>
    <n v="5906.25"/>
    <n v="0"/>
    <m/>
    <s v=""/>
    <n v="0"/>
    <m/>
    <s v=""/>
    <m/>
    <s v=""/>
    <n v="5906.25"/>
    <n v="5906.25"/>
    <n v="0"/>
    <m/>
    <s v=""/>
    <m/>
    <s v=""/>
    <m/>
    <s v=""/>
    <m/>
    <s v=""/>
    <m/>
    <s v=""/>
    <s v=""/>
    <s v=""/>
    <m/>
    <m/>
    <s v=""/>
    <m/>
    <s v=""/>
    <m/>
    <s v=""/>
    <m/>
    <s v=""/>
    <m/>
    <s v=""/>
    <s v=""/>
    <s v=""/>
    <m/>
    <m/>
    <s v=""/>
    <m/>
    <s v=""/>
    <m/>
    <s v=""/>
    <m/>
    <s v=""/>
    <m/>
    <s v=""/>
    <s v=""/>
    <s v=""/>
    <m/>
    <n v="5906.25"/>
    <n v="5906.25"/>
    <s v="PSM Products &amp; Costs"/>
    <s v="as per detailed LOHP"/>
    <n v="5906.25"/>
  </r>
  <r>
    <n v="36"/>
    <m/>
    <s v="PMTCT"/>
    <s v="Prong 3: Preventing vertical HIV transmission"/>
    <s v="Procurement fee, Insurance, Freight, Customs, In-country trans-n etc."/>
    <x v="8"/>
    <x v="1"/>
    <n v="7.7"/>
    <s v="United Nations Development Programme"/>
    <x v="0"/>
    <s v="Multilateral – UNDP"/>
    <s v="USD"/>
    <s v="N/A"/>
    <n v="7"/>
    <s v="USD"/>
    <s v="Grant"/>
    <n v="1"/>
    <n v="1"/>
    <n v="5867.083333333333"/>
    <n v="5867.083333333333"/>
    <m/>
    <m/>
    <s v=""/>
    <n v="0"/>
    <m/>
    <s v=""/>
    <m/>
    <s v=""/>
    <n v="5867.083333333333"/>
    <n v="5867.083333333333"/>
    <n v="0"/>
    <m/>
    <s v=""/>
    <m/>
    <s v=""/>
    <m/>
    <s v=""/>
    <m/>
    <s v=""/>
    <m/>
    <s v=""/>
    <s v=""/>
    <s v=""/>
    <m/>
    <m/>
    <s v=""/>
    <m/>
    <s v=""/>
    <m/>
    <s v=""/>
    <m/>
    <s v=""/>
    <m/>
    <s v=""/>
    <s v=""/>
    <s v=""/>
    <m/>
    <m/>
    <s v=""/>
    <m/>
    <s v=""/>
    <m/>
    <s v=""/>
    <m/>
    <s v=""/>
    <m/>
    <s v=""/>
    <s v=""/>
    <s v=""/>
    <m/>
    <n v="5867.083333333333"/>
    <n v="5867.083333333333"/>
    <s v="PSM Products &amp; Costs"/>
    <s v="as per detailed LOHP"/>
    <n v="5867.083333333333"/>
  </r>
  <r>
    <n v="37"/>
    <m/>
    <s v="PMTCT"/>
    <s v="Prong 4: Treatment, care and support to mothers living with HIV, their children and families"/>
    <s v="Procurement fee, Insurance, Freight, Customs, In-country trans-n etc."/>
    <x v="8"/>
    <x v="1"/>
    <n v="7.7"/>
    <s v="United Nations Development Programme"/>
    <x v="0"/>
    <s v="Multilateral – UNDP"/>
    <s v="USD"/>
    <s v="N/A"/>
    <n v="7"/>
    <s v="USD"/>
    <s v="Grant"/>
    <n v="1"/>
    <n v="1"/>
    <n v="154.44"/>
    <n v="154.44"/>
    <n v="145.19999999999999"/>
    <m/>
    <s v=""/>
    <n v="0"/>
    <m/>
    <s v=""/>
    <m/>
    <s v=""/>
    <n v="154.44"/>
    <n v="154.44"/>
    <n v="145.19999999999999"/>
    <m/>
    <s v=""/>
    <m/>
    <s v=""/>
    <m/>
    <s v=""/>
    <m/>
    <s v=""/>
    <m/>
    <s v=""/>
    <s v=""/>
    <s v=""/>
    <m/>
    <m/>
    <s v=""/>
    <m/>
    <s v=""/>
    <m/>
    <s v=""/>
    <m/>
    <s v=""/>
    <m/>
    <s v=""/>
    <s v=""/>
    <s v=""/>
    <m/>
    <m/>
    <s v=""/>
    <m/>
    <s v=""/>
    <m/>
    <s v=""/>
    <m/>
    <s v=""/>
    <m/>
    <s v=""/>
    <s v=""/>
    <s v=""/>
    <m/>
    <n v="154.44"/>
    <n v="154.44"/>
    <s v="PSM Products &amp; Costs"/>
    <s v="as per detailed LOHP"/>
    <n v="9.2400000000000091"/>
  </r>
  <r>
    <n v="38"/>
    <m/>
    <s v="PMTCT"/>
    <s v="Prong 3: Preventing vertical HIV transmission"/>
    <s v="HIV ELISA test, Ag/Ab; "/>
    <x v="4"/>
    <x v="1"/>
    <n v="5.8"/>
    <s v="United Nations Development Programme"/>
    <x v="0"/>
    <s v="Multilateral – UNDP"/>
    <s v="USD"/>
    <s v="N/A"/>
    <n v="5"/>
    <s v="USD"/>
    <s v="Grant"/>
    <n v="1"/>
    <n v="1"/>
    <n v="16229.166666666666"/>
    <n v="16229.166666666666"/>
    <n v="0"/>
    <m/>
    <s v=""/>
    <n v="0"/>
    <m/>
    <s v=""/>
    <m/>
    <s v=""/>
    <n v="16229.166666666666"/>
    <n v="16229.166666666666"/>
    <n v="0"/>
    <m/>
    <s v=""/>
    <m/>
    <s v=""/>
    <m/>
    <s v=""/>
    <m/>
    <s v=""/>
    <m/>
    <s v=""/>
    <s v=""/>
    <s v=""/>
    <m/>
    <m/>
    <s v=""/>
    <m/>
    <s v=""/>
    <m/>
    <s v=""/>
    <m/>
    <s v=""/>
    <m/>
    <s v=""/>
    <s v=""/>
    <s v=""/>
    <m/>
    <m/>
    <s v=""/>
    <m/>
    <s v=""/>
    <m/>
    <s v=""/>
    <m/>
    <s v=""/>
    <m/>
    <s v=""/>
    <s v=""/>
    <s v=""/>
    <m/>
    <n v="16229.166666666666"/>
    <n v="16229.166666666666"/>
    <s v="PSM Products &amp; Costs"/>
    <s v="as per detailed LOHP"/>
    <n v="16229.166666666666"/>
  </r>
  <r>
    <n v="39"/>
    <m/>
    <s v="Treatment, care and support"/>
    <s v="Differentiated ART service delivery"/>
    <s v="Tenofovir disoproxil; Efavirenz/Emtricitabine/Tenofovir; Abacavir/Lamivudine; Nevirapine; Lopinavir/Ritonavir; Lamivudine/Zidovudine; Dolutegravir; Darunavir; Ritonavir; "/>
    <x v="13"/>
    <x v="1"/>
    <n v="4.0999999999999996"/>
    <s v="United Nations Development Programme"/>
    <x v="0"/>
    <s v="Multilateral – UNDP"/>
    <s v="USD"/>
    <s v="Cost of a pack"/>
    <n v="4"/>
    <s v="USD"/>
    <s v="Grant"/>
    <n v="1"/>
    <n v="1"/>
    <n v="776946.24"/>
    <n v="776946.24"/>
    <n v="123612.22"/>
    <m/>
    <s v=""/>
    <n v="0"/>
    <m/>
    <s v=""/>
    <m/>
    <s v=""/>
    <n v="776946.24"/>
    <n v="776946.24"/>
    <n v="123612.22"/>
    <m/>
    <s v=""/>
    <m/>
    <s v=""/>
    <m/>
    <s v=""/>
    <m/>
    <s v=""/>
    <m/>
    <s v=""/>
    <s v=""/>
    <s v=""/>
    <m/>
    <m/>
    <s v=""/>
    <m/>
    <s v=""/>
    <m/>
    <s v=""/>
    <m/>
    <s v=""/>
    <m/>
    <s v=""/>
    <s v=""/>
    <s v=""/>
    <m/>
    <m/>
    <s v=""/>
    <m/>
    <s v=""/>
    <m/>
    <s v=""/>
    <m/>
    <s v=""/>
    <m/>
    <s v=""/>
    <s v=""/>
    <s v=""/>
    <m/>
    <n v="776946.24"/>
    <n v="776946.24"/>
    <s v="PSM Products &amp; Costs"/>
    <s v="as per detailed LOHP"/>
    <n v="653334.02"/>
  </r>
  <r>
    <n v="40"/>
    <m/>
    <s v="Treatment, care and support"/>
    <s v="Differentiated ART service delivery"/>
    <s v="Procurement fee, Insurance, Freight, Customs, In-country trans-n etc."/>
    <x v="8"/>
    <x v="1"/>
    <n v="7.7"/>
    <s v="United Nations Development Programme"/>
    <x v="0"/>
    <s v="Multilateral – UNDP"/>
    <s v="USD"/>
    <s v="N/A"/>
    <n v="7"/>
    <s v="USD"/>
    <s v="Grant"/>
    <n v="1"/>
    <n v="1"/>
    <n v="116541.936"/>
    <n v="116541.936"/>
    <n v="15480.18"/>
    <m/>
    <s v=""/>
    <n v="0"/>
    <m/>
    <s v=""/>
    <m/>
    <s v=""/>
    <n v="116541.936"/>
    <n v="116541.936"/>
    <n v="15480.18"/>
    <m/>
    <s v=""/>
    <m/>
    <s v=""/>
    <m/>
    <s v=""/>
    <m/>
    <s v=""/>
    <m/>
    <s v=""/>
    <s v=""/>
    <s v=""/>
    <m/>
    <m/>
    <s v=""/>
    <m/>
    <s v=""/>
    <m/>
    <s v=""/>
    <m/>
    <s v=""/>
    <m/>
    <s v=""/>
    <s v=""/>
    <s v=""/>
    <m/>
    <m/>
    <s v=""/>
    <m/>
    <s v=""/>
    <m/>
    <s v=""/>
    <m/>
    <s v=""/>
    <m/>
    <s v=""/>
    <s v=""/>
    <s v=""/>
    <m/>
    <n v="116541.936"/>
    <n v="116541.936"/>
    <s v="PSM Products &amp; Costs"/>
    <s v="as per detailed LOHP"/>
    <n v="101061.75599999999"/>
  </r>
  <r>
    <n v="41"/>
    <m/>
    <s v="Treatment, care and support"/>
    <s v="Treatment monitoring - Viral load"/>
    <s v="Analyzer consumables/reagents; "/>
    <x v="15"/>
    <x v="1"/>
    <n v="6.1"/>
    <s v="United Nations Development Programme"/>
    <x v="0"/>
    <s v="Multilateral – UNDP"/>
    <s v="USD"/>
    <s v="Cost of a pack"/>
    <n v="6"/>
    <s v="USD"/>
    <s v="Grant"/>
    <n v="1"/>
    <n v="1"/>
    <n v="374211.04000000004"/>
    <n v="374211.04000000004"/>
    <n v="59120"/>
    <m/>
    <s v=""/>
    <n v="0"/>
    <m/>
    <s v=""/>
    <m/>
    <s v=""/>
    <n v="374211.04000000004"/>
    <n v="374211.04000000004"/>
    <n v="59120"/>
    <m/>
    <s v=""/>
    <m/>
    <s v=""/>
    <m/>
    <s v=""/>
    <m/>
    <s v=""/>
    <m/>
    <s v=""/>
    <s v=""/>
    <s v=""/>
    <m/>
    <m/>
    <s v=""/>
    <m/>
    <s v=""/>
    <m/>
    <s v=""/>
    <m/>
    <s v=""/>
    <m/>
    <s v=""/>
    <s v=""/>
    <s v=""/>
    <m/>
    <m/>
    <s v=""/>
    <m/>
    <s v=""/>
    <m/>
    <s v=""/>
    <m/>
    <s v=""/>
    <m/>
    <s v=""/>
    <s v=""/>
    <s v=""/>
    <m/>
    <n v="374211.04000000004"/>
    <n v="374211.04000000004"/>
    <s v="PSM Products &amp; Costs"/>
    <s v="as per detailed LOHP"/>
    <n v="315091.04000000004"/>
  </r>
  <r>
    <n v="42"/>
    <m/>
    <s v="Treatment, care and support"/>
    <s v="Treatment monitoring - Viral load"/>
    <s v="HIV Viral Load test  kits; "/>
    <x v="14"/>
    <x v="1"/>
    <n v="6.2"/>
    <s v="United Nations Development Programme"/>
    <x v="0"/>
    <s v="Multilateral – UNDP"/>
    <s v="USD"/>
    <s v="Cost of a pack"/>
    <n v="6"/>
    <s v="USD"/>
    <s v="Grant"/>
    <n v="1"/>
    <n v="1"/>
    <n v="163880"/>
    <n v="163880"/>
    <n v="57460"/>
    <m/>
    <s v=""/>
    <n v="0"/>
    <m/>
    <s v=""/>
    <m/>
    <s v=""/>
    <n v="163880"/>
    <n v="163880"/>
    <n v="57460"/>
    <m/>
    <s v=""/>
    <m/>
    <s v=""/>
    <m/>
    <s v=""/>
    <m/>
    <s v=""/>
    <m/>
    <s v=""/>
    <s v=""/>
    <s v=""/>
    <m/>
    <m/>
    <s v=""/>
    <m/>
    <s v=""/>
    <m/>
    <s v=""/>
    <m/>
    <s v=""/>
    <m/>
    <s v=""/>
    <s v=""/>
    <s v=""/>
    <m/>
    <m/>
    <s v=""/>
    <m/>
    <s v=""/>
    <m/>
    <s v=""/>
    <m/>
    <s v=""/>
    <m/>
    <s v=""/>
    <s v=""/>
    <s v=""/>
    <m/>
    <n v="163880"/>
    <n v="163880"/>
    <s v="PSM Products &amp; Costs"/>
    <s v="as per detailed LOHP"/>
    <n v="106420"/>
  </r>
  <r>
    <n v="43"/>
    <m/>
    <s v="Treatment, care and support"/>
    <s v="Treatment monitoring - Viral load"/>
    <s v="Procurement fee, Insurance, Freight, Customs, In-country trans-n etc."/>
    <x v="8"/>
    <x v="1"/>
    <n v="7.7"/>
    <s v="United Nations Development Programme"/>
    <x v="0"/>
    <s v="Multilateral – UNDP"/>
    <s v="USD"/>
    <s v="N/A"/>
    <n v="7"/>
    <s v="USD"/>
    <s v="Grant"/>
    <n v="1"/>
    <n v="1"/>
    <n v="80713.656000000003"/>
    <n v="80713.656000000003"/>
    <n v="17487"/>
    <m/>
    <s v=""/>
    <n v="0"/>
    <m/>
    <s v=""/>
    <m/>
    <s v=""/>
    <n v="80713.656000000003"/>
    <n v="80713.656000000003"/>
    <n v="17487"/>
    <m/>
    <s v=""/>
    <m/>
    <s v=""/>
    <m/>
    <s v=""/>
    <m/>
    <s v=""/>
    <m/>
    <s v=""/>
    <s v=""/>
    <s v=""/>
    <m/>
    <m/>
    <s v=""/>
    <m/>
    <s v=""/>
    <m/>
    <s v=""/>
    <m/>
    <s v=""/>
    <m/>
    <s v=""/>
    <s v=""/>
    <s v=""/>
    <m/>
    <m/>
    <s v=""/>
    <m/>
    <s v=""/>
    <m/>
    <s v=""/>
    <m/>
    <s v=""/>
    <m/>
    <s v=""/>
    <s v=""/>
    <s v=""/>
    <m/>
    <n v="80713.656000000003"/>
    <n v="80713.656000000003"/>
    <s v="PSM Products &amp; Costs"/>
    <s v="as per detailed LOHP"/>
    <n v="63226.656000000003"/>
  </r>
  <r>
    <n v="44"/>
    <m/>
    <s v="TB/HIV"/>
    <s v="TB/HIV collaborative interventions"/>
    <s v="Pyridoxin; "/>
    <x v="12"/>
    <x v="2"/>
    <n v="4.7"/>
    <s v="United Nations Development Programme"/>
    <x v="0"/>
    <s v="Multilateral – UNDP"/>
    <s v="USD"/>
    <s v="N/A"/>
    <n v="4"/>
    <s v="USD"/>
    <s v="Grant"/>
    <n v="1"/>
    <n v="1"/>
    <n v="712.5"/>
    <n v="712.5"/>
    <n v="712.5"/>
    <m/>
    <s v=""/>
    <n v="0"/>
    <m/>
    <s v=""/>
    <m/>
    <s v=""/>
    <n v="712.5"/>
    <n v="712.5"/>
    <n v="712.5"/>
    <m/>
    <s v=""/>
    <m/>
    <s v=""/>
    <m/>
    <s v=""/>
    <m/>
    <s v=""/>
    <m/>
    <s v=""/>
    <s v=""/>
    <s v=""/>
    <m/>
    <m/>
    <s v=""/>
    <m/>
    <s v=""/>
    <m/>
    <s v=""/>
    <m/>
    <s v=""/>
    <m/>
    <s v=""/>
    <s v=""/>
    <s v=""/>
    <m/>
    <m/>
    <s v=""/>
    <m/>
    <s v=""/>
    <m/>
    <s v=""/>
    <m/>
    <s v=""/>
    <m/>
    <s v=""/>
    <s v=""/>
    <s v=""/>
    <m/>
    <n v="712.5"/>
    <n v="712.5"/>
    <s v="PSM Products &amp; Costs"/>
    <s v="as per detailed LOHP"/>
    <n v="0"/>
  </r>
  <r>
    <n v="45"/>
    <m/>
    <s v="TB/HIV"/>
    <s v="TB/HIV collaborative interventions"/>
    <s v="Procurement fee, Insurance, Freight, Customs, In-country trans-n etc."/>
    <x v="8"/>
    <x v="2"/>
    <n v="7.7"/>
    <s v="United Nations Development Programme"/>
    <x v="0"/>
    <s v="Multilateral – UNDP"/>
    <s v="USD"/>
    <s v="N/A"/>
    <n v="7"/>
    <s v="USD"/>
    <s v="Grant"/>
    <n v="1"/>
    <n v="1"/>
    <n v="356.75"/>
    <n v="356.75"/>
    <n v="356.75"/>
    <m/>
    <s v=""/>
    <n v="0"/>
    <m/>
    <s v=""/>
    <m/>
    <s v=""/>
    <n v="356.75"/>
    <n v="356.75"/>
    <n v="356.75"/>
    <m/>
    <s v=""/>
    <m/>
    <s v=""/>
    <m/>
    <s v=""/>
    <m/>
    <s v=""/>
    <m/>
    <s v=""/>
    <s v=""/>
    <s v=""/>
    <m/>
    <m/>
    <s v=""/>
    <m/>
    <s v=""/>
    <m/>
    <s v=""/>
    <m/>
    <s v=""/>
    <m/>
    <s v=""/>
    <s v=""/>
    <s v=""/>
    <m/>
    <m/>
    <s v=""/>
    <m/>
    <s v=""/>
    <m/>
    <s v=""/>
    <m/>
    <s v=""/>
    <m/>
    <s v=""/>
    <s v=""/>
    <s v=""/>
    <m/>
    <n v="356.75"/>
    <n v="356.75"/>
    <s v="PSM Products &amp; Costs"/>
    <s v="as per detailed LOHP"/>
    <n v="0"/>
  </r>
  <r>
    <n v="46"/>
    <m/>
    <s v="Comprehensive programs for people in prisons and other closed settings"/>
    <s v="HIV testing services for people in prisons and other closed settings"/>
    <s v="Rapid Diagnostic Test - HIV; "/>
    <x v="1"/>
    <x v="1"/>
    <n v="5.4"/>
    <s v="United Nations Development Programme"/>
    <x v="0"/>
    <s v="Multilateral – UNDP"/>
    <s v="USD"/>
    <s v="Cost of a pack"/>
    <n v="5"/>
    <s v="USD"/>
    <s v="Grant"/>
    <n v="1"/>
    <n v="1"/>
    <n v="12600"/>
    <n v="12600"/>
    <n v="0"/>
    <m/>
    <s v=""/>
    <n v="0"/>
    <m/>
    <s v=""/>
    <m/>
    <s v=""/>
    <n v="12600"/>
    <n v="12600"/>
    <n v="0"/>
    <m/>
    <s v=""/>
    <m/>
    <s v=""/>
    <m/>
    <s v=""/>
    <m/>
    <s v=""/>
    <m/>
    <s v=""/>
    <s v=""/>
    <s v=""/>
    <m/>
    <m/>
    <s v=""/>
    <m/>
    <s v=""/>
    <m/>
    <s v=""/>
    <m/>
    <s v=""/>
    <m/>
    <s v=""/>
    <s v=""/>
    <s v=""/>
    <m/>
    <m/>
    <s v=""/>
    <m/>
    <s v=""/>
    <m/>
    <s v=""/>
    <m/>
    <s v=""/>
    <m/>
    <s v=""/>
    <s v=""/>
    <s v=""/>
    <m/>
    <n v="12600"/>
    <n v="12600"/>
    <s v="PSM Products &amp; Costs"/>
    <s v="as per detailed LOHP"/>
    <n v="12600"/>
  </r>
  <r>
    <n v="47"/>
    <m/>
    <s v="Comprehensive programs for people in prisons and other closed settings"/>
    <s v="HIV testing services for people in prisons and other closed settings"/>
    <s v="Procurement fee, Insurance, Freight, Customs, In-country trans-n etc."/>
    <x v="8"/>
    <x v="1"/>
    <n v="7.7"/>
    <s v="United Nations Development Programme"/>
    <x v="0"/>
    <s v="Multilateral – UNDP"/>
    <s v="USD"/>
    <s v="N/A"/>
    <n v="7"/>
    <s v="USD"/>
    <s v="Grant"/>
    <n v="1"/>
    <n v="1"/>
    <n v="3854.62"/>
    <n v="3854.62"/>
    <m/>
    <m/>
    <s v=""/>
    <n v="0"/>
    <m/>
    <s v=""/>
    <m/>
    <s v=""/>
    <n v="3854.62"/>
    <n v="3854.62"/>
    <n v="0"/>
    <m/>
    <s v=""/>
    <m/>
    <s v=""/>
    <m/>
    <s v=""/>
    <m/>
    <s v=""/>
    <m/>
    <s v=""/>
    <s v=""/>
    <s v=""/>
    <m/>
    <m/>
    <s v=""/>
    <m/>
    <s v=""/>
    <m/>
    <s v=""/>
    <m/>
    <s v=""/>
    <m/>
    <s v=""/>
    <s v=""/>
    <s v=""/>
    <m/>
    <m/>
    <s v=""/>
    <m/>
    <s v=""/>
    <m/>
    <s v=""/>
    <m/>
    <s v=""/>
    <m/>
    <s v=""/>
    <s v=""/>
    <s v=""/>
    <m/>
    <n v="3854.62"/>
    <n v="3854.62"/>
    <s v="PSM Products &amp; Costs"/>
    <s v="as per detailed LOHP"/>
    <n v="3854.62"/>
  </r>
  <r>
    <n v="48"/>
    <m/>
    <s v="Comprehensive programs for people in prisons and other closed settings"/>
    <s v="HIV testing services for people in prisons and other closed settings"/>
    <s v="HIV ELISA test, Ag/Ab; Disinfectant napkins; "/>
    <x v="4"/>
    <x v="1"/>
    <n v="5.8"/>
    <s v="United Nations Development Programme"/>
    <x v="0"/>
    <s v="Multilateral – UNDP"/>
    <s v="USD"/>
    <s v="N/A"/>
    <n v="5"/>
    <s v="USD"/>
    <s v="Grant"/>
    <n v="1"/>
    <n v="1"/>
    <n v="4921"/>
    <n v="4921"/>
    <n v="0"/>
    <m/>
    <s v=""/>
    <n v="0"/>
    <m/>
    <s v=""/>
    <m/>
    <s v=""/>
    <n v="4921"/>
    <n v="4921"/>
    <n v="0"/>
    <m/>
    <s v=""/>
    <m/>
    <s v=""/>
    <m/>
    <s v=""/>
    <m/>
    <s v=""/>
    <m/>
    <s v=""/>
    <s v=""/>
    <s v=""/>
    <m/>
    <m/>
    <s v=""/>
    <m/>
    <s v=""/>
    <m/>
    <s v=""/>
    <m/>
    <s v=""/>
    <m/>
    <s v=""/>
    <s v=""/>
    <s v=""/>
    <m/>
    <m/>
    <s v=""/>
    <m/>
    <s v=""/>
    <m/>
    <s v=""/>
    <m/>
    <s v=""/>
    <m/>
    <s v=""/>
    <s v=""/>
    <s v=""/>
    <m/>
    <n v="4921"/>
    <n v="4921"/>
    <s v="PSM Products &amp; Costs"/>
    <s v="as per detailed LOHP"/>
    <n v="4921"/>
  </r>
  <r>
    <n v="49"/>
    <m/>
    <s v="Comprehensive prevention programs for MSM"/>
    <s v="Condoms and lubricant programming for MSM"/>
    <s v="Male Latex Condom; "/>
    <x v="9"/>
    <x v="1"/>
    <n v="5.2"/>
    <s v="United Nations Development Programme"/>
    <x v="0"/>
    <s v="Multilateral – UNDP"/>
    <s v="USD"/>
    <s v="Cost of a pack"/>
    <n v="5"/>
    <s v="USD"/>
    <s v="Grant"/>
    <n v="1"/>
    <n v="1"/>
    <n v="16676.400000000001"/>
    <n v="16676.400000000001"/>
    <n v="0"/>
    <m/>
    <s v=""/>
    <n v="0"/>
    <m/>
    <s v=""/>
    <m/>
    <s v=""/>
    <n v="16676.400000000001"/>
    <n v="16676.400000000001"/>
    <n v="0"/>
    <m/>
    <s v=""/>
    <m/>
    <s v=""/>
    <m/>
    <s v=""/>
    <m/>
    <s v=""/>
    <m/>
    <s v=""/>
    <s v=""/>
    <s v=""/>
    <m/>
    <m/>
    <s v=""/>
    <m/>
    <s v=""/>
    <m/>
    <s v=""/>
    <m/>
    <s v=""/>
    <m/>
    <s v=""/>
    <s v=""/>
    <s v=""/>
    <m/>
    <m/>
    <s v=""/>
    <m/>
    <s v=""/>
    <m/>
    <s v=""/>
    <m/>
    <s v=""/>
    <m/>
    <s v=""/>
    <s v=""/>
    <s v=""/>
    <m/>
    <n v="16676.400000000001"/>
    <n v="16676.400000000001"/>
    <s v="PSM Products &amp; Costs"/>
    <s v="as per detailed LOHP"/>
    <n v="16676.400000000001"/>
  </r>
  <r>
    <n v="50"/>
    <m/>
    <s v="Comprehensive prevention programs for MSM"/>
    <s v="HIV testing services for MSM"/>
    <s v="Rapid Diagnostic Test - HIV; "/>
    <x v="1"/>
    <x v="1"/>
    <n v="5.4"/>
    <s v="United Nations Development Programme"/>
    <x v="0"/>
    <s v="Multilateral – UNDP"/>
    <s v="USD"/>
    <s v="Cost of a pack"/>
    <n v="5"/>
    <s v="USD"/>
    <s v="Grant"/>
    <n v="1"/>
    <n v="1"/>
    <n v="19241.25"/>
    <n v="19241.25"/>
    <n v="0"/>
    <m/>
    <s v=""/>
    <n v="0"/>
    <m/>
    <s v=""/>
    <m/>
    <s v=""/>
    <n v="19241.25"/>
    <n v="19241.25"/>
    <n v="0"/>
    <m/>
    <s v=""/>
    <m/>
    <s v=""/>
    <m/>
    <s v=""/>
    <m/>
    <s v=""/>
    <m/>
    <s v=""/>
    <s v=""/>
    <s v=""/>
    <m/>
    <m/>
    <s v=""/>
    <m/>
    <s v=""/>
    <m/>
    <s v=""/>
    <m/>
    <s v=""/>
    <m/>
    <s v=""/>
    <s v=""/>
    <s v=""/>
    <m/>
    <m/>
    <s v=""/>
    <m/>
    <s v=""/>
    <m/>
    <s v=""/>
    <m/>
    <s v=""/>
    <m/>
    <s v=""/>
    <s v=""/>
    <s v=""/>
    <m/>
    <n v="19241.25"/>
    <n v="19241.25"/>
    <s v="PSM Products &amp; Costs"/>
    <s v="as per detailed LOHP"/>
    <n v="19241.25"/>
  </r>
  <r>
    <n v="51"/>
    <m/>
    <s v="Comprehensive prevention programs for MSM"/>
    <s v="Condoms and lubricant programming for MSM"/>
    <s v="Procurement fee, Insurance, Freight, Customs, In-country trans-n etc."/>
    <x v="8"/>
    <x v="1"/>
    <n v="7.7"/>
    <s v="United Nations Development Programme"/>
    <x v="0"/>
    <s v="Multilateral – UNDP"/>
    <s v="USD"/>
    <s v="N/A"/>
    <n v="7"/>
    <s v="USD"/>
    <s v="Grant"/>
    <n v="1"/>
    <n v="1"/>
    <n v="11957.2"/>
    <n v="11957.2"/>
    <m/>
    <m/>
    <s v=""/>
    <n v="0"/>
    <m/>
    <s v=""/>
    <m/>
    <s v=""/>
    <n v="11957.2"/>
    <n v="11957.2"/>
    <n v="0"/>
    <m/>
    <s v=""/>
    <m/>
    <s v=""/>
    <m/>
    <s v=""/>
    <m/>
    <s v=""/>
    <m/>
    <s v=""/>
    <s v=""/>
    <s v=""/>
    <m/>
    <m/>
    <s v=""/>
    <m/>
    <s v=""/>
    <m/>
    <s v=""/>
    <m/>
    <s v=""/>
    <m/>
    <s v=""/>
    <s v=""/>
    <s v=""/>
    <m/>
    <m/>
    <s v=""/>
    <m/>
    <s v=""/>
    <m/>
    <s v=""/>
    <m/>
    <s v=""/>
    <m/>
    <s v=""/>
    <s v=""/>
    <s v=""/>
    <m/>
    <n v="11957.2"/>
    <n v="11957.2"/>
    <s v="PSM Products &amp; Costs"/>
    <s v="as per detailed LOHP"/>
    <n v="11957.2"/>
  </r>
  <r>
    <n v="52"/>
    <m/>
    <s v="Comprehensive prevention programs for MSM"/>
    <s v="HIV testing services for MSM"/>
    <s v="Procurement fee, Insurance, Freight, Customs, In-country trans-n etc."/>
    <x v="8"/>
    <x v="1"/>
    <n v="7.7"/>
    <s v="United Nations Development Programme"/>
    <x v="0"/>
    <s v="Multilateral – UNDP"/>
    <s v="USD"/>
    <s v="N/A"/>
    <n v="7"/>
    <s v="USD"/>
    <s v="Grant"/>
    <n v="1"/>
    <n v="1"/>
    <n v="5230.1149999999998"/>
    <n v="5230.1149999999998"/>
    <m/>
    <m/>
    <s v=""/>
    <n v="0"/>
    <m/>
    <s v=""/>
    <m/>
    <s v=""/>
    <n v="5230.1149999999998"/>
    <n v="5230.1149999999998"/>
    <n v="0"/>
    <m/>
    <s v=""/>
    <m/>
    <s v=""/>
    <m/>
    <s v=""/>
    <m/>
    <s v=""/>
    <m/>
    <s v=""/>
    <s v=""/>
    <s v=""/>
    <m/>
    <m/>
    <s v=""/>
    <m/>
    <s v=""/>
    <m/>
    <s v=""/>
    <m/>
    <s v=""/>
    <m/>
    <s v=""/>
    <s v=""/>
    <s v=""/>
    <m/>
    <m/>
    <s v=""/>
    <m/>
    <s v=""/>
    <m/>
    <s v=""/>
    <m/>
    <s v=""/>
    <m/>
    <s v=""/>
    <s v=""/>
    <s v=""/>
    <m/>
    <n v="5230.1149999999998"/>
    <n v="5230.1149999999998"/>
    <s v="PSM Products &amp; Costs"/>
    <s v="as per detailed LOHP"/>
    <n v="5230.1149999999998"/>
  </r>
  <r>
    <n v="53"/>
    <m/>
    <s v="Comprehensive prevention programs for MSM"/>
    <s v="Condoms and lubricant programming for MSM"/>
    <s v="Lubricant; "/>
    <x v="4"/>
    <x v="1"/>
    <n v="5.8"/>
    <s v="United Nations Development Programme"/>
    <x v="0"/>
    <s v="Multilateral – UNDP"/>
    <s v="USD"/>
    <s v="N/A"/>
    <n v="5"/>
    <s v="USD"/>
    <s v="Grant"/>
    <n v="1"/>
    <n v="1"/>
    <n v="7238"/>
    <n v="7238"/>
    <n v="0"/>
    <m/>
    <s v=""/>
    <n v="0"/>
    <m/>
    <s v=""/>
    <m/>
    <s v=""/>
    <n v="7238"/>
    <n v="7238"/>
    <n v="0"/>
    <m/>
    <s v=""/>
    <m/>
    <s v=""/>
    <m/>
    <s v=""/>
    <m/>
    <s v=""/>
    <m/>
    <s v=""/>
    <s v=""/>
    <s v=""/>
    <m/>
    <m/>
    <s v=""/>
    <m/>
    <s v=""/>
    <m/>
    <s v=""/>
    <m/>
    <s v=""/>
    <m/>
    <s v=""/>
    <s v=""/>
    <s v=""/>
    <m/>
    <m/>
    <s v=""/>
    <m/>
    <s v=""/>
    <m/>
    <s v=""/>
    <m/>
    <s v=""/>
    <m/>
    <s v=""/>
    <s v=""/>
    <s v=""/>
    <m/>
    <n v="7238"/>
    <n v="7238"/>
    <s v="PSM Products &amp; Costs"/>
    <s v="as per detailed LOHP"/>
    <n v="7238"/>
  </r>
  <r>
    <n v="54"/>
    <m/>
    <s v="Comprehensive prevention programs for MSM"/>
    <s v="HIV testing services for MSM"/>
    <s v="HIV ELISA test, Ag/Ab; Disinfectant napkins; "/>
    <x v="4"/>
    <x v="1"/>
    <n v="5.8"/>
    <s v="United Nations Development Programme"/>
    <x v="0"/>
    <s v="Multilateral – UNDP"/>
    <s v="USD"/>
    <s v="N/A"/>
    <n v="5"/>
    <s v="USD"/>
    <s v="Grant"/>
    <n v="1"/>
    <n v="1"/>
    <n v="4532"/>
    <n v="4532"/>
    <n v="0"/>
    <m/>
    <s v=""/>
    <n v="0"/>
    <m/>
    <s v=""/>
    <m/>
    <s v=""/>
    <n v="4532"/>
    <n v="4532"/>
    <n v="0"/>
    <m/>
    <s v=""/>
    <m/>
    <s v=""/>
    <m/>
    <s v=""/>
    <m/>
    <s v=""/>
    <m/>
    <s v=""/>
    <s v=""/>
    <s v=""/>
    <m/>
    <m/>
    <s v=""/>
    <m/>
    <s v=""/>
    <m/>
    <s v=""/>
    <m/>
    <s v=""/>
    <m/>
    <s v=""/>
    <s v=""/>
    <s v=""/>
    <m/>
    <m/>
    <s v=""/>
    <m/>
    <s v=""/>
    <m/>
    <s v=""/>
    <m/>
    <s v=""/>
    <m/>
    <s v=""/>
    <s v=""/>
    <s v=""/>
    <m/>
    <n v="4532"/>
    <n v="4532"/>
    <s v="PSM Products &amp; Costs"/>
    <s v="as per detailed LOHP"/>
    <n v="4532"/>
  </r>
  <r>
    <n v="55"/>
    <m/>
    <s v="Prevention programs for other vulnerable populations"/>
    <s v="HIV testing services for other vulnerable populations"/>
    <s v="Procurement fee, Insurance, Freight, Customs, In-country trans-n etc."/>
    <x v="8"/>
    <x v="1"/>
    <n v="7.7"/>
    <s v="United Nations Development Programme"/>
    <x v="0"/>
    <s v="Multilateral – UNDP"/>
    <s v="USD"/>
    <s v="N/A"/>
    <n v="7"/>
    <s v="USD"/>
    <s v="Grant"/>
    <n v="1"/>
    <n v="1"/>
    <n v="496.1"/>
    <n v="496.1"/>
    <m/>
    <m/>
    <s v=""/>
    <n v="0"/>
    <m/>
    <s v=""/>
    <m/>
    <s v=""/>
    <n v="496.1"/>
    <n v="496.1"/>
    <n v="0"/>
    <m/>
    <s v=""/>
    <m/>
    <s v=""/>
    <m/>
    <s v=""/>
    <m/>
    <s v=""/>
    <m/>
    <s v=""/>
    <s v=""/>
    <s v=""/>
    <m/>
    <m/>
    <s v=""/>
    <m/>
    <s v=""/>
    <m/>
    <s v=""/>
    <m/>
    <s v=""/>
    <m/>
    <s v=""/>
    <s v=""/>
    <s v=""/>
    <m/>
    <m/>
    <s v=""/>
    <m/>
    <s v=""/>
    <m/>
    <s v=""/>
    <m/>
    <s v=""/>
    <m/>
    <s v=""/>
    <s v=""/>
    <s v=""/>
    <m/>
    <n v="496.1"/>
    <n v="496.1"/>
    <s v="PSM Products &amp; Costs"/>
    <s v="as per detailed LOHP"/>
    <n v="496.1"/>
  </r>
  <r>
    <n v="56"/>
    <s v="1.1.2"/>
    <s v="Comprehensive prevention programs for people who inject drugs (PWID) and their partners"/>
    <s v="Needle and Syringe programs for PWID and their partners"/>
    <s v="The support of consolidated projects (GOV NEPs - and NGO NEPs) of needle exchange points thoughout the country - the programme staff salaries."/>
    <x v="16"/>
    <x v="1"/>
    <n v="1.2"/>
    <s v="PWID SR  (RCN and NGOs)"/>
    <x v="1"/>
    <s v="Civil Society - Local Non-Governmental Organization"/>
    <s v="USD"/>
    <s v="Average payment per FTE (person) per quarter"/>
    <n v="1"/>
    <s v="KGS"/>
    <s v="Local"/>
    <n v="39925.528188405806"/>
    <n v="583.70655246207309"/>
    <n v="207"/>
    <n v="120827.25635964912"/>
    <n v="94426.02587719298"/>
    <n v="207"/>
    <n v="120827.25635964912"/>
    <n v="94426.02587719298"/>
    <m/>
    <s v=""/>
    <m/>
    <s v=""/>
    <n v="414"/>
    <n v="241654.51271929825"/>
    <n v="188852.05175438596"/>
    <m/>
    <s v=""/>
    <m/>
    <s v=""/>
    <m/>
    <s v=""/>
    <m/>
    <s v=""/>
    <m/>
    <s v=""/>
    <s v=""/>
    <s v=""/>
    <m/>
    <m/>
    <s v=""/>
    <m/>
    <s v=""/>
    <m/>
    <s v=""/>
    <m/>
    <s v=""/>
    <m/>
    <s v=""/>
    <s v=""/>
    <s v=""/>
    <m/>
    <m/>
    <s v=""/>
    <m/>
    <s v=""/>
    <m/>
    <s v=""/>
    <m/>
    <s v=""/>
    <m/>
    <s v=""/>
    <s v=""/>
    <s v=""/>
    <m/>
    <n v="414"/>
    <n v="241654.51271929825"/>
    <m/>
    <m/>
    <n v="52802.460964912287"/>
  </r>
  <r>
    <n v="57"/>
    <s v="9.14.1"/>
    <s v="Program management"/>
    <s v="Grant management"/>
    <s v="The support of consolidated projects (GOV NEPs - and NGO NEPs) of needle exchange points thoughout the country - the administrative staff salaries."/>
    <x v="17"/>
    <x v="1"/>
    <n v="1.1000000000000001"/>
    <s v="PWID SR  (RCN and NGOs)"/>
    <x v="1"/>
    <s v="Civil Society - Local Non-Governmental Organization"/>
    <s v="USD"/>
    <s v="Average gross salary per FTE (person) per quarter"/>
    <n v="1"/>
    <s v="KGS"/>
    <s v="Local"/>
    <n v="67906.429137931045"/>
    <n v="992.78405172413795"/>
    <n v="29"/>
    <n v="28790.737499999999"/>
    <n v="18100.523026315786"/>
    <n v="29"/>
    <n v="28790.737499999999"/>
    <n v="18100.523026315786"/>
    <m/>
    <s v=""/>
    <m/>
    <s v=""/>
    <n v="58"/>
    <n v="57581.474999999999"/>
    <n v="36201.046052631573"/>
    <m/>
    <s v=""/>
    <m/>
    <s v=""/>
    <m/>
    <s v=""/>
    <m/>
    <s v=""/>
    <m/>
    <s v=""/>
    <s v=""/>
    <s v=""/>
    <m/>
    <m/>
    <s v=""/>
    <m/>
    <s v=""/>
    <m/>
    <s v=""/>
    <m/>
    <s v=""/>
    <m/>
    <s v=""/>
    <s v=""/>
    <s v=""/>
    <m/>
    <m/>
    <s v=""/>
    <m/>
    <s v=""/>
    <m/>
    <s v=""/>
    <m/>
    <s v=""/>
    <m/>
    <s v=""/>
    <s v=""/>
    <s v=""/>
    <m/>
    <n v="58"/>
    <n v="57581.474999999999"/>
    <m/>
    <m/>
    <n v="21380.428947368426"/>
  </r>
  <r>
    <n v="58"/>
    <s v="9.14.3"/>
    <s v="Program management"/>
    <s v="Grant management"/>
    <s v="The support of consolidated projects (GOV NEPs - and NGO NEPs) of needle exchange points thoughout the country - office related costs."/>
    <x v="18"/>
    <x v="1"/>
    <n v="11.1"/>
    <s v="PWID SR  (RCN and NGOs)"/>
    <x v="1"/>
    <s v="Civil Society - Local Non-Governmental Organization"/>
    <s v="USD"/>
    <s v="Average office cost per office unit per quarter"/>
    <n v="11"/>
    <s v="KGS"/>
    <s v="Local"/>
    <n v="95535.827755618549"/>
    <n v="1396.7226280061191"/>
    <n v="15"/>
    <n v="20950.839420091786"/>
    <n v="12200.964912280699"/>
    <n v="15"/>
    <n v="20950.839420091786"/>
    <n v="12200.964912280699"/>
    <m/>
    <s v=""/>
    <m/>
    <s v=""/>
    <n v="30"/>
    <n v="41901.678840183573"/>
    <n v="24401.929824561397"/>
    <m/>
    <s v=""/>
    <m/>
    <s v=""/>
    <m/>
    <s v=""/>
    <m/>
    <s v=""/>
    <m/>
    <s v=""/>
    <s v=""/>
    <s v=""/>
    <m/>
    <m/>
    <s v=""/>
    <m/>
    <s v=""/>
    <m/>
    <s v=""/>
    <m/>
    <s v=""/>
    <m/>
    <s v=""/>
    <s v=""/>
    <s v=""/>
    <m/>
    <m/>
    <s v=""/>
    <m/>
    <s v=""/>
    <m/>
    <s v=""/>
    <m/>
    <s v=""/>
    <m/>
    <s v=""/>
    <s v=""/>
    <s v=""/>
    <m/>
    <n v="30"/>
    <n v="41901.678840183573"/>
    <m/>
    <m/>
    <n v="17499.749015622176"/>
  </r>
  <r>
    <n v="59"/>
    <s v="1.3.5"/>
    <s v="Comprehensive prevention programs for people who inject drugs (PWID) and their partners"/>
    <s v="OST and other drug dependence treatment for PWID"/>
    <s v="The support of 17 OST units in civil sector by payment to the staff, involved to the OST programme.  "/>
    <x v="19"/>
    <x v="1"/>
    <n v="1.3"/>
    <s v="RCN  (Republican Center of Narcology)"/>
    <x v="1"/>
    <s v="Government - Other"/>
    <s v="USD"/>
    <s v="Average payment per FTE (person) per quarter"/>
    <n v="1"/>
    <s v="KGS"/>
    <s v="Local"/>
    <n v="5728.0429388297862"/>
    <n v="83.743317819148913"/>
    <n v="353.29239874962036"/>
    <n v="29585.877631578947"/>
    <n v="21614.11184210526"/>
    <n v="398.70760125037975"/>
    <n v="33389.097368421048"/>
    <n v="23887.116228070172"/>
    <m/>
    <s v=""/>
    <m/>
    <s v=""/>
    <n v="752.00000000000011"/>
    <n v="62974.974999999991"/>
    <n v="45501.228070175435"/>
    <m/>
    <s v=""/>
    <m/>
    <s v=""/>
    <m/>
    <s v=""/>
    <m/>
    <s v=""/>
    <m/>
    <s v=""/>
    <s v=""/>
    <s v=""/>
    <m/>
    <m/>
    <s v=""/>
    <m/>
    <s v=""/>
    <m/>
    <s v=""/>
    <m/>
    <s v=""/>
    <m/>
    <s v=""/>
    <s v=""/>
    <s v=""/>
    <m/>
    <m/>
    <s v=""/>
    <m/>
    <s v=""/>
    <m/>
    <s v=""/>
    <m/>
    <s v=""/>
    <m/>
    <s v=""/>
    <s v=""/>
    <s v=""/>
    <m/>
    <n v="752.00000000000011"/>
    <n v="62974.974999999991"/>
    <m/>
    <m/>
    <n v="17473.746929824556"/>
  </r>
  <r>
    <n v="60"/>
    <s v="1.3.6"/>
    <s v="Comprehensive prevention programs for people who inject drugs (PWID) and their partners"/>
    <s v="OST and other drug dependence treatment for PWID"/>
    <s v="The support of 7 OST units in penitenciary sector by payment to the staff, involved to the OST programme.  "/>
    <x v="19"/>
    <x v="1"/>
    <n v="1.3"/>
    <s v="RCN  (Republican Center of Narcology)"/>
    <x v="1"/>
    <s v="Government - Other"/>
    <s v="USD"/>
    <s v="Average payment per FTE (person) per quarter"/>
    <n v="1"/>
    <s v="KGS"/>
    <s v="Local"/>
    <n v="5509.3499999999985"/>
    <n v="80.546052631578917"/>
    <n v="125.15094339622644"/>
    <n v="10080.414473684208"/>
    <n v="8994.3092105263149"/>
    <n v="142.84905660377362"/>
    <n v="11505.927631578947"/>
    <n v="10110.241228070174"/>
    <m/>
    <s v=""/>
    <m/>
    <s v=""/>
    <n v="268.00000000000006"/>
    <n v="21586.342105263153"/>
    <n v="19104.550438596489"/>
    <m/>
    <s v=""/>
    <m/>
    <s v=""/>
    <m/>
    <s v=""/>
    <m/>
    <s v=""/>
    <m/>
    <s v=""/>
    <s v=""/>
    <s v=""/>
    <m/>
    <m/>
    <s v=""/>
    <m/>
    <s v=""/>
    <m/>
    <s v=""/>
    <m/>
    <s v=""/>
    <m/>
    <s v=""/>
    <s v=""/>
    <s v=""/>
    <m/>
    <m/>
    <s v=""/>
    <m/>
    <s v=""/>
    <m/>
    <s v=""/>
    <m/>
    <s v=""/>
    <m/>
    <s v=""/>
    <s v=""/>
    <s v=""/>
    <m/>
    <n v="268.00000000000006"/>
    <n v="21586.342105263153"/>
    <m/>
    <m/>
    <n v="2481.7916666666642"/>
  </r>
  <r>
    <n v="61"/>
    <s v="1.3.12"/>
    <s v="Comprehensive prevention programs for people who inject drugs (PWID) and their partners"/>
    <s v="OST and other drug dependence treatment for PWID"/>
    <s v="The support of OST programme in  Southern region by procurement of water for patients and Mini sessions for OST clients (once per quarter)"/>
    <x v="20"/>
    <x v="1"/>
    <n v="12.2"/>
    <s v="RCN  (Republican Center of Narcology)"/>
    <x v="1"/>
    <s v="Government - Other"/>
    <s v="USD"/>
    <s v="Average cost of support package per person per quarter"/>
    <n v="12"/>
    <s v="KGS"/>
    <s v="Local"/>
    <n v="151.91999999999999"/>
    <n v="2.2210526315789472"/>
    <n v="750"/>
    <n v="1665.7894736842104"/>
    <n v="415.78947368421046"/>
    <n v="750"/>
    <n v="1665.7894736842104"/>
    <n v="415.78947368421046"/>
    <m/>
    <s v=""/>
    <m/>
    <s v=""/>
    <n v="1500"/>
    <n v="3331.5789473684208"/>
    <n v="831.57894736842093"/>
    <m/>
    <s v=""/>
    <m/>
    <s v=""/>
    <m/>
    <s v=""/>
    <m/>
    <s v=""/>
    <m/>
    <s v=""/>
    <s v=""/>
    <s v=""/>
    <m/>
    <m/>
    <s v=""/>
    <m/>
    <s v=""/>
    <m/>
    <s v=""/>
    <m/>
    <s v=""/>
    <m/>
    <s v=""/>
    <s v=""/>
    <s v=""/>
    <m/>
    <m/>
    <s v=""/>
    <m/>
    <s v=""/>
    <m/>
    <s v=""/>
    <m/>
    <s v=""/>
    <m/>
    <s v=""/>
    <s v=""/>
    <s v=""/>
    <m/>
    <n v="1500"/>
    <n v="3331.5789473684208"/>
    <m/>
    <m/>
    <n v="2500"/>
  </r>
  <r>
    <n v="62"/>
    <s v="9.14.73"/>
    <s v="Comprehensive prevention programs for people who inject drugs (PWID) and their partners"/>
    <s v="OST and other drug dependence treatment for PWID"/>
    <s v="The support of OST programme: Cost for maintenance of surveillance cameras in 16 OST points"/>
    <x v="21"/>
    <x v="1"/>
    <n v="9.3000000000000007"/>
    <s v="RCN  (Republican Center of Narcology)"/>
    <x v="1"/>
    <s v="Government - Other"/>
    <s v="USD"/>
    <s v="N/A"/>
    <n v="9"/>
    <s v="KGS"/>
    <s v="Local"/>
    <n v="1500"/>
    <n v="21.929824561403507"/>
    <n v="5"/>
    <n v="109.64912280701753"/>
    <n v="665.26315789473676"/>
    <n v="5"/>
    <n v="109.64912280701753"/>
    <n v="665.26315789473676"/>
    <m/>
    <s v=""/>
    <m/>
    <s v=""/>
    <n v="10"/>
    <n v="219.29824561403507"/>
    <n v="1330.5263157894735"/>
    <m/>
    <s v=""/>
    <m/>
    <s v=""/>
    <m/>
    <s v=""/>
    <m/>
    <s v=""/>
    <m/>
    <s v=""/>
    <s v=""/>
    <s v=""/>
    <m/>
    <m/>
    <s v=""/>
    <m/>
    <s v=""/>
    <m/>
    <s v=""/>
    <m/>
    <s v=""/>
    <m/>
    <s v=""/>
    <s v=""/>
    <s v=""/>
    <m/>
    <m/>
    <s v=""/>
    <m/>
    <s v=""/>
    <m/>
    <s v=""/>
    <m/>
    <s v=""/>
    <m/>
    <s v=""/>
    <s v=""/>
    <s v=""/>
    <m/>
    <n v="10"/>
    <n v="219.29824561403507"/>
    <m/>
    <m/>
    <n v="-1111.2280701754385"/>
  </r>
  <r>
    <n v="63"/>
    <s v="1.3.9"/>
    <s v="Comprehensive prevention programs for people who inject drugs (PWID) and their partners"/>
    <s v="OST and other drug dependence treatment for PWID"/>
    <s v="The support of OST programme in Osh and Southern region by the methadon substance preparation by pharmacy."/>
    <x v="22"/>
    <x v="1"/>
    <n v="3.4"/>
    <s v="RCN  (Republican Center of Narcology)"/>
    <x v="1"/>
    <s v="Government - Other"/>
    <s v="USD"/>
    <s v="N/A"/>
    <n v="3"/>
    <s v="KGS"/>
    <s v="Local"/>
    <n v="369360.00000000006"/>
    <n v="5400"/>
    <n v="1"/>
    <n v="5400"/>
    <n v="6096.8421052631575"/>
    <n v="1"/>
    <n v="5400"/>
    <n v="6096.8421052631575"/>
    <m/>
    <s v=""/>
    <m/>
    <s v=""/>
    <n v="2"/>
    <n v="10800"/>
    <n v="12193.684210526315"/>
    <m/>
    <s v=""/>
    <m/>
    <s v=""/>
    <m/>
    <s v=""/>
    <m/>
    <s v=""/>
    <m/>
    <s v=""/>
    <s v=""/>
    <s v=""/>
    <m/>
    <m/>
    <s v=""/>
    <m/>
    <s v=""/>
    <m/>
    <s v=""/>
    <m/>
    <s v=""/>
    <m/>
    <s v=""/>
    <s v=""/>
    <s v=""/>
    <m/>
    <m/>
    <s v=""/>
    <m/>
    <s v=""/>
    <m/>
    <s v=""/>
    <m/>
    <s v=""/>
    <m/>
    <s v=""/>
    <s v=""/>
    <s v=""/>
    <m/>
    <n v="2"/>
    <n v="10800"/>
    <m/>
    <m/>
    <n v="-1393.6842105263149"/>
  </r>
  <r>
    <n v="64"/>
    <s v="1.3.7"/>
    <s v="Comprehensive prevention programs for people who inject drugs (PWID) and their partners"/>
    <s v="OST and other drug dependence treatment for PWID"/>
    <s v="The support of 17 OST units in civil sector - M&amp;E visits for project staff "/>
    <x v="23"/>
    <x v="1"/>
    <n v="2.2999999999999998"/>
    <s v="RCN  (Republican Center of Narcology)"/>
    <x v="1"/>
    <s v="Government - Other"/>
    <s v="USD"/>
    <s v="Average cost of subsistence per person per day"/>
    <n v="2"/>
    <s v="KGS"/>
    <s v="Local"/>
    <n v="5688"/>
    <n v="83.157894736842096"/>
    <n v="4"/>
    <n v="332.63157894736838"/>
    <n v="498.9473684210526"/>
    <n v="4"/>
    <n v="332.63157894736838"/>
    <n v="498.9473684210526"/>
    <m/>
    <s v=""/>
    <m/>
    <s v=""/>
    <n v="8"/>
    <n v="665.26315789473676"/>
    <n v="997.8947368421052"/>
    <m/>
    <s v=""/>
    <m/>
    <s v=""/>
    <m/>
    <s v=""/>
    <m/>
    <s v=""/>
    <m/>
    <s v=""/>
    <s v=""/>
    <s v=""/>
    <m/>
    <m/>
    <s v=""/>
    <m/>
    <s v=""/>
    <m/>
    <s v=""/>
    <m/>
    <s v=""/>
    <m/>
    <s v=""/>
    <s v=""/>
    <s v=""/>
    <m/>
    <m/>
    <s v=""/>
    <m/>
    <s v=""/>
    <m/>
    <s v=""/>
    <m/>
    <s v=""/>
    <m/>
    <s v=""/>
    <s v=""/>
    <s v=""/>
    <m/>
    <n v="8"/>
    <n v="665.26315789473676"/>
    <m/>
    <m/>
    <n v="-332.63157894736844"/>
  </r>
  <r>
    <n v="65"/>
    <s v="1.3.8"/>
    <s v="Comprehensive prevention programs for people who inject drugs (PWID) and their partners"/>
    <s v="OST and other drug dependence treatment for PWID"/>
    <s v="The support of 7 OST units in penitenciary sector - M&amp;E visits for project staff "/>
    <x v="23"/>
    <x v="1"/>
    <n v="2.2999999999999998"/>
    <s v="RCN  (Republican Center of Narcology)"/>
    <x v="1"/>
    <s v="Government - Other"/>
    <s v="USD"/>
    <s v="Average cost of subsistence per person per day"/>
    <n v="2"/>
    <s v="KGS"/>
    <s v="Local"/>
    <n v="5688"/>
    <n v="83.157894736842096"/>
    <n v="9"/>
    <n v="748.42105263157885"/>
    <n v="249.4736842105263"/>
    <n v="9"/>
    <n v="748.42105263157885"/>
    <n v="249.4736842105263"/>
    <m/>
    <s v=""/>
    <m/>
    <s v=""/>
    <n v="18"/>
    <n v="1496.8421052631577"/>
    <n v="498.9473684210526"/>
    <m/>
    <s v=""/>
    <m/>
    <s v=""/>
    <m/>
    <s v=""/>
    <m/>
    <s v=""/>
    <m/>
    <s v=""/>
    <s v=""/>
    <s v=""/>
    <m/>
    <m/>
    <s v=""/>
    <m/>
    <s v=""/>
    <m/>
    <s v=""/>
    <m/>
    <s v=""/>
    <m/>
    <s v=""/>
    <s v=""/>
    <s v=""/>
    <m/>
    <m/>
    <s v=""/>
    <m/>
    <s v=""/>
    <m/>
    <s v=""/>
    <m/>
    <s v=""/>
    <m/>
    <s v=""/>
    <s v=""/>
    <s v=""/>
    <m/>
    <n v="18"/>
    <n v="1496.8421052631577"/>
    <m/>
    <m/>
    <n v="997.89473684210509"/>
  </r>
  <r>
    <n v="66"/>
    <s v="3.5.22"/>
    <s v="Comprehensive prevention programs for MSM"/>
    <s v="Behavioral interventions for MSM"/>
    <s v="The support of 4 projects based on NGOs for HIV preventive programme among MSM - the programme staff salaries."/>
    <x v="16"/>
    <x v="1"/>
    <n v="1.2"/>
    <s v="MSM NGO SR "/>
    <x v="1"/>
    <s v="Civil Society - Local Non-Governmental Organization"/>
    <s v="USD"/>
    <s v="Average payment per FTE (person) per quarter"/>
    <n v="1"/>
    <s v="KGS"/>
    <s v="Local"/>
    <n v="45283.792499999996"/>
    <n v="662.04374999999993"/>
    <n v="56"/>
    <n v="37074.449999999997"/>
    <n v="33270.201754385962"/>
    <n v="56"/>
    <n v="37074.449999999997"/>
    <n v="33270.201754385962"/>
    <m/>
    <s v=""/>
    <m/>
    <s v=""/>
    <n v="112"/>
    <n v="74148.899999999994"/>
    <n v="66540.403508771924"/>
    <m/>
    <s v=""/>
    <m/>
    <s v=""/>
    <m/>
    <s v=""/>
    <m/>
    <s v=""/>
    <m/>
    <s v=""/>
    <s v=""/>
    <s v=""/>
    <m/>
    <m/>
    <s v=""/>
    <m/>
    <s v=""/>
    <m/>
    <s v=""/>
    <m/>
    <s v=""/>
    <m/>
    <s v=""/>
    <s v=""/>
    <s v=""/>
    <m/>
    <m/>
    <s v=""/>
    <m/>
    <s v=""/>
    <m/>
    <s v=""/>
    <m/>
    <s v=""/>
    <m/>
    <s v=""/>
    <s v=""/>
    <s v=""/>
    <m/>
    <n v="112"/>
    <n v="74148.899999999994"/>
    <m/>
    <m/>
    <n v="7608.4964912280702"/>
  </r>
  <r>
    <n v="67"/>
    <s v="9.14.21"/>
    <s v="Program management"/>
    <s v="Grant management"/>
    <s v="The support of 4 projects based on NGOs for HIV preventive programme among MSM - the administrative staff salaries."/>
    <x v="17"/>
    <x v="1"/>
    <n v="1.1000000000000001"/>
    <s v="MSM NGO SR "/>
    <x v="1"/>
    <s v="Civil Society - Local Non-Governmental Organization"/>
    <s v="USD"/>
    <s v="Average gross salary per FTE (person) per quarter"/>
    <n v="1"/>
    <s v="KGS"/>
    <s v="Local"/>
    <n v="98043.277499999997"/>
    <n v="1433.3812499999999"/>
    <n v="8"/>
    <n v="11467.05"/>
    <n v="10869.280701754386"/>
    <n v="8"/>
    <n v="11467.05"/>
    <n v="10869.280701754386"/>
    <m/>
    <s v=""/>
    <m/>
    <s v=""/>
    <n v="16"/>
    <n v="22934.1"/>
    <n v="21738.561403508771"/>
    <m/>
    <s v=""/>
    <m/>
    <s v=""/>
    <m/>
    <s v=""/>
    <m/>
    <s v=""/>
    <m/>
    <s v=""/>
    <s v=""/>
    <s v=""/>
    <m/>
    <m/>
    <s v=""/>
    <m/>
    <s v=""/>
    <m/>
    <s v=""/>
    <m/>
    <s v=""/>
    <m/>
    <s v=""/>
    <s v=""/>
    <s v=""/>
    <m/>
    <m/>
    <s v=""/>
    <m/>
    <s v=""/>
    <m/>
    <s v=""/>
    <m/>
    <s v=""/>
    <m/>
    <s v=""/>
    <s v=""/>
    <s v=""/>
    <m/>
    <n v="16"/>
    <n v="22934.1"/>
    <m/>
    <m/>
    <n v="1195.5385964912275"/>
  </r>
  <r>
    <n v="68"/>
    <s v="9.14.23"/>
    <s v="Program management"/>
    <s v="Grant management"/>
    <s v="The support of 4 projects based on NGOs for HIV preventive programme among MSM - the office related costs."/>
    <x v="18"/>
    <x v="1"/>
    <n v="11.1"/>
    <s v="MSM NGO SR "/>
    <x v="1"/>
    <s v="Civil Society - Local Non-Governmental Organization"/>
    <s v="USD"/>
    <s v="Average office cost per office unit per quarter"/>
    <n v="11"/>
    <s v="KGS"/>
    <s v="Local"/>
    <n v="388197.89999999997"/>
    <n v="5675.4078947368407"/>
    <n v="2.2222222222222223"/>
    <n v="12612.017543859647"/>
    <n v="9835.4491228070165"/>
    <n v="2.2222222222222223"/>
    <n v="12612.017543859647"/>
    <n v="9835.4491228070165"/>
    <m/>
    <s v=""/>
    <m/>
    <s v=""/>
    <n v="4.4444444444444446"/>
    <n v="25224.035087719294"/>
    <n v="19670.898245614033"/>
    <m/>
    <s v=""/>
    <m/>
    <s v=""/>
    <m/>
    <s v=""/>
    <m/>
    <s v=""/>
    <m/>
    <s v=""/>
    <s v=""/>
    <s v=""/>
    <m/>
    <m/>
    <s v=""/>
    <m/>
    <s v=""/>
    <m/>
    <s v=""/>
    <m/>
    <s v=""/>
    <m/>
    <s v=""/>
    <s v=""/>
    <s v=""/>
    <m/>
    <m/>
    <s v=""/>
    <m/>
    <s v=""/>
    <m/>
    <s v=""/>
    <m/>
    <s v=""/>
    <m/>
    <s v=""/>
    <s v=""/>
    <s v=""/>
    <m/>
    <n v="4.4444444444444446"/>
    <n v="25224.035087719294"/>
    <m/>
    <m/>
    <n v="5553.1368421052612"/>
  </r>
  <r>
    <n v="69"/>
    <s v="3.5.24"/>
    <s v="Comprehensive prevention programs for MSM"/>
    <s v="Behavioral interventions for MSM"/>
    <s v="The social support of  clients in NGOs working with MSM (food, hygein goods, medicines, etc.). "/>
    <x v="24"/>
    <x v="1"/>
    <n v="12.5"/>
    <s v="MSM NGO SR "/>
    <x v="1"/>
    <s v="Civil Society - Local Non-Governmental Organization"/>
    <s v="USD"/>
    <s v="N/A"/>
    <n v="12"/>
    <s v="KGS"/>
    <s v="Local"/>
    <n v="63448.000000000007"/>
    <n v="927.60233918128654"/>
    <n v="2.3023105535241459"/>
    <n v="2135.6286549707602"/>
    <n v="1977.5219298245611"/>
    <n v="1.6976894464758543"/>
    <n v="1574.780701754386"/>
    <n v="1977.5219298245611"/>
    <m/>
    <s v=""/>
    <m/>
    <s v=""/>
    <n v="4"/>
    <n v="3710.4093567251462"/>
    <n v="3955.0438596491222"/>
    <m/>
    <s v=""/>
    <m/>
    <s v=""/>
    <m/>
    <s v=""/>
    <m/>
    <s v=""/>
    <m/>
    <s v=""/>
    <s v=""/>
    <s v=""/>
    <m/>
    <m/>
    <s v=""/>
    <m/>
    <s v=""/>
    <m/>
    <s v=""/>
    <m/>
    <s v=""/>
    <m/>
    <s v=""/>
    <s v=""/>
    <s v=""/>
    <m/>
    <m/>
    <s v=""/>
    <m/>
    <s v=""/>
    <m/>
    <s v=""/>
    <m/>
    <s v=""/>
    <m/>
    <s v=""/>
    <s v=""/>
    <s v=""/>
    <m/>
    <n v="4"/>
    <n v="3710.4093567251462"/>
    <m/>
    <m/>
    <n v="-244.63450292397602"/>
  </r>
  <r>
    <n v="70"/>
    <s v="2.4.17"/>
    <s v="Comprehensive prevention programs for sex workers and their clients"/>
    <s v="Behavioral interventions for sex workers"/>
    <s v="The support of 6 projects based on NGOs for HIV preventive programme among SWs - the programme staff salaries."/>
    <x v="16"/>
    <x v="1"/>
    <n v="1.2"/>
    <s v="SW NGO SR"/>
    <x v="1"/>
    <s v="Civil Society - Local Non-Governmental Organization"/>
    <s v="USD"/>
    <s v="Average payment per FTE (person) per quarter"/>
    <n v="1"/>
    <s v="KGS"/>
    <s v="Local"/>
    <n v="54182.4444"/>
    <n v="792.14099999999996"/>
    <n v="50"/>
    <n v="39607.049999999996"/>
    <n v="33413.781578947361"/>
    <n v="50"/>
    <n v="39607.049999999996"/>
    <n v="33413.781578947361"/>
    <m/>
    <s v=""/>
    <m/>
    <s v=""/>
    <n v="100"/>
    <n v="79214.099999999991"/>
    <n v="66827.563157894721"/>
    <m/>
    <s v=""/>
    <m/>
    <s v=""/>
    <m/>
    <s v=""/>
    <m/>
    <s v=""/>
    <m/>
    <s v=""/>
    <s v=""/>
    <s v=""/>
    <m/>
    <m/>
    <s v=""/>
    <m/>
    <s v=""/>
    <m/>
    <s v=""/>
    <m/>
    <s v=""/>
    <m/>
    <s v=""/>
    <s v=""/>
    <s v=""/>
    <m/>
    <m/>
    <s v=""/>
    <m/>
    <s v=""/>
    <m/>
    <s v=""/>
    <m/>
    <s v=""/>
    <m/>
    <s v=""/>
    <s v=""/>
    <s v=""/>
    <m/>
    <n v="100"/>
    <n v="79214.099999999991"/>
    <m/>
    <m/>
    <n v="12386.53684210527"/>
  </r>
  <r>
    <n v="71"/>
    <s v="9.14.16"/>
    <s v="Program management"/>
    <s v="Grant management"/>
    <s v="The support of 6 projects based on NGOs for HIV preventive programme among SWs - the administrative staff salaries."/>
    <x v="17"/>
    <x v="1"/>
    <n v="1.1000000000000001"/>
    <s v="SW NGO SR"/>
    <x v="1"/>
    <s v="Civil Society - Local Non-Governmental Organization"/>
    <s v="USD"/>
    <s v="Average gross salary per FTE (person) per quarter"/>
    <n v="1"/>
    <s v="KGS"/>
    <s v="Local"/>
    <n v="88619.895000000004"/>
    <n v="1295.6125"/>
    <n v="12"/>
    <n v="15547.349999999999"/>
    <n v="15429.688596491229"/>
    <n v="12"/>
    <n v="15547.349999999999"/>
    <n v="15429.688596491229"/>
    <m/>
    <s v=""/>
    <m/>
    <s v=""/>
    <n v="24"/>
    <n v="31094.699999999997"/>
    <n v="30859.377192982458"/>
    <m/>
    <s v=""/>
    <m/>
    <s v=""/>
    <m/>
    <s v=""/>
    <m/>
    <s v=""/>
    <m/>
    <s v=""/>
    <s v=""/>
    <s v=""/>
    <m/>
    <m/>
    <s v=""/>
    <m/>
    <s v=""/>
    <m/>
    <s v=""/>
    <m/>
    <s v=""/>
    <m/>
    <s v=""/>
    <s v=""/>
    <s v=""/>
    <m/>
    <m/>
    <s v=""/>
    <m/>
    <s v=""/>
    <m/>
    <s v=""/>
    <m/>
    <s v=""/>
    <m/>
    <s v=""/>
    <s v=""/>
    <s v=""/>
    <m/>
    <n v="24"/>
    <n v="31094.699999999997"/>
    <m/>
    <m/>
    <n v="235.32280701753916"/>
  </r>
  <r>
    <n v="72"/>
    <s v="9.14.18"/>
    <s v="Program management"/>
    <s v="Grant management"/>
    <s v="The support of 6 projects based on NGOs for HIV preventive programme among SWs - the office related costs."/>
    <x v="18"/>
    <x v="1"/>
    <n v="11.1"/>
    <s v="SW NGO SR"/>
    <x v="1"/>
    <s v="Civil Society - Local Non-Governmental Organization"/>
    <s v="USD"/>
    <s v="Average office cost per office unit per quarter"/>
    <n v="11"/>
    <s v="KGS"/>
    <s v="Local"/>
    <n v="232037.09999999998"/>
    <n v="3392.3552631578941"/>
    <n v="3.3333333333333335"/>
    <n v="11307.850877192981"/>
    <n v="9471.6228070175421"/>
    <n v="3.3333333333333335"/>
    <n v="11307.850877192981"/>
    <n v="9471.6228070175421"/>
    <m/>
    <s v=""/>
    <m/>
    <s v=""/>
    <n v="6.666666666666667"/>
    <n v="22615.701754385962"/>
    <n v="18943.245614035084"/>
    <m/>
    <s v=""/>
    <m/>
    <s v=""/>
    <m/>
    <s v=""/>
    <m/>
    <s v=""/>
    <m/>
    <s v=""/>
    <s v=""/>
    <s v=""/>
    <m/>
    <m/>
    <s v=""/>
    <m/>
    <s v=""/>
    <m/>
    <s v=""/>
    <m/>
    <s v=""/>
    <m/>
    <s v=""/>
    <s v=""/>
    <s v=""/>
    <m/>
    <m/>
    <s v=""/>
    <m/>
    <s v=""/>
    <m/>
    <s v=""/>
    <m/>
    <s v=""/>
    <m/>
    <s v=""/>
    <s v=""/>
    <s v=""/>
    <m/>
    <n v="6.666666666666667"/>
    <n v="22615.701754385962"/>
    <m/>
    <m/>
    <n v="3672.4561403508778"/>
  </r>
  <r>
    <n v="73"/>
    <s v="2.4.19"/>
    <s v="Comprehensive prevention programs for sex workers and their clients"/>
    <s v="Behavioral interventions for sex workers"/>
    <s v="The social support of  clients in NGOs working with SWs (food, hygein goods, medicines, etc.). "/>
    <x v="24"/>
    <x v="1"/>
    <n v="12.5"/>
    <s v="SW NGO SR"/>
    <x v="1"/>
    <s v="Civil Society - Local Non-Governmental Organization"/>
    <s v="USD"/>
    <s v="N/A"/>
    <n v="12"/>
    <s v="KGS"/>
    <s v="Local"/>
    <n v="45483"/>
    <n v="664.95614035087715"/>
    <n v="2"/>
    <n v="1329.9122807017543"/>
    <n v="0"/>
    <n v="2"/>
    <n v="1329.9122807017543"/>
    <n v="0"/>
    <m/>
    <s v=""/>
    <m/>
    <s v=""/>
    <n v="4"/>
    <n v="2659.8245614035086"/>
    <n v="0"/>
    <m/>
    <s v=""/>
    <m/>
    <s v=""/>
    <m/>
    <s v=""/>
    <m/>
    <s v=""/>
    <m/>
    <s v=""/>
    <s v=""/>
    <s v=""/>
    <m/>
    <m/>
    <s v=""/>
    <m/>
    <s v=""/>
    <m/>
    <s v=""/>
    <m/>
    <s v=""/>
    <m/>
    <s v=""/>
    <s v=""/>
    <s v=""/>
    <m/>
    <m/>
    <s v=""/>
    <m/>
    <s v=""/>
    <m/>
    <s v=""/>
    <m/>
    <s v=""/>
    <m/>
    <s v=""/>
    <s v=""/>
    <s v=""/>
    <m/>
    <n v="4"/>
    <n v="2659.8245614035086"/>
    <m/>
    <m/>
    <n v="2659.8245614035086"/>
  </r>
  <r>
    <n v="74"/>
    <s v="4.6.26"/>
    <s v="Comprehensive programs for people in prisons and other closed settings"/>
    <s v="Behavioral interventions for people in prisons and other closed settings"/>
    <s v="The support of 13 NSP points in prisons  thoughout the country - the programme staff salaries."/>
    <x v="16"/>
    <x v="1"/>
    <n v="1.2"/>
    <s v="RCN  (Republican Center of Narcology)"/>
    <x v="1"/>
    <s v="Government - Other"/>
    <s v="USD"/>
    <s v="Average payment per FTE (person) per quarter"/>
    <n v="1"/>
    <s v="KGS"/>
    <s v="Local"/>
    <n v="17339.516250000001"/>
    <n v="253.50169956140348"/>
    <n v="26"/>
    <n v="6591.0441885964901"/>
    <n v="4560.9221491228072"/>
    <n v="26"/>
    <n v="6591.0441885964901"/>
    <n v="4560.9221491228072"/>
    <m/>
    <s v=""/>
    <m/>
    <s v=""/>
    <n v="52"/>
    <n v="13182.08837719298"/>
    <n v="9121.8442982456145"/>
    <m/>
    <s v=""/>
    <m/>
    <s v=""/>
    <m/>
    <s v=""/>
    <m/>
    <s v=""/>
    <m/>
    <s v=""/>
    <s v=""/>
    <s v=""/>
    <m/>
    <m/>
    <s v=""/>
    <m/>
    <s v=""/>
    <m/>
    <s v=""/>
    <m/>
    <s v=""/>
    <m/>
    <s v=""/>
    <s v=""/>
    <s v=""/>
    <m/>
    <m/>
    <s v=""/>
    <m/>
    <s v=""/>
    <m/>
    <s v=""/>
    <m/>
    <s v=""/>
    <m/>
    <s v=""/>
    <s v=""/>
    <s v=""/>
    <m/>
    <n v="52"/>
    <n v="13182.08837719298"/>
    <m/>
    <m/>
    <n v="4060.2440789473658"/>
  </r>
  <r>
    <n v="75"/>
    <s v="9.14.29"/>
    <s v="Program management"/>
    <s v="Grant management"/>
    <s v="The support of 13 NSP points in prisons  thoughout the country - office related costs."/>
    <x v="18"/>
    <x v="1"/>
    <n v="11.1"/>
    <s v="RCN  (Republican Center of Narcology)"/>
    <x v="1"/>
    <s v="Government - Other"/>
    <s v="USD"/>
    <s v="Average office cost per office unit per quarter"/>
    <n v="11"/>
    <s v="KGS"/>
    <s v="Local"/>
    <n v="40957.500000000007"/>
    <n v="598.79385964912285"/>
    <n v="2"/>
    <n v="1197.5877192982457"/>
    <n v="1264.1228070175437"/>
    <n v="2"/>
    <n v="1197.5877192982457"/>
    <n v="1264.1228070175437"/>
    <m/>
    <s v=""/>
    <m/>
    <s v=""/>
    <n v="4"/>
    <n v="2395.1754385964914"/>
    <n v="2528.2456140350873"/>
    <m/>
    <s v=""/>
    <m/>
    <s v=""/>
    <m/>
    <s v=""/>
    <m/>
    <s v=""/>
    <m/>
    <s v=""/>
    <s v=""/>
    <s v=""/>
    <m/>
    <m/>
    <s v=""/>
    <m/>
    <s v=""/>
    <m/>
    <s v=""/>
    <m/>
    <s v=""/>
    <m/>
    <s v=""/>
    <s v=""/>
    <s v=""/>
    <m/>
    <m/>
    <s v=""/>
    <m/>
    <s v=""/>
    <m/>
    <s v=""/>
    <m/>
    <s v=""/>
    <m/>
    <s v=""/>
    <s v=""/>
    <s v=""/>
    <m/>
    <n v="4"/>
    <n v="2395.1754385964914"/>
    <m/>
    <m/>
    <n v="-133.07017543859592"/>
  </r>
  <r>
    <n v="76"/>
    <s v="4.6.27"/>
    <s v="Comprehensive programs for people in prisons and other closed settings"/>
    <s v="Behavioral interventions for people in prisons and other closed settings"/>
    <s v="The support of 13 NEP points in prisons  thoughout the country - costs for M&amp;E visits for project staff "/>
    <x v="23"/>
    <x v="1"/>
    <n v="2.2999999999999998"/>
    <s v="RCN  (Republican Center of Narcology)"/>
    <x v="1"/>
    <s v="Government - Other"/>
    <s v="USD"/>
    <s v="Average cost of subsistence per person per day"/>
    <n v="2"/>
    <s v="KGS"/>
    <s v="Local"/>
    <n v="5688"/>
    <n v="83.157894736842096"/>
    <n v="2"/>
    <n v="166.31578947368419"/>
    <n v="166.31578947368419"/>
    <n v="2"/>
    <n v="166.31578947368419"/>
    <n v="166.31578947368419"/>
    <m/>
    <s v=""/>
    <m/>
    <s v=""/>
    <n v="4"/>
    <n v="332.63157894736838"/>
    <n v="332.63157894736838"/>
    <m/>
    <s v=""/>
    <m/>
    <s v=""/>
    <m/>
    <s v=""/>
    <m/>
    <s v=""/>
    <m/>
    <s v=""/>
    <s v=""/>
    <s v=""/>
    <m/>
    <m/>
    <s v=""/>
    <m/>
    <s v=""/>
    <m/>
    <s v=""/>
    <m/>
    <s v=""/>
    <m/>
    <s v=""/>
    <s v=""/>
    <s v=""/>
    <m/>
    <m/>
    <s v=""/>
    <m/>
    <s v=""/>
    <m/>
    <s v=""/>
    <m/>
    <s v=""/>
    <m/>
    <s v=""/>
    <s v=""/>
    <s v=""/>
    <m/>
    <n v="4"/>
    <n v="332.63157894736838"/>
    <m/>
    <m/>
    <n v="0"/>
  </r>
  <r>
    <n v="77"/>
    <s v="4.6.28"/>
    <s v="Comprehensive programs for people in prisons and other closed settings"/>
    <s v="Behavioral interventions for people in prisons and other closed settings"/>
    <s v="The support of management of 15 NSP points in 12 prisons  thoughout the country - the coordinator salaries."/>
    <x v="25"/>
    <x v="1"/>
    <n v="3.1"/>
    <s v="RCN  (Republican Center of Narcology)"/>
    <x v="1"/>
    <s v="Government - Other"/>
    <s v="USD"/>
    <s v="Consultant fee per person per workday"/>
    <n v="3"/>
    <s v="KGS"/>
    <s v="Local"/>
    <n v="35984.025000000001"/>
    <n v="526.0822368421052"/>
    <n v="2"/>
    <n v="1052.1644736842104"/>
    <n v="2883.4243421052629"/>
    <n v="2"/>
    <n v="1052.1644736842104"/>
    <n v="2883.4243421052629"/>
    <m/>
    <s v=""/>
    <m/>
    <s v=""/>
    <n v="4"/>
    <n v="2104.3289473684208"/>
    <n v="5766.8486842105258"/>
    <m/>
    <s v=""/>
    <m/>
    <s v=""/>
    <m/>
    <s v=""/>
    <m/>
    <s v=""/>
    <m/>
    <s v=""/>
    <s v=""/>
    <s v=""/>
    <m/>
    <m/>
    <s v=""/>
    <m/>
    <s v=""/>
    <m/>
    <s v=""/>
    <m/>
    <s v=""/>
    <m/>
    <s v=""/>
    <s v=""/>
    <s v=""/>
    <m/>
    <m/>
    <s v=""/>
    <m/>
    <s v=""/>
    <m/>
    <s v=""/>
    <m/>
    <s v=""/>
    <m/>
    <s v=""/>
    <s v=""/>
    <s v=""/>
    <m/>
    <n v="4"/>
    <n v="2104.3289473684208"/>
    <m/>
    <m/>
    <n v="-3662.519736842105"/>
  </r>
  <r>
    <n v="78"/>
    <s v="6.10.43"/>
    <s v="RSSH: Community responses and systems"/>
    <s v="Institutional capacity building, planning and leadership development"/>
    <s v="The support of National Networks working witn PLHIV, PWID and SWS/MSM thoughout the country - the programme staff salaries."/>
    <x v="16"/>
    <x v="1"/>
    <n v="1.2"/>
    <s v="Networks NGO SRs"/>
    <x v="1"/>
    <s v="Civil Society - Local Non-Governmental Organization"/>
    <s v="USD"/>
    <s v="Average payment per FTE (person) per quarter"/>
    <n v="1"/>
    <s v="KGS"/>
    <s v="Local"/>
    <n v="70535.645833333328"/>
    <n v="1031.2228923001949"/>
    <n v="6"/>
    <n v="6187.3373538011692"/>
    <n v="4628.28947368421"/>
    <n v="6"/>
    <n v="6187.3373538011692"/>
    <n v="4628.28947368421"/>
    <m/>
    <s v=""/>
    <m/>
    <s v=""/>
    <n v="12"/>
    <n v="12374.674707602338"/>
    <n v="9256.5789473684199"/>
    <m/>
    <s v=""/>
    <m/>
    <s v=""/>
    <m/>
    <s v=""/>
    <m/>
    <s v=""/>
    <m/>
    <s v=""/>
    <s v=""/>
    <s v=""/>
    <m/>
    <m/>
    <s v=""/>
    <m/>
    <s v=""/>
    <m/>
    <s v=""/>
    <m/>
    <s v=""/>
    <m/>
    <s v=""/>
    <s v=""/>
    <s v=""/>
    <m/>
    <m/>
    <s v=""/>
    <m/>
    <s v=""/>
    <m/>
    <s v=""/>
    <m/>
    <s v=""/>
    <m/>
    <s v=""/>
    <s v=""/>
    <s v=""/>
    <m/>
    <n v="12"/>
    <n v="12374.674707602338"/>
    <m/>
    <m/>
    <n v="3118.0957602339186"/>
  </r>
  <r>
    <n v="79"/>
    <s v="6.10.163"/>
    <s v="RSSH: Community responses and systems"/>
    <s v="Institutional capacity building, planning and leadership development"/>
    <s v="The support of National Networks working witn PLHIV, PWID and SWS/MSM thoughout the country - TRC related to M&amp;E visits"/>
    <x v="23"/>
    <x v="1"/>
    <n v="2.2999999999999998"/>
    <s v="Networks NGO SRs"/>
    <x v="1"/>
    <s v="Civil Society - Local Non-Governmental Organization"/>
    <s v="USD"/>
    <s v="Average cost of subsistence per person per day"/>
    <n v="2"/>
    <s v="KGS"/>
    <s v="Local"/>
    <n v="22937.75"/>
    <n v="335.34722222222217"/>
    <n v="2"/>
    <n v="670.69444444444434"/>
    <n v="745.61403508771923"/>
    <n v="2"/>
    <n v="670.69444444444434"/>
    <n v="745.61403508771923"/>
    <m/>
    <s v=""/>
    <m/>
    <s v=""/>
    <n v="4"/>
    <n v="1341.3888888888887"/>
    <n v="1491.2280701754385"/>
    <m/>
    <s v=""/>
    <m/>
    <s v=""/>
    <m/>
    <s v=""/>
    <m/>
    <s v=""/>
    <m/>
    <s v=""/>
    <s v=""/>
    <s v=""/>
    <m/>
    <m/>
    <s v=""/>
    <m/>
    <s v=""/>
    <m/>
    <s v=""/>
    <m/>
    <s v=""/>
    <m/>
    <s v=""/>
    <s v=""/>
    <s v=""/>
    <m/>
    <m/>
    <s v=""/>
    <m/>
    <s v=""/>
    <m/>
    <s v=""/>
    <m/>
    <s v=""/>
    <m/>
    <s v=""/>
    <s v=""/>
    <s v=""/>
    <m/>
    <n v="4"/>
    <n v="1341.3888888888887"/>
    <m/>
    <m/>
    <n v="-149.83918128654977"/>
  </r>
  <r>
    <n v="80"/>
    <s v="6.10.184"/>
    <s v="RSSH: Community responses and systems"/>
    <s v="Institutional capacity building, planning and leadership development"/>
    <s v="The support of National Networks working witn PLHIV, PWID and SWS/MSM thoughout the country - Quarterly meetings with partners"/>
    <x v="26"/>
    <x v="1"/>
    <n v="2.4"/>
    <s v="Networks NGO SRs"/>
    <x v="1"/>
    <s v="Civil Society - Local Non-Governmental Organization"/>
    <s v="USD"/>
    <s v="Average cost of event per participant per day"/>
    <n v="2"/>
    <s v="KGS"/>
    <s v="Local"/>
    <n v="22250"/>
    <n v="325.29239766081866"/>
    <n v="2"/>
    <n v="650.58479532163733"/>
    <n v="175.43859649122805"/>
    <n v="2"/>
    <n v="650.58479532163733"/>
    <n v="175.43859649122805"/>
    <m/>
    <s v=""/>
    <m/>
    <s v=""/>
    <n v="4"/>
    <n v="1301.1695906432747"/>
    <n v="350.87719298245611"/>
    <m/>
    <s v=""/>
    <m/>
    <s v=""/>
    <m/>
    <s v=""/>
    <m/>
    <s v=""/>
    <m/>
    <s v=""/>
    <s v=""/>
    <s v=""/>
    <m/>
    <m/>
    <s v=""/>
    <m/>
    <s v=""/>
    <m/>
    <s v=""/>
    <m/>
    <s v=""/>
    <m/>
    <s v=""/>
    <s v=""/>
    <s v=""/>
    <m/>
    <m/>
    <s v=""/>
    <m/>
    <s v=""/>
    <m/>
    <s v=""/>
    <m/>
    <s v=""/>
    <m/>
    <s v=""/>
    <s v=""/>
    <s v=""/>
    <m/>
    <n v="4"/>
    <n v="1301.1695906432747"/>
    <m/>
    <m/>
    <n v="950.29239766081855"/>
  </r>
  <r>
    <n v="81"/>
    <m/>
    <s v="RSSH: Community responses and systems"/>
    <s v="Institutional capacity building, planning and leadership development"/>
    <s v="The support of National Networks working witn PLHIV, PWID and SWS/MSM thoughout the country - Technical Assistance of the working group on health issues in prisons "/>
    <x v="25"/>
    <x v="1"/>
    <n v="3.1"/>
    <s v="Networks NGO SRs"/>
    <x v="1"/>
    <s v="Civil Society - Local Non-Governmental Organization"/>
    <s v="USD"/>
    <s v="Consultant fee per person per workday"/>
    <n v="3"/>
    <s v="KGS"/>
    <s v="Local"/>
    <n v="36089.550000000003"/>
    <n v="527.625"/>
    <n v="5"/>
    <n v="2638.125"/>
    <n v="0"/>
    <n v="5"/>
    <n v="2638.125"/>
    <n v="0"/>
    <m/>
    <s v=""/>
    <m/>
    <s v=""/>
    <n v="10"/>
    <n v="5276.25"/>
    <n v="0"/>
    <m/>
    <s v=""/>
    <m/>
    <s v=""/>
    <m/>
    <s v=""/>
    <m/>
    <s v=""/>
    <m/>
    <s v=""/>
    <s v=""/>
    <s v=""/>
    <m/>
    <m/>
    <s v=""/>
    <m/>
    <s v=""/>
    <m/>
    <s v=""/>
    <m/>
    <s v=""/>
    <m/>
    <s v=""/>
    <s v=""/>
    <s v=""/>
    <m/>
    <m/>
    <s v=""/>
    <m/>
    <s v=""/>
    <m/>
    <s v=""/>
    <m/>
    <s v=""/>
    <m/>
    <s v=""/>
    <s v=""/>
    <s v=""/>
    <m/>
    <n v="10"/>
    <n v="5276.25"/>
    <m/>
    <m/>
    <n v="5276.25"/>
  </r>
  <r>
    <n v="82"/>
    <s v="9.14.42"/>
    <s v="Program management"/>
    <s v="Grant management"/>
    <s v="The support of National Networks working witn PLHIV, PWID and SWS/MSM thoughout the country - the administrative staff salaries."/>
    <x v="17"/>
    <x v="1"/>
    <n v="1.1000000000000001"/>
    <s v="Networks NGO SRs"/>
    <x v="1"/>
    <s v="Civil Society - Local Non-Governmental Organization"/>
    <s v="USD"/>
    <s v="Average gross salary per FTE (person) per quarter"/>
    <n v="1"/>
    <s v="KGS"/>
    <s v="Local"/>
    <n v="81802.98000000001"/>
    <n v="1195.95"/>
    <n v="2"/>
    <n v="2391.9"/>
    <n v="2314.144736842105"/>
    <n v="2"/>
    <n v="2391.9"/>
    <n v="2314.144736842105"/>
    <m/>
    <s v=""/>
    <m/>
    <s v=""/>
    <n v="4"/>
    <n v="4783.8"/>
    <n v="4628.28947368421"/>
    <m/>
    <s v=""/>
    <m/>
    <s v=""/>
    <m/>
    <s v=""/>
    <m/>
    <s v=""/>
    <m/>
    <s v=""/>
    <s v=""/>
    <s v=""/>
    <m/>
    <m/>
    <s v=""/>
    <m/>
    <s v=""/>
    <m/>
    <s v=""/>
    <m/>
    <s v=""/>
    <m/>
    <s v=""/>
    <s v=""/>
    <s v=""/>
    <m/>
    <m/>
    <s v=""/>
    <m/>
    <s v=""/>
    <m/>
    <s v=""/>
    <m/>
    <s v=""/>
    <m/>
    <s v=""/>
    <s v=""/>
    <s v=""/>
    <m/>
    <n v="4"/>
    <n v="4783.8"/>
    <m/>
    <m/>
    <n v="155.51052631579023"/>
  </r>
  <r>
    <n v="83"/>
    <s v="9.14.44"/>
    <s v="Program management"/>
    <s v="Grant management"/>
    <s v="The support of National Networks working witn PLHIV, PWID and SWS/MSM thoughout the country - the office related costs."/>
    <x v="18"/>
    <x v="1"/>
    <n v="11.1"/>
    <s v="Networks NGO SRs"/>
    <x v="1"/>
    <s v="Civil Society - Local Non-Governmental Organization"/>
    <s v="USD"/>
    <s v="Average office cost per office unit per quarter"/>
    <n v="11"/>
    <s v="KGS"/>
    <s v="Local"/>
    <n v="108384"/>
    <n v="1584.5614035087717"/>
    <n v="1"/>
    <n v="1584.5614035087717"/>
    <n v="956.14035087719287"/>
    <n v="1"/>
    <n v="1584.5614035087717"/>
    <n v="956.14035087719287"/>
    <m/>
    <s v=""/>
    <m/>
    <s v=""/>
    <n v="2"/>
    <n v="3169.1228070175434"/>
    <n v="1912.2807017543857"/>
    <m/>
    <s v=""/>
    <m/>
    <s v=""/>
    <m/>
    <s v=""/>
    <m/>
    <s v=""/>
    <m/>
    <s v=""/>
    <s v=""/>
    <s v=""/>
    <m/>
    <m/>
    <s v=""/>
    <m/>
    <s v=""/>
    <m/>
    <s v=""/>
    <m/>
    <s v=""/>
    <m/>
    <s v=""/>
    <s v=""/>
    <s v=""/>
    <m/>
    <m/>
    <s v=""/>
    <m/>
    <s v=""/>
    <m/>
    <s v=""/>
    <m/>
    <s v=""/>
    <m/>
    <s v=""/>
    <s v=""/>
    <s v=""/>
    <m/>
    <n v="2"/>
    <n v="3169.1228070175434"/>
    <m/>
    <m/>
    <n v="1256.8421052631577"/>
  </r>
  <r>
    <n v="84"/>
    <s v="7.11.45"/>
    <s v="Programs to reduce human rights-related barriers to HIV services"/>
    <s v="HIV and HIV/TB-related legal services"/>
    <s v="The support of the street lawyers project based on NGOs - the payment to outreach workers involved to the project. "/>
    <x v="16"/>
    <x v="1"/>
    <n v="1.2"/>
    <s v="SR TBD"/>
    <x v="1"/>
    <s v="Civil Society - Local Non-Governmental Organization"/>
    <s v="USD"/>
    <s v="Average payment per FTE (person) per quarter"/>
    <n v="1"/>
    <s v="KGS"/>
    <s v="Local"/>
    <n v="21986.133749999997"/>
    <n v="321.43470394736835"/>
    <n v="32"/>
    <n v="10285.910526315787"/>
    <n v="0"/>
    <n v="32"/>
    <n v="10285.910526315787"/>
    <n v="10285.910526315787"/>
    <m/>
    <s v=""/>
    <m/>
    <s v=""/>
    <n v="64"/>
    <n v="20571.821052631574"/>
    <n v="10285.910526315787"/>
    <m/>
    <s v=""/>
    <m/>
    <s v=""/>
    <m/>
    <s v=""/>
    <m/>
    <s v=""/>
    <m/>
    <s v=""/>
    <s v=""/>
    <s v=""/>
    <m/>
    <m/>
    <s v=""/>
    <m/>
    <s v=""/>
    <m/>
    <s v=""/>
    <m/>
    <s v=""/>
    <m/>
    <s v=""/>
    <s v=""/>
    <s v=""/>
    <m/>
    <m/>
    <s v=""/>
    <m/>
    <s v=""/>
    <m/>
    <s v=""/>
    <m/>
    <s v=""/>
    <m/>
    <s v=""/>
    <s v=""/>
    <s v=""/>
    <m/>
    <n v="64"/>
    <n v="20571.821052631574"/>
    <m/>
    <m/>
    <n v="10285.910526315787"/>
  </r>
  <r>
    <n v="85"/>
    <s v="7.11.47"/>
    <s v="Programs to reduce human rights-related barriers to HIV services"/>
    <s v="HIV and HIV/TB-related legal services"/>
    <s v="The support of the street lawers project based on NGOs - the payment to the law company (lawyers) for the consultations. "/>
    <x v="22"/>
    <x v="1"/>
    <n v="3.4"/>
    <s v="SR TBD"/>
    <x v="1"/>
    <s v="Civil Society - Local Non-Governmental Organization"/>
    <s v="USD"/>
    <s v="N/A"/>
    <n v="3"/>
    <s v="KGS"/>
    <s v="Local"/>
    <n v="875016.26250000007"/>
    <n v="12792.635416666666"/>
    <n v="1"/>
    <n v="12792.635416666666"/>
    <n v="0"/>
    <n v="1"/>
    <n v="12792.635416666666"/>
    <n v="10921.052631578947"/>
    <m/>
    <s v=""/>
    <m/>
    <s v=""/>
    <n v="2"/>
    <n v="25585.270833333332"/>
    <n v="10921.052631578947"/>
    <m/>
    <s v=""/>
    <m/>
    <s v=""/>
    <m/>
    <s v=""/>
    <m/>
    <s v=""/>
    <m/>
    <s v=""/>
    <s v=""/>
    <s v=""/>
    <m/>
    <m/>
    <s v=""/>
    <m/>
    <s v=""/>
    <m/>
    <s v=""/>
    <m/>
    <s v=""/>
    <m/>
    <s v=""/>
    <s v=""/>
    <s v=""/>
    <m/>
    <m/>
    <s v=""/>
    <m/>
    <s v=""/>
    <m/>
    <s v=""/>
    <m/>
    <s v=""/>
    <m/>
    <s v=""/>
    <s v=""/>
    <s v=""/>
    <m/>
    <n v="2"/>
    <n v="25585.270833333332"/>
    <m/>
    <m/>
    <n v="14664.218201754386"/>
  </r>
  <r>
    <n v="86"/>
    <s v="7.11.46"/>
    <s v="Programs to reduce human rights-related barriers to HIV services"/>
    <s v="HIV and HIV/TB-related legal services"/>
    <s v="The support of the trainngs for outreach workers and regular work  meetings with the consultants within the street lawyers project. Trainings\Work meetings for street lawyers (1 per quarter)"/>
    <x v="26"/>
    <x v="1"/>
    <n v="2.4"/>
    <s v="SR TBD"/>
    <x v="1"/>
    <s v="Civil Society - Local Non-Governmental Organization"/>
    <s v="USD"/>
    <s v="Average cost of event per participant per day"/>
    <n v="2"/>
    <s v="KGS"/>
    <s v="Local"/>
    <n v="5886.96"/>
    <n v="86.066666666666663"/>
    <n v="98.388845855925638"/>
    <n v="8468"/>
    <n v="0"/>
    <n v="141.61115414407436"/>
    <n v="12188"/>
    <n v="507.67543859649118"/>
    <m/>
    <s v=""/>
    <m/>
    <s v=""/>
    <n v="240"/>
    <n v="20656"/>
    <n v="507.67543859649118"/>
    <m/>
    <s v=""/>
    <m/>
    <s v=""/>
    <m/>
    <s v=""/>
    <m/>
    <s v=""/>
    <m/>
    <s v=""/>
    <s v=""/>
    <s v=""/>
    <m/>
    <m/>
    <s v=""/>
    <m/>
    <s v=""/>
    <m/>
    <s v=""/>
    <m/>
    <s v=""/>
    <m/>
    <s v=""/>
    <s v=""/>
    <s v=""/>
    <m/>
    <m/>
    <s v=""/>
    <m/>
    <s v=""/>
    <m/>
    <s v=""/>
    <m/>
    <s v=""/>
    <m/>
    <s v=""/>
    <s v=""/>
    <s v=""/>
    <m/>
    <n v="240"/>
    <n v="20656"/>
    <m/>
    <m/>
    <n v="20148.324561403508"/>
  </r>
  <r>
    <n v="87"/>
    <s v="5.8.39"/>
    <s v="Treatment, care and support"/>
    <s v="Treatment adherence"/>
    <s v="The support of verification annd payment of the incentives  to PLHIV adherenced to ART - the involved staff salaries. "/>
    <x v="19"/>
    <x v="1"/>
    <n v="1.3"/>
    <s v="AIDS Centers"/>
    <x v="1"/>
    <s v="Government - Other"/>
    <s v="USD"/>
    <s v="Average payment per FTE (person) per quarter"/>
    <n v="1"/>
    <s v="KGS"/>
    <s v="Local"/>
    <n v="28526.924999999996"/>
    <n v="417.06030701754378"/>
    <n v="4"/>
    <n v="1668.2412280701751"/>
    <n v="888.63157894736833"/>
    <n v="4"/>
    <n v="1668.2412280701751"/>
    <n v="888.63157894736833"/>
    <m/>
    <s v=""/>
    <m/>
    <s v=""/>
    <n v="8"/>
    <n v="3336.4824561403502"/>
    <n v="1777.2631578947367"/>
    <m/>
    <s v=""/>
    <m/>
    <s v=""/>
    <m/>
    <s v=""/>
    <m/>
    <s v=""/>
    <m/>
    <s v=""/>
    <s v=""/>
    <s v=""/>
    <m/>
    <m/>
    <s v=""/>
    <m/>
    <s v=""/>
    <m/>
    <s v=""/>
    <m/>
    <s v=""/>
    <m/>
    <s v=""/>
    <s v=""/>
    <s v=""/>
    <m/>
    <m/>
    <s v=""/>
    <m/>
    <s v=""/>
    <m/>
    <s v=""/>
    <m/>
    <s v=""/>
    <m/>
    <s v=""/>
    <s v=""/>
    <s v=""/>
    <m/>
    <n v="8"/>
    <n v="3336.4824561403502"/>
    <m/>
    <m/>
    <n v="1559.2192982456136"/>
  </r>
  <r>
    <n v="88"/>
    <s v="5.8.40"/>
    <s v="Treatment, care and support"/>
    <s v="Treatment adherence"/>
    <s v="The support of incentives to PLHIV adherenced to ART (monthly for 1166 clients per USD 8). "/>
    <x v="27"/>
    <x v="1"/>
    <n v="12.3"/>
    <s v="AIDS Centers"/>
    <x v="1"/>
    <s v="Government - Other"/>
    <s v="USD"/>
    <s v="Average amount of incentives per person per quarter"/>
    <n v="12"/>
    <s v="KGS"/>
    <s v="Local"/>
    <n v="1641.6000000000001"/>
    <n v="24"/>
    <n v="1166"/>
    <n v="27984"/>
    <n v="12280.701754385964"/>
    <n v="1166"/>
    <n v="27984"/>
    <n v="12280.701754385964"/>
    <m/>
    <s v=""/>
    <m/>
    <s v=""/>
    <n v="2332"/>
    <n v="55968"/>
    <n v="24561.403508771928"/>
    <m/>
    <s v=""/>
    <m/>
    <s v=""/>
    <m/>
    <s v=""/>
    <m/>
    <s v=""/>
    <m/>
    <s v=""/>
    <s v=""/>
    <s v=""/>
    <m/>
    <m/>
    <s v=""/>
    <m/>
    <s v=""/>
    <m/>
    <s v=""/>
    <m/>
    <s v=""/>
    <m/>
    <s v=""/>
    <s v=""/>
    <s v=""/>
    <m/>
    <m/>
    <s v=""/>
    <m/>
    <s v=""/>
    <m/>
    <s v=""/>
    <m/>
    <s v=""/>
    <m/>
    <s v=""/>
    <s v=""/>
    <s v=""/>
    <m/>
    <n v="2332"/>
    <n v="55968"/>
    <m/>
    <m/>
    <n v="31406.596491228072"/>
  </r>
  <r>
    <n v="89"/>
    <s v="5.9.31"/>
    <s v="Treatment, care and support"/>
    <s v="Counseling and psycho-social support"/>
    <s v="The support of 6 projects (2 Centres and 4 Services Points) on NGO basis for PLHIV thoughout the country - the programme staff salaries."/>
    <x v="16"/>
    <x v="1"/>
    <n v="1.2"/>
    <s v="PLHIV NGO SRs "/>
    <x v="1"/>
    <s v="Civil Society - Local Non-Governmental Organization"/>
    <s v="USD"/>
    <s v="Average payment per FTE (person) per quarter"/>
    <n v="1"/>
    <s v="KGS"/>
    <s v="Local"/>
    <n v="48537.829565217391"/>
    <n v="709.61739130434773"/>
    <n v="57.5"/>
    <n v="40802.999999999993"/>
    <n v="23861.403508771928"/>
    <n v="57.5"/>
    <n v="40802.999999999993"/>
    <n v="23861.403508771928"/>
    <m/>
    <s v=""/>
    <m/>
    <s v=""/>
    <n v="115"/>
    <n v="81605.999999999985"/>
    <n v="47722.807017543855"/>
    <m/>
    <s v=""/>
    <m/>
    <s v=""/>
    <m/>
    <s v=""/>
    <m/>
    <s v=""/>
    <m/>
    <s v=""/>
    <s v=""/>
    <s v=""/>
    <m/>
    <m/>
    <s v=""/>
    <m/>
    <s v=""/>
    <m/>
    <s v=""/>
    <m/>
    <s v=""/>
    <m/>
    <s v=""/>
    <s v=""/>
    <s v=""/>
    <m/>
    <m/>
    <s v=""/>
    <m/>
    <s v=""/>
    <m/>
    <s v=""/>
    <m/>
    <s v=""/>
    <m/>
    <s v=""/>
    <s v=""/>
    <s v=""/>
    <m/>
    <n v="115"/>
    <n v="81605.999999999985"/>
    <m/>
    <m/>
    <n v="33883.19298245613"/>
  </r>
  <r>
    <n v="90"/>
    <s v="5.9.32"/>
    <s v="Treatment, care and support"/>
    <s v="Counseling and psycho-social support"/>
    <s v="The support of the services for PLHIV in prisons thoughout the country - the medical staff salaries."/>
    <x v="19"/>
    <x v="1"/>
    <n v="1.3"/>
    <s v="AIDS Centers"/>
    <x v="1"/>
    <s v="Government - Other"/>
    <s v="USD"/>
    <s v="Average payment per FTE (person) per quarter"/>
    <n v="1"/>
    <s v="KGS"/>
    <s v="Local"/>
    <n v="20733.395666666671"/>
    <n v="303.1198196881092"/>
    <n v="15"/>
    <n v="4546.7972953216376"/>
    <n v="4130.3369517543852"/>
    <n v="15"/>
    <n v="4546.7972953216376"/>
    <n v="4130.3369517543852"/>
    <m/>
    <s v=""/>
    <m/>
    <s v=""/>
    <n v="30"/>
    <n v="9093.5945906432753"/>
    <n v="8260.6739035087703"/>
    <m/>
    <s v=""/>
    <m/>
    <s v=""/>
    <m/>
    <s v=""/>
    <m/>
    <s v=""/>
    <m/>
    <s v=""/>
    <s v=""/>
    <s v=""/>
    <m/>
    <m/>
    <s v=""/>
    <m/>
    <s v=""/>
    <m/>
    <s v=""/>
    <m/>
    <s v=""/>
    <m/>
    <s v=""/>
    <s v=""/>
    <s v=""/>
    <m/>
    <m/>
    <s v=""/>
    <m/>
    <s v=""/>
    <m/>
    <s v=""/>
    <m/>
    <s v=""/>
    <m/>
    <s v=""/>
    <s v=""/>
    <s v=""/>
    <m/>
    <n v="30"/>
    <n v="9093.5945906432753"/>
    <m/>
    <m/>
    <n v="832.92068713450499"/>
  </r>
  <r>
    <n v="91"/>
    <s v="5.9.33"/>
    <s v="Treatment, care and support"/>
    <s v="Counseling and psycho-social support"/>
    <s v="The support of the services for PLHIV in civil sector  thoughout the country in RC AIDS and regional AIDS centers, 76 Family Medicine Centers - the medical staff, peer and social workers salaries."/>
    <x v="19"/>
    <x v="1"/>
    <n v="1.3"/>
    <s v="AIDS Centers"/>
    <x v="1"/>
    <s v="Government - Other"/>
    <s v="USD"/>
    <s v="Average payment per FTE (person) per quarter"/>
    <n v="1"/>
    <s v="KGS"/>
    <s v="Local"/>
    <n v="8982.6216241529801"/>
    <n v="131.32487754609619"/>
    <n v="166"/>
    <n v="21799.929672651968"/>
    <n v="19018.237353389984"/>
    <n v="166"/>
    <n v="21799.929672651968"/>
    <n v="19018.237353389984"/>
    <m/>
    <s v=""/>
    <m/>
    <s v=""/>
    <n v="332"/>
    <n v="43599.859345303936"/>
    <n v="38036.474706779969"/>
    <m/>
    <s v=""/>
    <m/>
    <s v=""/>
    <m/>
    <s v=""/>
    <m/>
    <s v=""/>
    <m/>
    <s v=""/>
    <s v=""/>
    <s v=""/>
    <m/>
    <m/>
    <s v=""/>
    <m/>
    <s v=""/>
    <m/>
    <s v=""/>
    <m/>
    <s v=""/>
    <m/>
    <s v=""/>
    <s v=""/>
    <s v=""/>
    <m/>
    <m/>
    <s v=""/>
    <m/>
    <s v=""/>
    <m/>
    <s v=""/>
    <m/>
    <s v=""/>
    <m/>
    <s v=""/>
    <s v=""/>
    <s v=""/>
    <m/>
    <n v="332"/>
    <n v="43599.859345303936"/>
    <m/>
    <m/>
    <n v="5563.3846385239667"/>
  </r>
  <r>
    <n v="92"/>
    <m/>
    <s v="Treatment, care and support"/>
    <s v="Counseling and psycho-social support"/>
    <s v="Development and printing of new IEM for PLHIV program and Plastic cards for identification of PLHIV with barcodes"/>
    <x v="28"/>
    <x v="1"/>
    <n v="10.1"/>
    <s v="United Nations Development Programme"/>
    <x v="0"/>
    <s v="Multilateral – UNDP"/>
    <s v="USD"/>
    <s v="N/A"/>
    <n v="10"/>
    <s v="KGS"/>
    <s v="Local"/>
    <n v="68.400000000000006"/>
    <n v="1"/>
    <n v="300"/>
    <n v="300"/>
    <n v="300"/>
    <m/>
    <s v=""/>
    <n v="0"/>
    <m/>
    <s v=""/>
    <m/>
    <s v=""/>
    <n v="300"/>
    <n v="300"/>
    <n v="300"/>
    <m/>
    <s v=""/>
    <m/>
    <s v=""/>
    <m/>
    <s v=""/>
    <m/>
    <s v=""/>
    <m/>
    <s v=""/>
    <s v=""/>
    <s v=""/>
    <m/>
    <m/>
    <s v=""/>
    <m/>
    <s v=""/>
    <m/>
    <s v=""/>
    <m/>
    <s v=""/>
    <m/>
    <s v=""/>
    <s v=""/>
    <s v=""/>
    <m/>
    <m/>
    <s v=""/>
    <m/>
    <s v=""/>
    <m/>
    <s v=""/>
    <m/>
    <s v=""/>
    <m/>
    <s v=""/>
    <s v=""/>
    <s v=""/>
    <m/>
    <n v="300"/>
    <n v="300"/>
    <m/>
    <m/>
    <n v="0"/>
  </r>
  <r>
    <n v="93"/>
    <s v="5.9.75"/>
    <s v="Treatment, care and support"/>
    <s v="Counseling and psycho-social support"/>
    <s v="The support of 6 projects (2 Centres and 4 Services Points) on NGO basis for PLHIV thoughout the country - the social support to the clients (food and hygiene packages for clients, medicines, documents etc.)"/>
    <x v="20"/>
    <x v="1"/>
    <n v="12.2"/>
    <s v="PLHIV NGO SRs "/>
    <x v="1"/>
    <s v="Civil Society - Local Non-Governmental Organization"/>
    <s v="USD"/>
    <s v="Average cost of support package per person per quarter"/>
    <n v="12"/>
    <s v="KGS"/>
    <s v="Local"/>
    <n v="293400.00000000006"/>
    <n v="4289.4736842105267"/>
    <n v="1"/>
    <n v="4289.4736842105267"/>
    <n v="777.77777777777771"/>
    <n v="1"/>
    <n v="4289.4736842105267"/>
    <n v="263.15789473684208"/>
    <m/>
    <s v=""/>
    <m/>
    <s v=""/>
    <n v="2"/>
    <n v="8578.9473684210534"/>
    <n v="1040.9356725146199"/>
    <m/>
    <s v=""/>
    <m/>
    <s v=""/>
    <m/>
    <s v=""/>
    <m/>
    <s v=""/>
    <m/>
    <s v=""/>
    <s v=""/>
    <s v=""/>
    <m/>
    <m/>
    <s v=""/>
    <m/>
    <s v=""/>
    <m/>
    <s v=""/>
    <m/>
    <s v=""/>
    <m/>
    <s v=""/>
    <s v=""/>
    <s v=""/>
    <m/>
    <m/>
    <s v=""/>
    <m/>
    <s v=""/>
    <m/>
    <s v=""/>
    <m/>
    <s v=""/>
    <m/>
    <s v=""/>
    <s v=""/>
    <s v=""/>
    <m/>
    <n v="2"/>
    <n v="8578.9473684210534"/>
    <m/>
    <m/>
    <n v="7538.0116959064335"/>
  </r>
  <r>
    <n v="94"/>
    <s v="5.9.34"/>
    <s v="Treatment, care and support"/>
    <s v="Counseling and psycho-social support"/>
    <s v="Techincal support to AIDS program via National Consultant for the treatment, care and support of people living with HIV "/>
    <x v="25"/>
    <x v="1"/>
    <n v="3.1"/>
    <s v="AIDS Centers"/>
    <x v="1"/>
    <s v="Government - Other"/>
    <s v="USD"/>
    <s v="Consultant fee per person per workday"/>
    <n v="3"/>
    <s v="KGS"/>
    <s v="Local"/>
    <n v="189311.84999999998"/>
    <n v="2767.7171052631575"/>
    <n v="1"/>
    <n v="2767.7171052631575"/>
    <n v="2360.5263157894733"/>
    <n v="1"/>
    <n v="2767.7171052631575"/>
    <n v="2360.5263157894733"/>
    <m/>
    <s v=""/>
    <m/>
    <s v=""/>
    <n v="2"/>
    <n v="5535.4342105263149"/>
    <n v="4721.0526315789466"/>
    <m/>
    <s v=""/>
    <m/>
    <s v=""/>
    <m/>
    <s v=""/>
    <m/>
    <s v=""/>
    <m/>
    <s v=""/>
    <s v=""/>
    <s v=""/>
    <m/>
    <m/>
    <s v=""/>
    <m/>
    <s v=""/>
    <m/>
    <s v=""/>
    <m/>
    <s v=""/>
    <m/>
    <s v=""/>
    <s v=""/>
    <s v=""/>
    <m/>
    <m/>
    <s v=""/>
    <m/>
    <s v=""/>
    <m/>
    <s v=""/>
    <m/>
    <s v=""/>
    <m/>
    <s v=""/>
    <s v=""/>
    <s v=""/>
    <m/>
    <n v="2"/>
    <n v="5535.4342105263149"/>
    <m/>
    <m/>
    <n v="814.38157894736833"/>
  </r>
  <r>
    <n v="95"/>
    <s v="8.12.48"/>
    <s v="RSSH: Health management information systems and M&amp;E"/>
    <s v="Routine reporting"/>
    <s v="The support of the monitoring and evaluation measures to improve quality of programmes and interventions - the payment to specialists for quality control laboratory services."/>
    <x v="19"/>
    <x v="1"/>
    <n v="1.3"/>
    <s v="AIDS Centers"/>
    <x v="1"/>
    <s v="Government - Other"/>
    <s v="USD"/>
    <s v="Average payment per FTE (person) per quarter"/>
    <n v="1"/>
    <s v="KGS"/>
    <s v="Local"/>
    <n v="30233.352187499997"/>
    <n v="442.00807291666661"/>
    <n v="8"/>
    <n v="3536.0645833333328"/>
    <n v="1020.6921052631578"/>
    <n v="8"/>
    <n v="3536.0645833333328"/>
    <n v="1020.6921052631578"/>
    <m/>
    <s v=""/>
    <m/>
    <s v=""/>
    <n v="16"/>
    <n v="7072.1291666666657"/>
    <n v="2041.3842105263157"/>
    <m/>
    <s v=""/>
    <m/>
    <s v=""/>
    <m/>
    <s v=""/>
    <m/>
    <s v=""/>
    <m/>
    <s v=""/>
    <s v=""/>
    <s v=""/>
    <m/>
    <m/>
    <s v=""/>
    <m/>
    <s v=""/>
    <m/>
    <s v=""/>
    <m/>
    <s v=""/>
    <m/>
    <s v=""/>
    <s v=""/>
    <s v=""/>
    <m/>
    <m/>
    <s v=""/>
    <m/>
    <s v=""/>
    <m/>
    <s v=""/>
    <m/>
    <s v=""/>
    <m/>
    <s v=""/>
    <s v=""/>
    <s v=""/>
    <m/>
    <n v="16"/>
    <n v="7072.1291666666657"/>
    <m/>
    <m/>
    <n v="5030.74495614035"/>
  </r>
  <r>
    <n v="96"/>
    <m/>
    <s v="RSSH: Health management information systems and M&amp;E"/>
    <s v="Routine reporting"/>
    <s v="The project will support monitoring and evaluation measures to ensure data verification - the costs for printing different materials requested within the project by PR or SRs. "/>
    <x v="28"/>
    <x v="2"/>
    <n v="10.1"/>
    <s v="United Nations Development Programme"/>
    <x v="0"/>
    <s v="Multilateral – UNDP"/>
    <s v="USD"/>
    <s v="N/A"/>
    <n v="10"/>
    <s v="KGS"/>
    <s v="Local"/>
    <n v="205.20000000000002"/>
    <n v="3"/>
    <n v="500"/>
    <n v="1500"/>
    <n v="1500"/>
    <m/>
    <s v=""/>
    <n v="0"/>
    <m/>
    <s v=""/>
    <m/>
    <s v=""/>
    <n v="500"/>
    <n v="1500"/>
    <n v="1500"/>
    <m/>
    <s v=""/>
    <m/>
    <s v=""/>
    <m/>
    <s v=""/>
    <m/>
    <s v=""/>
    <m/>
    <s v=""/>
    <s v=""/>
    <s v=""/>
    <m/>
    <m/>
    <s v=""/>
    <m/>
    <s v=""/>
    <m/>
    <s v=""/>
    <m/>
    <s v=""/>
    <m/>
    <s v=""/>
    <s v=""/>
    <s v=""/>
    <m/>
    <m/>
    <s v=""/>
    <m/>
    <s v=""/>
    <m/>
    <s v=""/>
    <m/>
    <s v=""/>
    <m/>
    <s v=""/>
    <s v=""/>
    <s v=""/>
    <m/>
    <n v="500"/>
    <n v="1500"/>
    <m/>
    <m/>
    <n v="0"/>
  </r>
  <r>
    <n v="97"/>
    <m/>
    <s v="RSSH: Health management information systems and M&amp;E"/>
    <s v="Routine reporting"/>
    <s v="The support of monitoring and evaluation measures to ensure data verification - the regular meeting with SRs and M&amp;E trainings on for SRs."/>
    <x v="29"/>
    <x v="1"/>
    <n v="2.1"/>
    <s v="United Nations Development Programme"/>
    <x v="0"/>
    <s v="Multilateral – UNDP"/>
    <s v="USD"/>
    <s v="Average cost of training per person per day"/>
    <n v="2"/>
    <s v="KGS"/>
    <s v="Local"/>
    <n v="3180.6000000000004"/>
    <n v="46.5"/>
    <n v="80"/>
    <n v="3720"/>
    <n v="3720"/>
    <n v="280"/>
    <n v="13020"/>
    <n v="13020"/>
    <m/>
    <s v=""/>
    <m/>
    <s v=""/>
    <n v="360"/>
    <n v="16740"/>
    <n v="16740"/>
    <m/>
    <s v=""/>
    <m/>
    <s v=""/>
    <m/>
    <s v=""/>
    <m/>
    <s v=""/>
    <m/>
    <s v=""/>
    <s v=""/>
    <s v=""/>
    <m/>
    <m/>
    <s v=""/>
    <m/>
    <s v=""/>
    <m/>
    <s v=""/>
    <m/>
    <s v=""/>
    <m/>
    <s v=""/>
    <s v=""/>
    <s v=""/>
    <m/>
    <m/>
    <s v=""/>
    <m/>
    <s v=""/>
    <m/>
    <s v=""/>
    <m/>
    <s v=""/>
    <m/>
    <s v=""/>
    <s v=""/>
    <s v=""/>
    <m/>
    <n v="360"/>
    <n v="16740"/>
    <m/>
    <m/>
    <n v="0"/>
  </r>
  <r>
    <n v="98"/>
    <s v="8.12.50"/>
    <s v="RSSH: Health management information systems and M&amp;E"/>
    <s v="Routine reporting"/>
    <s v="The support of the monitoring and evaluation measures to improve quality of programmes and interventions - costs for M&amp;E visits for administrative personal of AIDS Centres and MDT, travel expenses of peer and social workers. "/>
    <x v="23"/>
    <x v="1"/>
    <n v="2.2999999999999998"/>
    <s v="AIDS Centers"/>
    <x v="1"/>
    <s v="Government - Other"/>
    <s v="USD"/>
    <s v="Average cost of subsistence per person per day"/>
    <n v="2"/>
    <s v="KGS"/>
    <s v="Local"/>
    <n v="22117.481127272727"/>
    <n v="323.3549872408293"/>
    <n v="9"/>
    <n v="2910.1948851674638"/>
    <n v="2221.3751672514622"/>
    <n v="9"/>
    <n v="2910.1948851674638"/>
    <n v="2806.1704888888885"/>
    <m/>
    <s v=""/>
    <m/>
    <s v=""/>
    <n v="18"/>
    <n v="5820.3897703349276"/>
    <n v="5027.5456561403507"/>
    <m/>
    <s v=""/>
    <m/>
    <s v=""/>
    <m/>
    <s v=""/>
    <m/>
    <s v=""/>
    <m/>
    <s v=""/>
    <s v=""/>
    <s v=""/>
    <m/>
    <m/>
    <s v=""/>
    <m/>
    <s v=""/>
    <m/>
    <s v=""/>
    <m/>
    <s v=""/>
    <m/>
    <s v=""/>
    <s v=""/>
    <s v=""/>
    <m/>
    <m/>
    <s v=""/>
    <m/>
    <s v=""/>
    <m/>
    <s v=""/>
    <m/>
    <s v=""/>
    <m/>
    <s v=""/>
    <s v=""/>
    <s v=""/>
    <m/>
    <n v="18"/>
    <n v="5820.3897703349276"/>
    <m/>
    <m/>
    <n v="792.84411419457683"/>
  </r>
  <r>
    <n v="99"/>
    <s v="8.12.52"/>
    <s v="RSSH: Health management information systems and M&amp;E"/>
    <s v="Routine reporting"/>
    <s v="The support of the monitoring and evaluation measures to improve quality of programmes and interventions - M&amp;E staff in RNC, SSES and RAC salaris. "/>
    <x v="25"/>
    <x v="1"/>
    <n v="3.1"/>
    <s v="RCN, RAC"/>
    <x v="1"/>
    <s v="Government - Other"/>
    <s v="USD"/>
    <s v="Consultant fee per person per workday"/>
    <n v="3"/>
    <s v="KGS"/>
    <s v="Local"/>
    <n v="1723.5338596491226"/>
    <n v="25.197863445162611"/>
    <n v="342"/>
    <n v="8617.6692982456134"/>
    <n v="8028.8995614035075"/>
    <n v="342"/>
    <n v="8617.6692982456134"/>
    <n v="8028.8995614035075"/>
    <m/>
    <s v=""/>
    <m/>
    <s v=""/>
    <n v="684"/>
    <n v="17235.338596491227"/>
    <n v="16057.799122807015"/>
    <m/>
    <s v=""/>
    <m/>
    <s v=""/>
    <m/>
    <s v=""/>
    <m/>
    <s v=""/>
    <m/>
    <s v=""/>
    <s v=""/>
    <s v=""/>
    <m/>
    <m/>
    <s v=""/>
    <m/>
    <s v=""/>
    <m/>
    <s v=""/>
    <m/>
    <s v=""/>
    <m/>
    <s v=""/>
    <s v=""/>
    <s v=""/>
    <m/>
    <m/>
    <s v=""/>
    <m/>
    <s v=""/>
    <m/>
    <s v=""/>
    <m/>
    <s v=""/>
    <m/>
    <s v=""/>
    <s v=""/>
    <s v=""/>
    <m/>
    <n v="684"/>
    <n v="17235.338596491227"/>
    <m/>
    <m/>
    <n v="1177.5394736842118"/>
  </r>
  <r>
    <n v="100"/>
    <s v="9.14.66"/>
    <s v="Program management"/>
    <s v="Grant management"/>
    <s v="RAC management costs - the Management staff salaries."/>
    <x v="17"/>
    <x v="1"/>
    <n v="1.1000000000000001"/>
    <s v="AIDS Centers"/>
    <x v="1"/>
    <s v="Government - Other"/>
    <s v="USD"/>
    <s v="Average gross salary per FTE (person) per quarter"/>
    <n v="1"/>
    <s v="KGS"/>
    <s v="Local"/>
    <n v="36164.736562499995"/>
    <n v="528.72421874999986"/>
    <n v="8"/>
    <n v="4229.7937499999989"/>
    <n v="4176.8821162280701"/>
    <n v="8"/>
    <n v="4229.7937499999989"/>
    <n v="4176.8821162280701"/>
    <m/>
    <s v=""/>
    <m/>
    <s v=""/>
    <n v="16"/>
    <n v="8459.5874999999978"/>
    <n v="8353.7642324561402"/>
    <m/>
    <s v=""/>
    <m/>
    <s v=""/>
    <m/>
    <s v=""/>
    <m/>
    <s v=""/>
    <m/>
    <s v=""/>
    <s v=""/>
    <s v=""/>
    <m/>
    <m/>
    <s v=""/>
    <m/>
    <s v=""/>
    <m/>
    <s v=""/>
    <m/>
    <s v=""/>
    <m/>
    <s v=""/>
    <s v=""/>
    <s v=""/>
    <m/>
    <m/>
    <s v=""/>
    <m/>
    <s v=""/>
    <m/>
    <s v=""/>
    <m/>
    <s v=""/>
    <m/>
    <s v=""/>
    <s v=""/>
    <s v=""/>
    <m/>
    <n v="16"/>
    <n v="8459.5874999999978"/>
    <m/>
    <m/>
    <n v="105.82326754385758"/>
  </r>
  <r>
    <n v="101"/>
    <s v="9.14.30"/>
    <s v="Program management"/>
    <s v="Grant management"/>
    <s v="The support of 2 projects (2 Centres and 4 Services Points) on NGO basis for PLHIV thoughout the country - the administrative staff salaries."/>
    <x v="17"/>
    <x v="1"/>
    <n v="1.1000000000000001"/>
    <s v="PLHIV NGO SRs "/>
    <x v="1"/>
    <s v="Civil Society - Local Non-Governmental Organization"/>
    <s v="USD"/>
    <s v="Average gross salary per FTE (person) per quarter"/>
    <n v="1"/>
    <s v="KGS"/>
    <s v="Local"/>
    <n v="104810.06812500001"/>
    <n v="1532.3109374999999"/>
    <n v="8"/>
    <n v="12258.487499999999"/>
    <n v="8690.8991228070172"/>
    <n v="8"/>
    <n v="12258.487499999999"/>
    <n v="8690.8991228070172"/>
    <m/>
    <s v=""/>
    <m/>
    <s v=""/>
    <n v="16"/>
    <n v="24516.974999999999"/>
    <n v="17381.798245614034"/>
    <m/>
    <s v=""/>
    <m/>
    <s v=""/>
    <m/>
    <s v=""/>
    <m/>
    <s v=""/>
    <m/>
    <s v=""/>
    <s v=""/>
    <s v=""/>
    <m/>
    <m/>
    <s v=""/>
    <m/>
    <s v=""/>
    <m/>
    <s v=""/>
    <m/>
    <s v=""/>
    <m/>
    <s v=""/>
    <s v=""/>
    <s v=""/>
    <m/>
    <m/>
    <s v=""/>
    <m/>
    <s v=""/>
    <m/>
    <s v=""/>
    <m/>
    <s v=""/>
    <m/>
    <s v=""/>
    <s v=""/>
    <s v=""/>
    <m/>
    <n v="16"/>
    <n v="24516.974999999999"/>
    <m/>
    <m/>
    <n v="7135.1767543859642"/>
  </r>
  <r>
    <n v="102"/>
    <s v="9.14.67"/>
    <s v="Program management"/>
    <s v="Grant management"/>
    <s v="RAC management costs - the coordinators salaries."/>
    <x v="19"/>
    <x v="1"/>
    <n v="1.3"/>
    <s v="AIDS Centers"/>
    <x v="1"/>
    <s v="Government - Other"/>
    <s v="USD"/>
    <s v="Average payment per FTE (person) per quarter"/>
    <n v="1"/>
    <s v="KGS"/>
    <s v="Local"/>
    <n v="28593.986137499996"/>
    <n v="418.04073300438586"/>
    <n v="4"/>
    <n v="1672.1629320175434"/>
    <n v="1195.5283114035087"/>
    <n v="4"/>
    <n v="1672.1629320175434"/>
    <n v="1195.5283114035087"/>
    <m/>
    <s v=""/>
    <m/>
    <s v=""/>
    <n v="8"/>
    <n v="3344.3258640350869"/>
    <n v="2391.0566228070174"/>
    <m/>
    <s v=""/>
    <m/>
    <s v=""/>
    <m/>
    <s v=""/>
    <m/>
    <s v=""/>
    <m/>
    <s v=""/>
    <s v=""/>
    <s v=""/>
    <m/>
    <m/>
    <s v=""/>
    <m/>
    <s v=""/>
    <m/>
    <s v=""/>
    <m/>
    <s v=""/>
    <m/>
    <s v=""/>
    <s v=""/>
    <s v=""/>
    <m/>
    <m/>
    <s v=""/>
    <m/>
    <s v=""/>
    <m/>
    <s v=""/>
    <m/>
    <s v=""/>
    <m/>
    <s v=""/>
    <s v=""/>
    <s v=""/>
    <m/>
    <n v="8"/>
    <n v="3344.3258640350869"/>
    <m/>
    <m/>
    <n v="953.2692412280694"/>
  </r>
  <r>
    <n v="103"/>
    <s v="9.14.70"/>
    <s v="Program management"/>
    <s v="Grant management"/>
    <s v="RNC management costs - the administrative staff salaries."/>
    <x v="19"/>
    <x v="1"/>
    <n v="1.3"/>
    <s v="RCN  (Republican Center of Narcology)"/>
    <x v="1"/>
    <s v="Government - Other"/>
    <s v="USD"/>
    <s v="Average payment per FTE (person) per quarter"/>
    <n v="1"/>
    <s v="KGS"/>
    <s v="Local"/>
    <n v="64770.072500000002"/>
    <n v="946.93088450292396"/>
    <n v="6"/>
    <n v="5681.5853070175435"/>
    <n v="5681.5853070175435"/>
    <n v="6"/>
    <n v="5681.5853070175435"/>
    <n v="5681.5853070175435"/>
    <m/>
    <s v=""/>
    <m/>
    <s v=""/>
    <n v="12"/>
    <n v="11363.170614035087"/>
    <n v="11363.170614035087"/>
    <m/>
    <s v=""/>
    <m/>
    <s v=""/>
    <m/>
    <s v=""/>
    <m/>
    <s v=""/>
    <m/>
    <s v=""/>
    <s v=""/>
    <s v=""/>
    <m/>
    <m/>
    <s v=""/>
    <m/>
    <s v=""/>
    <m/>
    <s v=""/>
    <m/>
    <s v=""/>
    <m/>
    <s v=""/>
    <s v=""/>
    <s v=""/>
    <m/>
    <m/>
    <s v=""/>
    <m/>
    <s v=""/>
    <m/>
    <s v=""/>
    <m/>
    <s v=""/>
    <m/>
    <s v=""/>
    <s v=""/>
    <s v=""/>
    <m/>
    <n v="12"/>
    <n v="11363.170614035087"/>
    <m/>
    <m/>
    <n v="0"/>
  </r>
  <r>
    <n v="104"/>
    <s v="9.14.10"/>
    <s v="Program management"/>
    <s v="Grant management"/>
    <s v="The support of 17 OST units in civil sector - office related costs.  "/>
    <x v="18"/>
    <x v="1"/>
    <n v="11.1"/>
    <s v="RCN  (Republican Center of Narcology)"/>
    <x v="1"/>
    <s v="Government - Other"/>
    <s v="USD"/>
    <s v="Average office cost per office unit per quarter"/>
    <n v="11"/>
    <s v="KGS"/>
    <s v="Local"/>
    <n v="60066.374999999993"/>
    <n v="878.16337719298224"/>
    <n v="16"/>
    <n v="14050.614035087716"/>
    <n v="12014.692982456139"/>
    <n v="16"/>
    <n v="14050.614035087716"/>
    <n v="12014.692982456139"/>
    <m/>
    <s v=""/>
    <m/>
    <s v=""/>
    <n v="32"/>
    <n v="28101.228070175432"/>
    <n v="24029.385964912279"/>
    <m/>
    <s v=""/>
    <m/>
    <s v=""/>
    <m/>
    <s v=""/>
    <m/>
    <s v=""/>
    <m/>
    <s v=""/>
    <s v=""/>
    <s v=""/>
    <m/>
    <m/>
    <s v=""/>
    <m/>
    <s v=""/>
    <m/>
    <s v=""/>
    <m/>
    <s v=""/>
    <m/>
    <s v=""/>
    <s v=""/>
    <s v=""/>
    <m/>
    <m/>
    <s v=""/>
    <m/>
    <s v=""/>
    <m/>
    <s v=""/>
    <m/>
    <s v=""/>
    <m/>
    <s v=""/>
    <s v=""/>
    <s v=""/>
    <m/>
    <n v="32"/>
    <n v="28101.228070175432"/>
    <m/>
    <m/>
    <n v="4071.8421052631529"/>
  </r>
  <r>
    <n v="105"/>
    <s v="9.14.11"/>
    <s v="Program management"/>
    <s v="Grant management"/>
    <s v="The support of 7 OST units in penitenciary sector - office related costs.  "/>
    <x v="18"/>
    <x v="1"/>
    <n v="11.1"/>
    <s v="RCN  (Republican Center of Narcology)"/>
    <x v="1"/>
    <s v="Government - Other"/>
    <s v="USD"/>
    <s v="Average office cost per office unit per quarter"/>
    <n v="11"/>
    <s v="KGS"/>
    <s v="Local"/>
    <n v="5007"/>
    <n v="73.201754385964904"/>
    <n v="7"/>
    <n v="512.4122807017543"/>
    <n v="592.28070175438586"/>
    <n v="7"/>
    <n v="512.4122807017543"/>
    <n v="592.28070175438586"/>
    <m/>
    <s v=""/>
    <m/>
    <s v=""/>
    <n v="14"/>
    <n v="1024.8245614035086"/>
    <n v="1184.5614035087717"/>
    <m/>
    <s v=""/>
    <m/>
    <s v=""/>
    <m/>
    <s v=""/>
    <m/>
    <s v=""/>
    <m/>
    <s v=""/>
    <s v=""/>
    <s v=""/>
    <m/>
    <m/>
    <s v=""/>
    <m/>
    <s v=""/>
    <m/>
    <s v=""/>
    <m/>
    <s v=""/>
    <m/>
    <s v=""/>
    <s v=""/>
    <s v=""/>
    <m/>
    <m/>
    <s v=""/>
    <m/>
    <s v=""/>
    <m/>
    <s v=""/>
    <m/>
    <s v=""/>
    <m/>
    <s v=""/>
    <s v=""/>
    <s v=""/>
    <m/>
    <n v="14"/>
    <n v="1024.8245614035086"/>
    <m/>
    <m/>
    <n v="-159.73684210526312"/>
  </r>
  <r>
    <n v="106"/>
    <s v="9.14.36"/>
    <s v="Program management"/>
    <s v="Grant management"/>
    <s v="The support of 6 projects (2 Centres and 4 Services Points) on NGO basis for PLHIV thoughout the country - the office related costs."/>
    <x v="18"/>
    <x v="1"/>
    <n v="11.1"/>
    <s v="PLHIV NGO SRs "/>
    <x v="1"/>
    <s v="Civil Society - Local Non-Governmental Organization"/>
    <s v="USD"/>
    <s v="Average office cost per office unit per quarter"/>
    <n v="11"/>
    <s v="KGS"/>
    <s v="Local"/>
    <n v="127796.50000000003"/>
    <n v="1868.369883040936"/>
    <n v="6"/>
    <n v="11210.219298245616"/>
    <n v="6885.9649122807004"/>
    <n v="6"/>
    <n v="11210.219298245616"/>
    <n v="6885.9649122807004"/>
    <m/>
    <s v=""/>
    <m/>
    <s v=""/>
    <n v="12"/>
    <n v="22420.438596491233"/>
    <n v="13771.929824561401"/>
    <m/>
    <s v=""/>
    <m/>
    <s v=""/>
    <m/>
    <s v=""/>
    <m/>
    <s v=""/>
    <m/>
    <s v=""/>
    <s v=""/>
    <s v=""/>
    <m/>
    <m/>
    <s v=""/>
    <m/>
    <s v=""/>
    <m/>
    <s v=""/>
    <m/>
    <s v=""/>
    <m/>
    <s v=""/>
    <s v=""/>
    <s v=""/>
    <m/>
    <m/>
    <s v=""/>
    <m/>
    <s v=""/>
    <m/>
    <s v=""/>
    <m/>
    <s v=""/>
    <m/>
    <s v=""/>
    <s v=""/>
    <s v=""/>
    <m/>
    <n v="12"/>
    <n v="22420.438596491233"/>
    <m/>
    <m/>
    <n v="8648.5087719298317"/>
  </r>
  <r>
    <n v="107"/>
    <s v="9.14.35"/>
    <s v="Program management"/>
    <s v="Grant management"/>
    <s v="The support of the services for PLHIV in prisons thoughout the country - the office related costs."/>
    <x v="18"/>
    <x v="1"/>
    <n v="11.1"/>
    <s v="AIDS Centers"/>
    <x v="1"/>
    <s v="Government - Other"/>
    <s v="USD"/>
    <s v="Average office cost per office unit per quarter"/>
    <n v="11"/>
    <s v="KGS"/>
    <s v="Local"/>
    <n v="10239.000000000002"/>
    <n v="149.69298245614036"/>
    <n v="1"/>
    <n v="149.69298245614036"/>
    <n v="0"/>
    <n v="1"/>
    <n v="149.69298245614036"/>
    <n v="0"/>
    <m/>
    <s v=""/>
    <m/>
    <s v=""/>
    <n v="2"/>
    <n v="299.38596491228071"/>
    <n v="0"/>
    <m/>
    <s v=""/>
    <m/>
    <s v=""/>
    <m/>
    <s v=""/>
    <m/>
    <s v=""/>
    <m/>
    <s v=""/>
    <s v=""/>
    <s v=""/>
    <m/>
    <m/>
    <s v=""/>
    <m/>
    <s v=""/>
    <m/>
    <s v=""/>
    <m/>
    <s v=""/>
    <m/>
    <s v=""/>
    <s v=""/>
    <s v=""/>
    <m/>
    <m/>
    <s v=""/>
    <m/>
    <s v=""/>
    <m/>
    <s v=""/>
    <m/>
    <s v=""/>
    <m/>
    <s v=""/>
    <s v=""/>
    <s v=""/>
    <m/>
    <n v="2"/>
    <n v="299.38596491228071"/>
    <m/>
    <m/>
    <n v="299.38596491228071"/>
  </r>
  <r>
    <n v="108"/>
    <s v="9.14.69"/>
    <s v="Program management"/>
    <s v="Grant management"/>
    <s v="RAC management costs - office related costs."/>
    <x v="18"/>
    <x v="1"/>
    <n v="11.1"/>
    <s v="AIDS Centers"/>
    <x v="1"/>
    <s v="Government - Other"/>
    <s v="USD"/>
    <s v="Average office cost per office unit per quarter"/>
    <n v="11"/>
    <s v="KGS"/>
    <s v="Local"/>
    <n v="49725.472941176464"/>
    <n v="726.98059855521137"/>
    <n v="4.25"/>
    <n v="3089.6675438596485"/>
    <n v="1214.9122807017543"/>
    <n v="4.25"/>
    <n v="3089.6675438596485"/>
    <n v="1214.9122807017543"/>
    <m/>
    <s v=""/>
    <m/>
    <s v=""/>
    <n v="8.5"/>
    <n v="6179.335087719297"/>
    <n v="2429.8245614035086"/>
    <m/>
    <s v=""/>
    <m/>
    <s v=""/>
    <m/>
    <s v=""/>
    <m/>
    <s v=""/>
    <m/>
    <s v=""/>
    <s v=""/>
    <s v=""/>
    <m/>
    <m/>
    <s v=""/>
    <m/>
    <s v=""/>
    <m/>
    <s v=""/>
    <m/>
    <s v=""/>
    <m/>
    <s v=""/>
    <s v=""/>
    <s v=""/>
    <m/>
    <m/>
    <s v=""/>
    <m/>
    <s v=""/>
    <m/>
    <s v=""/>
    <m/>
    <s v=""/>
    <m/>
    <s v=""/>
    <s v=""/>
    <s v=""/>
    <m/>
    <n v="8.5"/>
    <n v="6179.335087719297"/>
    <m/>
    <m/>
    <n v="3749.5105263157884"/>
  </r>
  <r>
    <n v="109"/>
    <s v="9.14.74"/>
    <s v="Program management"/>
    <s v="Grant management"/>
    <s v="RNC management costs - the office related costs."/>
    <x v="18"/>
    <x v="1"/>
    <n v="11.1"/>
    <s v="RCN  (Republican Center of Narcology)"/>
    <x v="1"/>
    <s v="Government - Other"/>
    <s v="USD"/>
    <s v="Average office cost per office unit per quarter"/>
    <n v="11"/>
    <s v="KGS"/>
    <s v="Local"/>
    <n v="258513"/>
    <n v="3779.4298245614032"/>
    <n v="1"/>
    <n v="3779.4298245614032"/>
    <n v="1995.7163742690057"/>
    <n v="1"/>
    <n v="3779.4298245614032"/>
    <n v="1995.7163742690057"/>
    <m/>
    <s v=""/>
    <m/>
    <s v=""/>
    <n v="2"/>
    <n v="7558.8596491228063"/>
    <n v="3991.4327485380113"/>
    <m/>
    <s v=""/>
    <m/>
    <s v=""/>
    <m/>
    <s v=""/>
    <m/>
    <s v=""/>
    <m/>
    <s v=""/>
    <s v=""/>
    <s v=""/>
    <m/>
    <m/>
    <s v=""/>
    <m/>
    <s v=""/>
    <m/>
    <s v=""/>
    <m/>
    <s v=""/>
    <m/>
    <s v=""/>
    <s v=""/>
    <s v=""/>
    <m/>
    <m/>
    <s v=""/>
    <m/>
    <s v=""/>
    <m/>
    <s v=""/>
    <m/>
    <s v=""/>
    <m/>
    <s v=""/>
    <s v=""/>
    <s v=""/>
    <m/>
    <n v="2"/>
    <n v="7558.8596491228063"/>
    <m/>
    <m/>
    <n v="3567.426900584795"/>
  </r>
  <r>
    <n v="110"/>
    <s v="9.14.71"/>
    <s v="Program management"/>
    <s v="Grant management"/>
    <s v="RNC management costs - the costs for M&amp;E visits for project staff. "/>
    <x v="23"/>
    <x v="1"/>
    <n v="2.2999999999999998"/>
    <s v="RCN  (Republican Center of Narcology)"/>
    <x v="1"/>
    <s v="Government - Other"/>
    <s v="USD"/>
    <s v="Average cost of subsistence per person per day"/>
    <n v="2"/>
    <s v="KGS"/>
    <s v="Local"/>
    <n v="5688"/>
    <n v="83.157894736842096"/>
    <n v="4"/>
    <n v="332.63157894736838"/>
    <n v="249.4736842105263"/>
    <n v="4"/>
    <n v="332.63157894736838"/>
    <n v="249.4736842105263"/>
    <m/>
    <s v=""/>
    <m/>
    <s v=""/>
    <n v="8"/>
    <n v="665.26315789473676"/>
    <n v="498.9473684210526"/>
    <m/>
    <s v=""/>
    <m/>
    <s v=""/>
    <m/>
    <s v=""/>
    <m/>
    <s v=""/>
    <m/>
    <s v=""/>
    <s v=""/>
    <s v=""/>
    <m/>
    <m/>
    <s v=""/>
    <m/>
    <s v=""/>
    <m/>
    <s v=""/>
    <m/>
    <s v=""/>
    <m/>
    <s v=""/>
    <s v=""/>
    <s v=""/>
    <m/>
    <m/>
    <s v=""/>
    <m/>
    <s v=""/>
    <m/>
    <s v=""/>
    <m/>
    <s v=""/>
    <m/>
    <s v=""/>
    <s v=""/>
    <s v=""/>
    <m/>
    <n v="8"/>
    <n v="665.26315789473676"/>
    <m/>
    <m/>
    <n v="166.31578947368416"/>
  </r>
  <r>
    <n v="111"/>
    <s v="9.14.68"/>
    <s v="Program management"/>
    <s v="Grant management"/>
    <s v="RAC management costs - the manager of medical support HIV programs  salaries."/>
    <x v="25"/>
    <x v="1"/>
    <n v="3.1"/>
    <s v="AIDS Centers"/>
    <x v="1"/>
    <s v="Government - Other"/>
    <s v="USD"/>
    <s v="Consultant fee per person per workday"/>
    <n v="3"/>
    <s v="KGS"/>
    <s v="Local"/>
    <n v="2427.0750000000003"/>
    <n v="35.483552631578945"/>
    <n v="78"/>
    <n v="2767.7171052631579"/>
    <n v="2360.5263157894733"/>
    <n v="78"/>
    <n v="2767.7171052631579"/>
    <n v="2360.5263157894733"/>
    <m/>
    <s v=""/>
    <m/>
    <s v=""/>
    <n v="156"/>
    <n v="5535.4342105263158"/>
    <n v="4721.0526315789466"/>
    <m/>
    <s v=""/>
    <m/>
    <s v=""/>
    <m/>
    <s v=""/>
    <m/>
    <s v=""/>
    <m/>
    <s v=""/>
    <s v=""/>
    <s v=""/>
    <m/>
    <m/>
    <s v=""/>
    <m/>
    <s v=""/>
    <m/>
    <s v=""/>
    <m/>
    <s v=""/>
    <m/>
    <s v=""/>
    <s v=""/>
    <s v=""/>
    <m/>
    <m/>
    <s v=""/>
    <m/>
    <s v=""/>
    <m/>
    <s v=""/>
    <m/>
    <s v=""/>
    <m/>
    <s v=""/>
    <s v=""/>
    <s v=""/>
    <m/>
    <n v="156"/>
    <n v="5535.4342105263158"/>
    <m/>
    <m/>
    <n v="814.38157894736923"/>
  </r>
  <r>
    <n v="112"/>
    <s v="9.14.72"/>
    <s v="Program management"/>
    <s v="Grant management"/>
    <s v="RNC management costs - the Management staff salaries."/>
    <x v="25"/>
    <x v="1"/>
    <n v="3.1"/>
    <s v="RCN  (Republican Center of Narcology)"/>
    <x v="1"/>
    <s v="Government - Other"/>
    <s v="USD"/>
    <s v="Consultant fee per person per workday"/>
    <n v="3"/>
    <s v="KGS"/>
    <s v="Local"/>
    <n v="1198.4891477272724"/>
    <n v="17.521771165603397"/>
    <n v="924"/>
    <n v="16190.116557017538"/>
    <n v="13832.774451754385"/>
    <n v="924"/>
    <n v="16190.116557017538"/>
    <n v="13832.774451754385"/>
    <m/>
    <s v=""/>
    <m/>
    <s v=""/>
    <n v="1848"/>
    <n v="32380.233114035076"/>
    <n v="27665.54890350877"/>
    <m/>
    <s v=""/>
    <m/>
    <s v=""/>
    <m/>
    <s v=""/>
    <m/>
    <s v=""/>
    <m/>
    <s v=""/>
    <s v=""/>
    <s v=""/>
    <m/>
    <m/>
    <s v=""/>
    <m/>
    <s v=""/>
    <m/>
    <s v=""/>
    <m/>
    <s v=""/>
    <m/>
    <s v=""/>
    <s v=""/>
    <s v=""/>
    <m/>
    <m/>
    <s v=""/>
    <m/>
    <s v=""/>
    <m/>
    <s v=""/>
    <m/>
    <s v=""/>
    <m/>
    <s v=""/>
    <s v=""/>
    <s v=""/>
    <m/>
    <n v="1848"/>
    <n v="32380.233114035076"/>
    <m/>
    <m/>
    <n v="4714.6842105263058"/>
  </r>
  <r>
    <n v="113"/>
    <m/>
    <s v="Program management"/>
    <s v="Grant management"/>
    <s v="PR management costs - staff salaries"/>
    <x v="17"/>
    <x v="2"/>
    <n v="1.1000000000000001"/>
    <s v="United Nations Development Programme"/>
    <x v="0"/>
    <s v="Multilateral – UNDP"/>
    <s v="USD"/>
    <s v="Average gross salary per FTE (person) per quarter"/>
    <n v="1"/>
    <s v="USD"/>
    <s v="Grant"/>
    <n v="200662.65065"/>
    <n v="200662.65065"/>
    <n v="1"/>
    <n v="200662.65065"/>
    <n v="185051"/>
    <n v="1"/>
    <n v="200662.65065"/>
    <n v="185051"/>
    <m/>
    <s v=""/>
    <m/>
    <s v=""/>
    <n v="2"/>
    <n v="401325.30129999999"/>
    <n v="370102"/>
    <m/>
    <s v=""/>
    <m/>
    <s v=""/>
    <m/>
    <s v=""/>
    <m/>
    <s v=""/>
    <m/>
    <s v=""/>
    <s v=""/>
    <s v=""/>
    <m/>
    <m/>
    <s v=""/>
    <m/>
    <s v=""/>
    <m/>
    <s v=""/>
    <m/>
    <s v=""/>
    <m/>
    <s v=""/>
    <s v=""/>
    <s v=""/>
    <m/>
    <m/>
    <s v=""/>
    <m/>
    <s v=""/>
    <m/>
    <s v=""/>
    <m/>
    <s v=""/>
    <m/>
    <s v=""/>
    <s v=""/>
    <s v=""/>
    <m/>
    <n v="2"/>
    <n v="401325.30129999999"/>
    <s v="Historical cost"/>
    <s v="As per approved budget for 2016-2017"/>
    <n v="31223.301299999992"/>
  </r>
  <r>
    <n v="114"/>
    <m/>
    <s v="Program management"/>
    <s v="Grant management"/>
    <s v="PR management costs  the office related costs."/>
    <x v="18"/>
    <x v="2"/>
    <n v="11.1"/>
    <s v="United Nations Development Programme"/>
    <x v="0"/>
    <s v="Multilateral – UNDP"/>
    <s v="USD"/>
    <s v="Average office cost per office unit per quarter"/>
    <n v="11"/>
    <s v="KGS"/>
    <s v="Local"/>
    <n v="1436400.0000000002"/>
    <n v="21000"/>
    <n v="1"/>
    <n v="21000"/>
    <n v="20700"/>
    <n v="1"/>
    <n v="21000"/>
    <n v="20700"/>
    <m/>
    <s v=""/>
    <m/>
    <s v=""/>
    <n v="2"/>
    <n v="42000"/>
    <n v="41400"/>
    <m/>
    <s v=""/>
    <m/>
    <s v=""/>
    <m/>
    <s v=""/>
    <m/>
    <s v=""/>
    <m/>
    <s v=""/>
    <s v=""/>
    <s v=""/>
    <m/>
    <m/>
    <s v=""/>
    <m/>
    <s v=""/>
    <m/>
    <s v=""/>
    <m/>
    <s v=""/>
    <m/>
    <s v=""/>
    <s v=""/>
    <s v=""/>
    <m/>
    <m/>
    <s v=""/>
    <m/>
    <s v=""/>
    <m/>
    <s v=""/>
    <m/>
    <s v=""/>
    <m/>
    <s v=""/>
    <s v=""/>
    <s v=""/>
    <m/>
    <n v="2"/>
    <n v="42000"/>
    <s v="Historical cost"/>
    <s v="As per approved budget for 2016-2017"/>
    <n v="600"/>
  </r>
  <r>
    <n v="115"/>
    <m/>
    <s v="Program management"/>
    <s v="Grant management"/>
    <s v="PR management costs - the costs for M&amp;E visits for project staff. "/>
    <x v="23"/>
    <x v="2"/>
    <n v="2.2999999999999998"/>
    <s v="United Nations Development Programme"/>
    <x v="0"/>
    <s v="Multilateral – UNDP"/>
    <s v="USD"/>
    <s v="Average cost of subsistence per person per day"/>
    <n v="2"/>
    <s v="KGS"/>
    <s v="Local"/>
    <n v="9507.6"/>
    <n v="139"/>
    <n v="60"/>
    <n v="8340"/>
    <n v="0"/>
    <n v="60"/>
    <n v="8340"/>
    <n v="0"/>
    <m/>
    <s v=""/>
    <m/>
    <s v=""/>
    <n v="120"/>
    <n v="16680"/>
    <n v="0"/>
    <m/>
    <s v=""/>
    <m/>
    <s v=""/>
    <m/>
    <s v=""/>
    <m/>
    <s v=""/>
    <m/>
    <s v=""/>
    <s v=""/>
    <s v=""/>
    <m/>
    <m/>
    <s v=""/>
    <m/>
    <s v=""/>
    <m/>
    <s v=""/>
    <m/>
    <s v=""/>
    <m/>
    <s v=""/>
    <s v=""/>
    <s v=""/>
    <m/>
    <m/>
    <s v=""/>
    <m/>
    <s v=""/>
    <m/>
    <s v=""/>
    <m/>
    <s v=""/>
    <m/>
    <s v=""/>
    <s v=""/>
    <s v=""/>
    <m/>
    <n v="120"/>
    <n v="16680"/>
    <s v="Historical cost"/>
    <s v="As per approved budget for 2016-2017"/>
    <n v="16680"/>
  </r>
  <r>
    <n v="116"/>
    <m/>
    <s v="Program management"/>
    <s v="Grant management"/>
    <s v="PR management costs - Auditing services (external audit of sub-recipients), estim. 5 SRs based on historical data"/>
    <x v="30"/>
    <x v="2"/>
    <n v="3.3"/>
    <s v="United Nations Development Programme"/>
    <x v="0"/>
    <s v="Multilateral – UNDP"/>
    <s v="USD"/>
    <s v="N/A"/>
    <n v="3"/>
    <s v="USD"/>
    <s v="Grant"/>
    <n v="37000"/>
    <n v="37000"/>
    <n v="1"/>
    <n v="37000"/>
    <n v="37000"/>
    <m/>
    <s v=""/>
    <n v="0"/>
    <m/>
    <s v=""/>
    <m/>
    <s v=""/>
    <n v="1"/>
    <n v="37000"/>
    <n v="37000"/>
    <m/>
    <s v=""/>
    <m/>
    <s v=""/>
    <m/>
    <s v=""/>
    <m/>
    <s v=""/>
    <m/>
    <s v=""/>
    <s v=""/>
    <s v=""/>
    <m/>
    <m/>
    <s v=""/>
    <m/>
    <s v=""/>
    <m/>
    <s v=""/>
    <m/>
    <s v=""/>
    <m/>
    <s v=""/>
    <s v=""/>
    <s v=""/>
    <m/>
    <m/>
    <s v=""/>
    <m/>
    <s v=""/>
    <m/>
    <s v=""/>
    <m/>
    <s v=""/>
    <m/>
    <s v=""/>
    <s v=""/>
    <s v=""/>
    <m/>
    <n v="1"/>
    <n v="37000"/>
    <s v="Detailed workings"/>
    <m/>
    <n v="0"/>
  </r>
  <r>
    <n v="117"/>
    <m/>
    <s v="MDR-TB"/>
    <s v="Treatment: MDR-TB"/>
    <s v="TB Database (project HOPE) implementation:  HOPE activities costs"/>
    <x v="22"/>
    <x v="0"/>
    <n v="3.4"/>
    <s v="Project HOPE, Kyrgyzstan"/>
    <x v="1"/>
    <s v="Civil Society - International Non-Governmental Organization"/>
    <s v="USD"/>
    <s v="N/A"/>
    <n v="3"/>
    <s v="KGS"/>
    <s v="Local"/>
    <n v="7359699.7306415373"/>
    <n v="107597.94927838504"/>
    <n v="1"/>
    <n v="107597.94927838504"/>
    <n v="0"/>
    <n v="1"/>
    <n v="107597.94927838504"/>
    <n v="0"/>
    <m/>
    <s v=""/>
    <m/>
    <s v=""/>
    <n v="2"/>
    <n v="215195.89855677009"/>
    <n v="0"/>
    <m/>
    <s v=""/>
    <m/>
    <s v=""/>
    <m/>
    <s v=""/>
    <m/>
    <s v=""/>
    <m/>
    <s v=""/>
    <s v=""/>
    <s v=""/>
    <m/>
    <m/>
    <s v=""/>
    <m/>
    <s v=""/>
    <m/>
    <s v=""/>
    <m/>
    <s v=""/>
    <m/>
    <s v=""/>
    <s v=""/>
    <s v=""/>
    <m/>
    <m/>
    <s v=""/>
    <m/>
    <s v=""/>
    <m/>
    <s v=""/>
    <m/>
    <s v=""/>
    <m/>
    <s v=""/>
    <s v=""/>
    <s v=""/>
    <m/>
    <n v="2"/>
    <n v="215195.89855677009"/>
    <s v="Historical cost"/>
    <s v="Based on approved VFM for HOPE's budget for 2017"/>
    <n v="215195.89855677009"/>
  </r>
  <r>
    <n v="118"/>
    <m/>
    <s v="Program management"/>
    <s v="Grant management"/>
    <s v=" Support to NGO, which will  be tracing adherence to treatment during continuation phase of treatment in the community and distribute incentives to adhered patients on the performance based modality: Salaries for NGO administrative staff"/>
    <x v="17"/>
    <x v="0"/>
    <n v="1.1000000000000001"/>
    <s v="AFEW      (PF “AIDS Foundation East-West in KR”)"/>
    <x v="1"/>
    <s v="Civil Society - Local Non-Governmental Organization"/>
    <s v="USD"/>
    <s v="Average gross salary per FTE (person) per quarter"/>
    <n v="1"/>
    <s v="KGS"/>
    <s v="Local"/>
    <n v="103697.307"/>
    <n v="1516.0424999999998"/>
    <n v="4"/>
    <n v="6064.1699999999992"/>
    <n v="10316.5"/>
    <n v="4"/>
    <n v="6064.1699999999992"/>
    <n v="10316.5"/>
    <m/>
    <s v=""/>
    <m/>
    <s v=""/>
    <n v="8"/>
    <n v="12128.339999999998"/>
    <n v="20633"/>
    <m/>
    <s v=""/>
    <m/>
    <s v=""/>
    <m/>
    <s v=""/>
    <m/>
    <s v=""/>
    <m/>
    <s v=""/>
    <s v=""/>
    <s v=""/>
    <m/>
    <m/>
    <s v=""/>
    <m/>
    <s v=""/>
    <m/>
    <s v=""/>
    <m/>
    <s v=""/>
    <m/>
    <s v=""/>
    <s v=""/>
    <s v=""/>
    <m/>
    <m/>
    <s v=""/>
    <m/>
    <s v=""/>
    <m/>
    <s v=""/>
    <m/>
    <s v=""/>
    <m/>
    <s v=""/>
    <s v=""/>
    <s v=""/>
    <m/>
    <n v="8"/>
    <n v="12128.339999999998"/>
    <s v="Historical cost"/>
    <s v="As per SR agreement for 2017 within approved grant budget for 2016-2017"/>
    <n v="-8504.6600000000017"/>
  </r>
  <r>
    <n v="119"/>
    <m/>
    <s v="Program management"/>
    <s v="Grant management"/>
    <s v=" Support to NGO, which will  be tracing adherence to treatment during continuation phase of treatment in the community and distribute incentives to adhered patients on the performance based modality: Salaries for NGO programme staff"/>
    <x v="16"/>
    <x v="0"/>
    <n v="1.2"/>
    <s v="AFEW      (PF “AIDS Foundation East-West in KR”)"/>
    <x v="1"/>
    <s v="Civil Society - Local Non-Governmental Organization"/>
    <s v="USD"/>
    <s v="Average payment per FTE (person) per quarter"/>
    <n v="1"/>
    <s v="KGS"/>
    <s v="Local"/>
    <n v="71641.294941176471"/>
    <n v="1047.3873529411765"/>
    <n v="17"/>
    <n v="17805.584999999999"/>
    <n v="0"/>
    <n v="17"/>
    <n v="17805.584999999999"/>
    <n v="0"/>
    <m/>
    <s v=""/>
    <m/>
    <s v=""/>
    <n v="34"/>
    <n v="35611.17"/>
    <n v="0"/>
    <m/>
    <s v=""/>
    <m/>
    <s v=""/>
    <m/>
    <s v=""/>
    <m/>
    <s v=""/>
    <m/>
    <s v=""/>
    <s v=""/>
    <s v=""/>
    <m/>
    <m/>
    <s v=""/>
    <m/>
    <s v=""/>
    <m/>
    <s v=""/>
    <m/>
    <s v=""/>
    <m/>
    <s v=""/>
    <s v=""/>
    <s v=""/>
    <m/>
    <m/>
    <s v=""/>
    <m/>
    <s v=""/>
    <m/>
    <s v=""/>
    <m/>
    <s v=""/>
    <m/>
    <s v=""/>
    <s v=""/>
    <s v=""/>
    <m/>
    <n v="34"/>
    <n v="35611.17"/>
    <s v="Historical cost"/>
    <s v="As per SR agreement for 2017 within approved grant budget for 2016-2017"/>
    <n v="35611.17"/>
  </r>
  <r>
    <n v="120"/>
    <m/>
    <s v="Program management"/>
    <s v="Grant management"/>
    <s v="Support to NGO, which will  be tracing adherence to treatment during continuation phase of treatment in the community and distribute incentives to adhered patients on the performance based modality: Office expenses, utilities, rent, communication "/>
    <x v="18"/>
    <x v="0"/>
    <n v="11.1"/>
    <s v="AFEW      (PF “AIDS Foundation East-West in KR”)"/>
    <x v="1"/>
    <s v="Civil Society - Local Non-Governmental Organization"/>
    <s v="USD"/>
    <s v="Average office cost per office unit per quarter"/>
    <n v="11"/>
    <s v="KGS"/>
    <s v="Local"/>
    <n v="20109.600000000002"/>
    <n v="294"/>
    <n v="2"/>
    <n v="588"/>
    <n v="276"/>
    <n v="2"/>
    <n v="588"/>
    <n v="276"/>
    <m/>
    <s v=""/>
    <m/>
    <s v=""/>
    <n v="4"/>
    <n v="1176"/>
    <n v="552"/>
    <m/>
    <s v=""/>
    <m/>
    <s v=""/>
    <m/>
    <s v=""/>
    <m/>
    <s v=""/>
    <m/>
    <s v=""/>
    <s v=""/>
    <s v=""/>
    <m/>
    <m/>
    <s v=""/>
    <m/>
    <s v=""/>
    <m/>
    <s v=""/>
    <m/>
    <s v=""/>
    <m/>
    <s v=""/>
    <s v=""/>
    <s v=""/>
    <m/>
    <m/>
    <s v=""/>
    <m/>
    <s v=""/>
    <m/>
    <s v=""/>
    <m/>
    <s v=""/>
    <m/>
    <s v=""/>
    <s v=""/>
    <s v=""/>
    <m/>
    <n v="4"/>
    <n v="1176"/>
    <s v="Historical cost"/>
    <s v="As per SR agreement for 2017 within approved grant budget for 2016-2017"/>
    <n v="624"/>
  </r>
  <r>
    <n v="121"/>
    <m/>
    <s v="MDR-TB"/>
    <s v="Community MDR-TB care delivery"/>
    <s v=" Support to NGO, which will  be tracing adherence to treatment during continuation phase of treatment in the community and distribute incentives to adhered patients on the performance based modality: "/>
    <x v="23"/>
    <x v="0"/>
    <n v="2.2999999999999998"/>
    <s v="AFEW      (PF “AIDS Foundation East-West in KR”)"/>
    <x v="1"/>
    <s v="Civil Society - Local Non-Governmental Organization"/>
    <s v="USD"/>
    <s v="Average cost of subsistence per person per day"/>
    <n v="2"/>
    <s v="KGS"/>
    <s v="Local"/>
    <n v="11711.414634146342"/>
    <n v="171.21951219512195"/>
    <n v="42.226495726495727"/>
    <n v="7230"/>
    <n v="2892.5"/>
    <n v="39.773504273504273"/>
    <n v="6810"/>
    <n v="2892.5"/>
    <m/>
    <s v=""/>
    <m/>
    <s v=""/>
    <n v="82"/>
    <n v="14040"/>
    <n v="5785"/>
    <m/>
    <s v=""/>
    <m/>
    <s v=""/>
    <m/>
    <s v=""/>
    <m/>
    <s v=""/>
    <m/>
    <s v=""/>
    <s v=""/>
    <s v=""/>
    <m/>
    <m/>
    <s v=""/>
    <m/>
    <s v=""/>
    <m/>
    <s v=""/>
    <m/>
    <s v=""/>
    <m/>
    <s v=""/>
    <s v=""/>
    <s v=""/>
    <m/>
    <m/>
    <s v=""/>
    <m/>
    <s v=""/>
    <m/>
    <s v=""/>
    <m/>
    <s v=""/>
    <m/>
    <s v=""/>
    <s v=""/>
    <s v=""/>
    <m/>
    <n v="82"/>
    <n v="14040"/>
    <s v="Historical cost"/>
    <s v="As per SR agreement for 2017 within approved grant budget for 2016-2017"/>
    <n v="8255"/>
  </r>
  <r>
    <n v="122"/>
    <m/>
    <s v="MDR-TB"/>
    <s v="Community MDR-TB care delivery"/>
    <s v=" Support to NGO, which will  be tracing adherence to treatment during continuation phase of treatment in the community and distribute incentives to adhered patients on the performance based modality: _x000a_Working groups and meetings for TB related issues. "/>
    <x v="26"/>
    <x v="0"/>
    <n v="2.4"/>
    <s v="AFEW      (PF “AIDS Foundation East-West in KR”)"/>
    <x v="1"/>
    <s v="Civil Society - Local Non-Governmental Organization"/>
    <s v="USD"/>
    <s v="Average cost of event per participant per day"/>
    <n v="2"/>
    <s v="KGS"/>
    <s v="Local"/>
    <n v="410.40000000000003"/>
    <n v="6"/>
    <n v="40"/>
    <n v="240"/>
    <n v="120"/>
    <n v="40"/>
    <n v="240"/>
    <n v="120"/>
    <m/>
    <s v=""/>
    <m/>
    <s v=""/>
    <n v="80"/>
    <n v="480"/>
    <n v="240"/>
    <m/>
    <s v=""/>
    <m/>
    <s v=""/>
    <m/>
    <s v=""/>
    <m/>
    <s v=""/>
    <m/>
    <s v=""/>
    <s v=""/>
    <s v=""/>
    <m/>
    <m/>
    <s v=""/>
    <m/>
    <s v=""/>
    <m/>
    <s v=""/>
    <m/>
    <s v=""/>
    <m/>
    <s v=""/>
    <s v=""/>
    <s v=""/>
    <m/>
    <m/>
    <s v=""/>
    <m/>
    <s v=""/>
    <m/>
    <s v=""/>
    <m/>
    <s v=""/>
    <m/>
    <s v=""/>
    <s v=""/>
    <s v=""/>
    <m/>
    <n v="80"/>
    <n v="480"/>
    <s v="Historical cost"/>
    <s v="As per SR agreement for 2017 within approved grant budget for 2016-2017"/>
    <n v="240"/>
  </r>
  <r>
    <n v="123"/>
    <m/>
    <s v="MDR-TB"/>
    <s v="Case detection and diagnosis: MDR-TB"/>
    <s v="GX trainings:  Training of clinicians and regional TB M&amp;E specialists from TB centers and hospitals. Two 2-days trainings, one in Bishkek and one in Osh for 25 people each. Expected expenditures are:  2 trainers' fees. "/>
    <x v="25"/>
    <x v="0"/>
    <n v="3.1"/>
    <s v="United Nations Development Programme"/>
    <x v="0"/>
    <s v="Multilateral – UNDP"/>
    <s v="USD"/>
    <s v="Consultant fee per person per workday"/>
    <n v="3"/>
    <s v="KGS"/>
    <s v="Local"/>
    <n v="6156.0000000000009"/>
    <n v="90"/>
    <n v="20"/>
    <n v="1800"/>
    <n v="0"/>
    <m/>
    <s v=""/>
    <n v="0"/>
    <m/>
    <s v=""/>
    <m/>
    <s v=""/>
    <n v="20"/>
    <n v="1800"/>
    <n v="0"/>
    <m/>
    <s v=""/>
    <m/>
    <s v=""/>
    <m/>
    <s v=""/>
    <m/>
    <s v=""/>
    <m/>
    <s v=""/>
    <s v=""/>
    <s v=""/>
    <m/>
    <m/>
    <s v=""/>
    <m/>
    <s v=""/>
    <m/>
    <s v=""/>
    <m/>
    <s v=""/>
    <m/>
    <s v=""/>
    <s v=""/>
    <s v=""/>
    <m/>
    <m/>
    <s v=""/>
    <m/>
    <s v=""/>
    <m/>
    <s v=""/>
    <m/>
    <s v=""/>
    <m/>
    <s v=""/>
    <s v=""/>
    <s v=""/>
    <m/>
    <n v="20"/>
    <n v="1800"/>
    <s v="Historical cost"/>
    <s v="As per approved budget for 2016-2017"/>
    <n v="1800"/>
  </r>
  <r>
    <n v="124"/>
    <m/>
    <s v="MDR-TB"/>
    <s v="Case detection and diagnosis: MDR-TB"/>
    <s v="GX Training:  (1) Training of clinicians and regional TB M&amp;E specialists from TB centers and hospitals. Two 2-days trainings, one in Bishkek and one in Osh for 25 people each. Expected expenditures are: conference-services (hall rent, coffe-breaks, lunches), stationery, printings, transportation and per-diems for participants and trainers."/>
    <x v="29"/>
    <x v="0"/>
    <n v="2.1"/>
    <s v="United Nations Development Programme"/>
    <x v="0"/>
    <s v="Multilateral – UNDP"/>
    <s v="USD"/>
    <s v="Average cost of training per person per day"/>
    <n v="2"/>
    <s v="KGS"/>
    <s v="Local"/>
    <n v="6361.2000000000007"/>
    <n v="93"/>
    <n v="108"/>
    <n v="10044"/>
    <n v="0"/>
    <m/>
    <s v=""/>
    <n v="0"/>
    <m/>
    <s v=""/>
    <m/>
    <s v=""/>
    <n v="108"/>
    <n v="10044"/>
    <n v="0"/>
    <m/>
    <s v=""/>
    <m/>
    <s v=""/>
    <m/>
    <s v=""/>
    <m/>
    <s v=""/>
    <m/>
    <s v=""/>
    <s v=""/>
    <s v=""/>
    <m/>
    <m/>
    <s v=""/>
    <m/>
    <s v=""/>
    <m/>
    <s v=""/>
    <m/>
    <s v=""/>
    <m/>
    <s v=""/>
    <s v=""/>
    <s v=""/>
    <m/>
    <m/>
    <s v=""/>
    <m/>
    <s v=""/>
    <m/>
    <s v=""/>
    <m/>
    <s v=""/>
    <m/>
    <s v=""/>
    <s v=""/>
    <s v=""/>
    <m/>
    <n v="108"/>
    <n v="10044"/>
    <s v="Historical cost"/>
    <s v="As per approved budget for 2016-2017"/>
    <n v="10044"/>
  </r>
  <r>
    <n v="125"/>
    <m/>
    <s v="MDR-TB"/>
    <s v="Case detection and diagnosis: MDR-TB"/>
    <s v="GX trainings: One day Round table in Bishkek in 2nd quarter with participation of heads of regional TB services and Primary Health care, and Mandatory Health Insurance Fund  on advocasy on optimization of the financing mechanism for inter-territorial payments for laboratory services.  Around 40 participants. Expected expenditures are: conference-services (hall rent, catering), stationery, printings, transportation and per-diems for participants."/>
    <x v="26"/>
    <x v="0"/>
    <n v="2.4"/>
    <s v="United Nations Development Programme"/>
    <x v="0"/>
    <s v="Multilateral – UNDP"/>
    <s v="USD"/>
    <s v="Average cost of event per participant per day"/>
    <n v="2"/>
    <s v="KGS"/>
    <s v="Local"/>
    <n v="6361.2000000000007"/>
    <n v="93"/>
    <m/>
    <s v=""/>
    <n v="0"/>
    <n v="40"/>
    <n v="3720"/>
    <n v="0"/>
    <m/>
    <s v=""/>
    <m/>
    <s v=""/>
    <n v="40"/>
    <n v="3720"/>
    <n v="0"/>
    <m/>
    <s v=""/>
    <m/>
    <s v=""/>
    <m/>
    <s v=""/>
    <m/>
    <s v=""/>
    <m/>
    <s v=""/>
    <s v=""/>
    <s v=""/>
    <m/>
    <m/>
    <s v=""/>
    <m/>
    <s v=""/>
    <m/>
    <s v=""/>
    <m/>
    <s v=""/>
    <m/>
    <s v=""/>
    <s v=""/>
    <s v=""/>
    <m/>
    <m/>
    <s v=""/>
    <m/>
    <s v=""/>
    <m/>
    <s v=""/>
    <m/>
    <s v=""/>
    <m/>
    <s v=""/>
    <s v=""/>
    <s v=""/>
    <m/>
    <n v="40"/>
    <n v="3720"/>
    <s v="Historical cost"/>
    <s v="As per approved budget for 2016-2017"/>
    <n v="3720"/>
  </r>
  <r>
    <n v="126"/>
    <m/>
    <s v="MDR-TB"/>
    <s v="Case detection and diagnosis: MDR-TB"/>
    <s v="Technical assistance on the different aspects of the National TB program: 2 visits of the international experts . The potential areas of the TA- laboratory, M&amp;E, data base ( request of NTP) .  Expected expenditures are: International trainer's DSA and round trip airtick, accomodation  "/>
    <x v="31"/>
    <x v="0"/>
    <n v="2.2000000000000002"/>
    <s v="United Nations Development Programme"/>
    <x v="0"/>
    <s v="Multilateral – UNDP"/>
    <s v="USD"/>
    <s v="Average cost of subsistence per person per day"/>
    <n v="2"/>
    <s v="USD"/>
    <s v="Grant"/>
    <n v="374"/>
    <n v="374"/>
    <m/>
    <s v=""/>
    <n v="0"/>
    <n v="10"/>
    <n v="3740"/>
    <n v="0"/>
    <m/>
    <s v=""/>
    <m/>
    <s v=""/>
    <n v="10"/>
    <n v="3740"/>
    <n v="0"/>
    <m/>
    <s v=""/>
    <m/>
    <s v=""/>
    <m/>
    <s v=""/>
    <m/>
    <s v=""/>
    <m/>
    <s v=""/>
    <s v=""/>
    <s v=""/>
    <m/>
    <m/>
    <s v=""/>
    <m/>
    <s v=""/>
    <m/>
    <s v=""/>
    <m/>
    <s v=""/>
    <m/>
    <s v=""/>
    <s v=""/>
    <s v=""/>
    <m/>
    <m/>
    <s v=""/>
    <m/>
    <s v=""/>
    <m/>
    <s v=""/>
    <m/>
    <s v=""/>
    <m/>
    <s v=""/>
    <s v=""/>
    <s v=""/>
    <m/>
    <n v="10"/>
    <n v="3740"/>
    <s v="Historical cost"/>
    <s v="As per approved budget for 2016-2017"/>
    <n v="3740"/>
  </r>
  <r>
    <n v="127"/>
    <m/>
    <s v="RSSH: Health management information systems and M&amp;E"/>
    <s v="Routine reporting"/>
    <s v="The meetings,  involving the regional  MDR Coordinators, managers of the TB program , NGO representatives , responsible for implementation of agreements  between UNDP and Regional TB. one meeting will be organized in Q-2 2018 in Issyk-Kul for 35 participants"/>
    <x v="26"/>
    <x v="2"/>
    <n v="2.4"/>
    <s v="United Nations Development Programme"/>
    <x v="0"/>
    <s v="Multilateral – UNDP"/>
    <s v="USD"/>
    <s v="Average cost of event per participant per day"/>
    <n v="2"/>
    <s v="KGS"/>
    <s v="Local"/>
    <n v="6361.2000000000007"/>
    <n v="93"/>
    <m/>
    <s v=""/>
    <n v="0"/>
    <n v="70"/>
    <n v="6510"/>
    <n v="0"/>
    <m/>
    <s v=""/>
    <m/>
    <s v=""/>
    <n v="70"/>
    <n v="6510"/>
    <n v="0"/>
    <m/>
    <s v=""/>
    <m/>
    <s v=""/>
    <m/>
    <s v=""/>
    <m/>
    <s v=""/>
    <m/>
    <s v=""/>
    <s v=""/>
    <s v=""/>
    <m/>
    <m/>
    <s v=""/>
    <m/>
    <s v=""/>
    <m/>
    <s v=""/>
    <m/>
    <s v=""/>
    <m/>
    <s v=""/>
    <s v=""/>
    <s v=""/>
    <m/>
    <m/>
    <s v=""/>
    <m/>
    <s v=""/>
    <m/>
    <s v=""/>
    <m/>
    <s v=""/>
    <m/>
    <s v=""/>
    <s v=""/>
    <s v=""/>
    <m/>
    <n v="70"/>
    <n v="6510"/>
    <m/>
    <m/>
    <n v="6510"/>
  </r>
  <r>
    <n v="128"/>
    <m/>
    <s v="Program management"/>
    <s v="Grant management"/>
    <s v="NTC management costs: office related costs (sttaionery, internet)_x000a_National TB Centers in Bishkek and regions"/>
    <x v="18"/>
    <x v="0"/>
    <n v="11.1"/>
    <s v="TB Centers"/>
    <x v="1"/>
    <s v="Government - Other"/>
    <s v="USD"/>
    <s v="Average office cost per office unit per quarter"/>
    <n v="11"/>
    <s v="KGS"/>
    <s v="Local"/>
    <n v="21000.000000000004"/>
    <n v="307.01754385964915"/>
    <n v="10"/>
    <n v="3070.1754385964914"/>
    <n v="0"/>
    <n v="10"/>
    <n v="3070.1754385964914"/>
    <n v="0"/>
    <m/>
    <s v=""/>
    <m/>
    <s v=""/>
    <n v="20"/>
    <n v="6140.3508771929828"/>
    <n v="0"/>
    <m/>
    <s v=""/>
    <m/>
    <s v=""/>
    <m/>
    <s v=""/>
    <m/>
    <s v=""/>
    <m/>
    <s v=""/>
    <s v=""/>
    <s v=""/>
    <m/>
    <m/>
    <s v=""/>
    <m/>
    <s v=""/>
    <m/>
    <s v=""/>
    <m/>
    <s v=""/>
    <m/>
    <s v=""/>
    <s v=""/>
    <s v=""/>
    <m/>
    <m/>
    <s v=""/>
    <m/>
    <s v=""/>
    <m/>
    <s v=""/>
    <m/>
    <s v=""/>
    <m/>
    <s v=""/>
    <s v=""/>
    <s v=""/>
    <m/>
    <n v="20"/>
    <n v="6140.3508771929828"/>
    <s v="Historical cost"/>
    <s v="As per approved budget for 2016-2017"/>
    <n v="6140.3508771929828"/>
  </r>
  <r>
    <n v="129"/>
    <m/>
    <s v="MDR-TB"/>
    <s v="Community MDR-TB care delivery"/>
    <s v="Psychological help to patients (2 psychologists)"/>
    <x v="16"/>
    <x v="0"/>
    <n v="1.2"/>
    <s v="TB Centers"/>
    <x v="1"/>
    <s v="Government - Other"/>
    <s v="USD"/>
    <s v="Average payment per FTE (person) per quarter"/>
    <n v="1"/>
    <s v="KGS"/>
    <s v="Local"/>
    <n v="46604.061000000002"/>
    <n v="681.34592105263152"/>
    <n v="3"/>
    <n v="2044.0377631578945"/>
    <n v="0"/>
    <n v="3"/>
    <n v="2044.0377631578945"/>
    <n v="0"/>
    <m/>
    <s v=""/>
    <m/>
    <s v=""/>
    <n v="6"/>
    <n v="4088.0755263157889"/>
    <n v="0"/>
    <m/>
    <s v=""/>
    <m/>
    <s v=""/>
    <m/>
    <s v=""/>
    <m/>
    <s v=""/>
    <m/>
    <s v=""/>
    <s v=""/>
    <s v=""/>
    <m/>
    <m/>
    <s v=""/>
    <m/>
    <s v=""/>
    <m/>
    <s v=""/>
    <m/>
    <s v=""/>
    <m/>
    <s v=""/>
    <s v=""/>
    <s v=""/>
    <m/>
    <m/>
    <s v=""/>
    <m/>
    <s v=""/>
    <m/>
    <s v=""/>
    <m/>
    <s v=""/>
    <m/>
    <s v=""/>
    <s v=""/>
    <s v=""/>
    <m/>
    <n v="6"/>
    <n v="4088.0755263157889"/>
    <s v="Historical cost"/>
    <s v="As per approved budget for 2016-2017"/>
    <n v="4088.0755263157889"/>
  </r>
  <r>
    <n v="130"/>
    <m/>
    <s v="MDR-TB"/>
    <s v="Community MDR-TB care delivery"/>
    <s v="The motivation support to drug-susceptible  and REZ  Incentives   patients included in the treatment (cash incentives for adherance to treatment). 1300 SOM\PER PATIENT\PER MONTH"/>
    <x v="27"/>
    <x v="0"/>
    <n v="12.3"/>
    <s v="TB Centers"/>
    <x v="1"/>
    <s v="Government - Other"/>
    <s v="USD"/>
    <s v="Average amount of incentives per person per quarter"/>
    <n v="12"/>
    <s v="KGS"/>
    <s v="Local"/>
    <n v="1300.0000000000002"/>
    <n v="19.005847953216374"/>
    <n v="6840"/>
    <n v="130000"/>
    <n v="0"/>
    <n v="6840"/>
    <n v="130000"/>
    <n v="0"/>
    <m/>
    <s v=""/>
    <m/>
    <s v=""/>
    <n v="13680"/>
    <n v="260000"/>
    <n v="0"/>
    <m/>
    <s v=""/>
    <m/>
    <s v=""/>
    <m/>
    <s v=""/>
    <m/>
    <s v=""/>
    <m/>
    <s v=""/>
    <s v=""/>
    <s v=""/>
    <m/>
    <m/>
    <s v=""/>
    <m/>
    <s v=""/>
    <m/>
    <s v=""/>
    <m/>
    <s v=""/>
    <m/>
    <s v=""/>
    <s v=""/>
    <s v=""/>
    <m/>
    <m/>
    <s v=""/>
    <m/>
    <s v=""/>
    <m/>
    <s v=""/>
    <m/>
    <s v=""/>
    <m/>
    <s v=""/>
    <s v=""/>
    <s v=""/>
    <m/>
    <n v="13680"/>
    <n v="260000"/>
    <s v="Historical cost"/>
    <s v="As per approved budget for 2016-2017"/>
    <n v="260000"/>
  </r>
  <r>
    <n v="131"/>
    <m/>
    <s v="MDR-TB"/>
    <s v="Community MDR-TB care delivery"/>
    <s v="Incentives for drug-resistant  patients included in the treatment (cash incentives for adherance to treatment). 1800 SOM PER PATIENT PER MONTH"/>
    <x v="27"/>
    <x v="0"/>
    <n v="12.3"/>
    <s v="TB Centers"/>
    <x v="1"/>
    <s v="Government - Other"/>
    <s v="USD"/>
    <s v="Average amount of incentives per person per quarter"/>
    <n v="12"/>
    <s v="KGS"/>
    <s v="Local"/>
    <n v="1800"/>
    <n v="26.315789473684209"/>
    <n v="5985"/>
    <n v="157500"/>
    <n v="0"/>
    <n v="5985"/>
    <n v="157500"/>
    <n v="0"/>
    <m/>
    <s v=""/>
    <m/>
    <s v=""/>
    <n v="11970"/>
    <n v="315000"/>
    <n v="0"/>
    <m/>
    <s v=""/>
    <m/>
    <s v=""/>
    <m/>
    <s v=""/>
    <m/>
    <s v=""/>
    <m/>
    <s v=""/>
    <s v=""/>
    <s v=""/>
    <m/>
    <m/>
    <s v=""/>
    <m/>
    <s v=""/>
    <m/>
    <s v=""/>
    <m/>
    <s v=""/>
    <m/>
    <s v=""/>
    <s v=""/>
    <s v=""/>
    <m/>
    <m/>
    <s v=""/>
    <m/>
    <s v=""/>
    <m/>
    <s v=""/>
    <m/>
    <s v=""/>
    <m/>
    <s v=""/>
    <s v=""/>
    <s v=""/>
    <m/>
    <n v="11970"/>
    <n v="315000"/>
    <s v="Historical cost"/>
    <s v="As per approved budget for 2016-2017"/>
    <n v="315000"/>
  </r>
  <r>
    <n v="132"/>
    <m/>
    <s v="MDR-TB"/>
    <s v="Community MDR-TB care delivery"/>
    <s v="Diary products and food parcels to the  TB patients; kefir will be supplied to the DR TB patients, taking PAS in the capacity of the acidic  drink . The cash incentives to the TB ward of psychyatric hospital Chym- Corgon will be replaced with food parcels , 2 children TB hospitals will be supported with diary products , the most vulnerable TB patients of Bishkek city will be provided food parcels during the first 1-2 month of treatment, to survive the period between initiation  of treatment and beginning of payment   of cash incentives  "/>
    <x v="20"/>
    <x v="0"/>
    <n v="12.2"/>
    <s v="United Nations Development Programme"/>
    <x v="0"/>
    <s v="Multilateral – UNDP"/>
    <s v="USD"/>
    <s v="Average cost of support package per person per quarter"/>
    <n v="12"/>
    <s v="KGS"/>
    <s v="Local"/>
    <n v="497.09106666666668"/>
    <n v="7.2674132553606237"/>
    <n v="1875"/>
    <n v="13626.399853801169"/>
    <n v="8905"/>
    <n v="1875"/>
    <n v="13626.399853801169"/>
    <n v="8905"/>
    <m/>
    <s v=""/>
    <m/>
    <s v=""/>
    <n v="3750"/>
    <n v="27252.799707602338"/>
    <n v="17810"/>
    <m/>
    <s v=""/>
    <m/>
    <s v=""/>
    <m/>
    <s v=""/>
    <m/>
    <s v=""/>
    <m/>
    <s v=""/>
    <s v=""/>
    <s v=""/>
    <m/>
    <m/>
    <s v=""/>
    <m/>
    <s v=""/>
    <m/>
    <s v=""/>
    <m/>
    <s v=""/>
    <m/>
    <s v=""/>
    <s v=""/>
    <s v=""/>
    <m/>
    <m/>
    <s v=""/>
    <m/>
    <s v=""/>
    <m/>
    <s v=""/>
    <m/>
    <s v=""/>
    <m/>
    <s v=""/>
    <s v=""/>
    <s v=""/>
    <m/>
    <n v="3750"/>
    <n v="27252.799707602338"/>
    <s v="Quote from supplier"/>
    <s v="As per current contracts"/>
    <n v="9442.7997076023385"/>
  </r>
  <r>
    <n v="133"/>
    <m/>
    <s v="Treatment, care and support"/>
    <s v="Treatment monitoring - Viral load"/>
    <s v="Outsourcing services for regular lab examination of PLHIV-transportation of biological samples taken from PLHIV (blood, serum, plasma) from regional laboratories to the central laboratory of diagnostics of HIV -AIDS Center."/>
    <x v="22"/>
    <x v="1"/>
    <n v="3.4"/>
    <s v="United Nations Development Programme"/>
    <x v="0"/>
    <s v="Multilateral – UNDP"/>
    <s v="USD"/>
    <s v="N/A"/>
    <n v="3"/>
    <s v="KGS"/>
    <s v="Local"/>
    <n v="1950.0000000000002"/>
    <n v="28.508771929824562"/>
    <n v="40"/>
    <n v="1140.3508771929824"/>
    <n v="1140.3508771929824"/>
    <n v="40"/>
    <n v="1140.3508771929824"/>
    <n v="1140.3508771929824"/>
    <m/>
    <s v=""/>
    <m/>
    <s v=""/>
    <n v="80"/>
    <n v="2280.7017543859647"/>
    <n v="2280.7017543859647"/>
    <m/>
    <s v=""/>
    <m/>
    <s v=""/>
    <m/>
    <s v=""/>
    <m/>
    <s v=""/>
    <m/>
    <s v=""/>
    <s v=""/>
    <s v=""/>
    <m/>
    <m/>
    <s v=""/>
    <m/>
    <s v=""/>
    <m/>
    <s v=""/>
    <m/>
    <s v=""/>
    <m/>
    <s v=""/>
    <s v=""/>
    <s v=""/>
    <m/>
    <m/>
    <s v=""/>
    <m/>
    <s v=""/>
    <m/>
    <s v=""/>
    <m/>
    <s v=""/>
    <m/>
    <s v=""/>
    <s v=""/>
    <s v=""/>
    <m/>
    <n v="80"/>
    <n v="2280.7017543859647"/>
    <m/>
    <m/>
    <n v="0"/>
  </r>
  <r>
    <n v="134"/>
    <s v="5.9.37"/>
    <s v="Treatment, care and support"/>
    <s v="Treatment adherence"/>
    <s v="Food and hygiene packages are provided to  PLHIV adherenced to ART ( 320 prisoners among total 1700 clients)"/>
    <x v="20"/>
    <x v="1"/>
    <n v="12.2"/>
    <s v="United Nations Development Programme"/>
    <x v="1"/>
    <s v="Multilateral – UNDP"/>
    <s v="USD"/>
    <s v="Average cost of support package per person per quarter"/>
    <n v="12"/>
    <s v="KGS"/>
    <s v="Local"/>
    <n v="547.20000000000005"/>
    <n v="8"/>
    <n v="320"/>
    <n v="2560"/>
    <n v="2412.2807017543855"/>
    <n v="320"/>
    <n v="2560"/>
    <n v="2412.2807017543855"/>
    <m/>
    <s v=""/>
    <m/>
    <s v=""/>
    <n v="640"/>
    <n v="5120"/>
    <n v="4824.561403508771"/>
    <m/>
    <s v=""/>
    <m/>
    <s v=""/>
    <m/>
    <s v=""/>
    <m/>
    <s v=""/>
    <m/>
    <s v=""/>
    <s v=""/>
    <s v=""/>
    <m/>
    <m/>
    <s v=""/>
    <m/>
    <s v=""/>
    <m/>
    <s v=""/>
    <m/>
    <s v=""/>
    <m/>
    <s v=""/>
    <s v=""/>
    <s v=""/>
    <m/>
    <m/>
    <s v=""/>
    <m/>
    <s v=""/>
    <m/>
    <s v=""/>
    <m/>
    <s v=""/>
    <m/>
    <s v=""/>
    <s v=""/>
    <s v=""/>
    <m/>
    <n v="640"/>
    <n v="5120"/>
    <m/>
    <m/>
    <n v="295.43859649122896"/>
  </r>
  <r>
    <n v="135"/>
    <s v="1.1.4"/>
    <s v="Comprehensive prevention programs for people who inject drugs (PWID) and their partners"/>
    <s v="Needle and Syringe programs for PWID and their partners"/>
    <s v="Social support (for 9 NGO NEPs)"/>
    <x v="20"/>
    <x v="1"/>
    <n v="12.2"/>
    <s v="PWID SR  (RCN and NGOs)"/>
    <x v="1"/>
    <s v="Civil Society - Local Non-Governmental Organization"/>
    <s v="USD"/>
    <s v="Average cost of support package per person per quarter"/>
    <n v="12"/>
    <s v="KGS"/>
    <s v="Local"/>
    <n v="14364.000000000002"/>
    <n v="210"/>
    <n v="9"/>
    <n v="1890"/>
    <n v="0"/>
    <n v="9"/>
    <n v="1890"/>
    <n v="0"/>
    <m/>
    <s v=""/>
    <m/>
    <s v=""/>
    <n v="18"/>
    <n v="3780"/>
    <n v="0"/>
    <m/>
    <s v=""/>
    <m/>
    <s v=""/>
    <m/>
    <s v=""/>
    <m/>
    <s v=""/>
    <m/>
    <s v=""/>
    <s v=""/>
    <s v=""/>
    <m/>
    <m/>
    <s v=""/>
    <m/>
    <s v=""/>
    <m/>
    <s v=""/>
    <m/>
    <s v=""/>
    <m/>
    <s v=""/>
    <s v=""/>
    <s v=""/>
    <m/>
    <m/>
    <s v=""/>
    <m/>
    <s v=""/>
    <m/>
    <s v=""/>
    <m/>
    <s v=""/>
    <m/>
    <s v=""/>
    <s v=""/>
    <s v=""/>
    <m/>
    <n v="18"/>
    <n v="3780"/>
    <m/>
    <m/>
    <n v="3780"/>
  </r>
  <r>
    <n v="136"/>
    <s v="1.3.166"/>
    <s v="Comprehensive prevention programs for people who inject drugs (PWID) and their partners"/>
    <s v="OST and other drug dependence treatment for PWID"/>
    <s v="Motivational support for OST clients: Detox-therapy for OST clients who uses unlegal substances (5 clients per month ); Providing psychological support for OST clients;"/>
    <x v="24"/>
    <x v="1"/>
    <n v="12.5"/>
    <s v="RCN  (Republican Center of Narcology)"/>
    <x v="1"/>
    <s v="Government - Other"/>
    <s v="USD"/>
    <s v="N/A"/>
    <n v="12"/>
    <s v="KGS"/>
    <s v="Local"/>
    <n v="34506.951428571425"/>
    <n v="504.4875939849623"/>
    <n v="7"/>
    <n v="3531.4131578947363"/>
    <n v="1796.1403508771928"/>
    <n v="7"/>
    <n v="3531.4131578947363"/>
    <n v="1796.1403508771928"/>
    <m/>
    <s v=""/>
    <m/>
    <s v=""/>
    <n v="14"/>
    <n v="7062.8263157894726"/>
    <n v="3592.2807017543855"/>
    <m/>
    <s v=""/>
    <m/>
    <s v=""/>
    <m/>
    <s v=""/>
    <m/>
    <s v=""/>
    <m/>
    <s v=""/>
    <s v=""/>
    <s v=""/>
    <m/>
    <m/>
    <s v=""/>
    <m/>
    <s v=""/>
    <m/>
    <s v=""/>
    <m/>
    <s v=""/>
    <m/>
    <s v=""/>
    <s v=""/>
    <s v=""/>
    <m/>
    <m/>
    <s v=""/>
    <m/>
    <s v=""/>
    <m/>
    <s v=""/>
    <m/>
    <s v=""/>
    <m/>
    <s v=""/>
    <s v=""/>
    <s v=""/>
    <m/>
    <n v="14"/>
    <n v="7062.8263157894726"/>
    <m/>
    <m/>
    <n v="3470.5456140350871"/>
  </r>
  <r>
    <n v="137"/>
    <s v="1.3.194"/>
    <s v="Comprehensive prevention programs for people who inject drugs (PWID) and their partners"/>
    <s v="OST and other drug dependence treatment for PWID"/>
    <s v="The support of 7 OST units in penitenciary sector: Mini sessions for OST clients (once per quarter)"/>
    <x v="20"/>
    <x v="1"/>
    <n v="12.2"/>
    <s v="RCN  (Republican Center of Narcology)"/>
    <x v="1"/>
    <s v="Government - Other"/>
    <s v="USD"/>
    <s v="Average cost of support package per person per quarter"/>
    <n v="12"/>
    <s v="KGS"/>
    <s v="Local"/>
    <n v="114"/>
    <n v="1.6666666666666665"/>
    <n v="350"/>
    <n v="583.33333333333326"/>
    <n v="0"/>
    <n v="350"/>
    <n v="583.33333333333326"/>
    <n v="0"/>
    <m/>
    <s v=""/>
    <m/>
    <s v=""/>
    <n v="700"/>
    <n v="1166.6666666666665"/>
    <n v="0"/>
    <m/>
    <s v=""/>
    <m/>
    <s v=""/>
    <m/>
    <s v=""/>
    <m/>
    <s v=""/>
    <m/>
    <s v=""/>
    <s v=""/>
    <s v=""/>
    <m/>
    <m/>
    <s v=""/>
    <m/>
    <s v=""/>
    <m/>
    <s v=""/>
    <m/>
    <s v=""/>
    <m/>
    <s v=""/>
    <s v=""/>
    <s v=""/>
    <m/>
    <m/>
    <s v=""/>
    <m/>
    <s v=""/>
    <m/>
    <s v=""/>
    <m/>
    <s v=""/>
    <m/>
    <s v=""/>
    <s v=""/>
    <s v=""/>
    <m/>
    <n v="700"/>
    <n v="1166.6666666666665"/>
    <m/>
    <m/>
    <n v="1166.6666666666665"/>
  </r>
  <r>
    <n v="138"/>
    <m/>
    <s v="Program management"/>
    <s v="Grant management"/>
    <s v="The support of the central MOH unit responsible to take over the Project management- Head of the unit and Coordinators' salaries. "/>
    <x v="17"/>
    <x v="3"/>
    <n v="1.1000000000000001"/>
    <s v="MOH"/>
    <x v="1"/>
    <s v="Government - Ministry of Health"/>
    <s v="USD"/>
    <s v="Average gross salary per FTE (person) per quarter"/>
    <n v="1"/>
    <s v="KGS"/>
    <s v="Local"/>
    <n v="257950"/>
    <n v="3771.1988304093566"/>
    <n v="6"/>
    <n v="22627.192982456138"/>
    <n v="0"/>
    <n v="6"/>
    <n v="22627.192982456138"/>
    <n v="0"/>
    <m/>
    <s v=""/>
    <m/>
    <s v=""/>
    <n v="12"/>
    <n v="45254.385964912275"/>
    <n v="0"/>
    <m/>
    <s v=""/>
    <m/>
    <s v=""/>
    <m/>
    <s v=""/>
    <m/>
    <s v=""/>
    <m/>
    <s v=""/>
    <s v=""/>
    <s v=""/>
    <m/>
    <m/>
    <s v=""/>
    <m/>
    <s v=""/>
    <m/>
    <s v=""/>
    <m/>
    <s v=""/>
    <m/>
    <s v=""/>
    <s v=""/>
    <s v=""/>
    <m/>
    <m/>
    <s v=""/>
    <m/>
    <s v=""/>
    <m/>
    <s v=""/>
    <m/>
    <s v=""/>
    <m/>
    <s v=""/>
    <s v=""/>
    <s v=""/>
    <m/>
    <n v="12"/>
    <n v="45254.385964912275"/>
    <m/>
    <m/>
    <n v="45254.385964912275"/>
  </r>
  <r>
    <n v="139"/>
    <s v="9.14.58"/>
    <s v="Program management"/>
    <s v="Grant management"/>
    <s v="The support of the central MOH unit responsible to take over the Project management -  the programme and administrative staff salaries. "/>
    <x v="16"/>
    <x v="3"/>
    <n v="1.2"/>
    <s v="MOH"/>
    <x v="1"/>
    <s v="Government - Ministry of Health"/>
    <s v="USD"/>
    <s v="Average payment per FTE (person) per quarter"/>
    <n v="1"/>
    <s v="KGS"/>
    <s v="Local"/>
    <n v="211158.23076923081"/>
    <n v="3087.1086369770583"/>
    <n v="6.5"/>
    <n v="20066.206140350878"/>
    <n v="4500"/>
    <n v="6.5"/>
    <n v="20066.206140350878"/>
    <n v="4500"/>
    <m/>
    <s v=""/>
    <m/>
    <s v=""/>
    <n v="13"/>
    <n v="40132.412280701756"/>
    <n v="9000"/>
    <m/>
    <s v=""/>
    <m/>
    <s v=""/>
    <m/>
    <s v=""/>
    <m/>
    <s v=""/>
    <m/>
    <s v=""/>
    <s v=""/>
    <s v=""/>
    <m/>
    <m/>
    <s v=""/>
    <m/>
    <s v=""/>
    <m/>
    <s v=""/>
    <m/>
    <s v=""/>
    <m/>
    <s v=""/>
    <s v=""/>
    <s v=""/>
    <m/>
    <m/>
    <s v=""/>
    <m/>
    <s v=""/>
    <m/>
    <s v=""/>
    <m/>
    <s v=""/>
    <m/>
    <s v=""/>
    <s v=""/>
    <s v=""/>
    <m/>
    <n v="13"/>
    <n v="40132.412280701756"/>
    <m/>
    <m/>
    <n v="31132.412280701756"/>
  </r>
  <r>
    <n v="140"/>
    <m/>
    <s v="Program management"/>
    <s v="Grant management"/>
    <s v="The support of the central MOH unit responsible to take over the Project management - the costs for regular monitoring visits jointly with MoH staff to the regions of KR. "/>
    <x v="23"/>
    <x v="3"/>
    <n v="2.2999999999999998"/>
    <s v="MOH"/>
    <x v="1"/>
    <s v="Government - Ministry of Health"/>
    <s v="USD"/>
    <s v="Average cost of subsistence per person per day"/>
    <n v="2"/>
    <s v="KGS"/>
    <s v="Local"/>
    <n v="5182.5000000000009"/>
    <n v="75.767543859649123"/>
    <n v="10"/>
    <n v="757.67543859649118"/>
    <n v="0"/>
    <n v="10"/>
    <n v="757.67543859649118"/>
    <n v="0"/>
    <m/>
    <s v=""/>
    <m/>
    <s v=""/>
    <n v="20"/>
    <n v="1515.3508771929824"/>
    <n v="0"/>
    <m/>
    <s v=""/>
    <m/>
    <s v=""/>
    <m/>
    <s v=""/>
    <m/>
    <s v=""/>
    <m/>
    <s v=""/>
    <s v=""/>
    <s v=""/>
    <m/>
    <m/>
    <s v=""/>
    <m/>
    <s v=""/>
    <m/>
    <s v=""/>
    <m/>
    <s v=""/>
    <m/>
    <s v=""/>
    <s v=""/>
    <s v=""/>
    <m/>
    <m/>
    <s v=""/>
    <m/>
    <s v=""/>
    <m/>
    <s v=""/>
    <m/>
    <s v=""/>
    <m/>
    <s v=""/>
    <s v=""/>
    <s v=""/>
    <m/>
    <n v="20"/>
    <n v="1515.3508771929824"/>
    <m/>
    <m/>
    <n v="1515.3508771929824"/>
  </r>
  <r>
    <n v="141"/>
    <s v="9.14.65"/>
    <s v="Program management"/>
    <s v="Grant management"/>
    <s v="The support of the central MOH unit responsible to take over the Project management - the office related costs.  "/>
    <x v="18"/>
    <x v="3"/>
    <n v="11.1"/>
    <s v="MOH"/>
    <x v="1"/>
    <s v="Government - Ministry of Health"/>
    <s v="USD"/>
    <s v="Average office cost per office unit per quarter"/>
    <n v="11"/>
    <s v="KGS"/>
    <s v="Local"/>
    <n v="114345"/>
    <n v="1671.7105263157894"/>
    <n v="1"/>
    <n v="1671.7105263157894"/>
    <n v="540"/>
    <n v="1"/>
    <n v="1671.7105263157894"/>
    <n v="540"/>
    <m/>
    <s v=""/>
    <m/>
    <s v=""/>
    <n v="2"/>
    <n v="3343.4210526315787"/>
    <n v="1080"/>
    <m/>
    <s v=""/>
    <m/>
    <s v=""/>
    <m/>
    <s v=""/>
    <m/>
    <s v=""/>
    <m/>
    <s v=""/>
    <s v=""/>
    <s v=""/>
    <m/>
    <m/>
    <s v=""/>
    <m/>
    <s v=""/>
    <m/>
    <s v=""/>
    <m/>
    <s v=""/>
    <m/>
    <s v=""/>
    <s v=""/>
    <s v=""/>
    <m/>
    <m/>
    <s v=""/>
    <m/>
    <s v=""/>
    <m/>
    <s v=""/>
    <m/>
    <s v=""/>
    <m/>
    <s v=""/>
    <s v=""/>
    <s v=""/>
    <m/>
    <n v="2"/>
    <n v="3343.4210526315787"/>
    <m/>
    <m/>
    <n v="2263.4210526315787"/>
  </r>
  <r>
    <n v="142"/>
    <m/>
    <s v="Program management"/>
    <s v="Policy, planning, coordination and management of national disease control programs"/>
    <s v="Conduct a workshop for PIU and MoH KR staff on the components of the Operational Manual. One-day working meeting for 40 participants in Bishkek. "/>
    <x v="29"/>
    <x v="3"/>
    <n v="2.1"/>
    <s v="MOH"/>
    <x v="1"/>
    <s v="Government - Ministry of Health"/>
    <s v="USD"/>
    <s v="Average cost of training per person per day"/>
    <n v="2"/>
    <s v="KGS"/>
    <s v="Local"/>
    <n v="6361.2000000000007"/>
    <n v="93"/>
    <n v="40"/>
    <n v="3720"/>
    <n v="0"/>
    <n v="0"/>
    <n v="0"/>
    <n v="0"/>
    <m/>
    <s v=""/>
    <m/>
    <s v=""/>
    <n v="40"/>
    <n v="3720"/>
    <n v="0"/>
    <m/>
    <s v=""/>
    <m/>
    <s v=""/>
    <m/>
    <s v=""/>
    <m/>
    <s v=""/>
    <m/>
    <s v=""/>
    <s v=""/>
    <s v=""/>
    <m/>
    <m/>
    <s v=""/>
    <m/>
    <s v=""/>
    <m/>
    <s v=""/>
    <m/>
    <s v=""/>
    <m/>
    <s v=""/>
    <s v=""/>
    <s v=""/>
    <m/>
    <m/>
    <s v=""/>
    <m/>
    <s v=""/>
    <m/>
    <s v=""/>
    <m/>
    <s v=""/>
    <m/>
    <s v=""/>
    <s v=""/>
    <s v=""/>
    <m/>
    <n v="40"/>
    <n v="3720"/>
    <m/>
    <m/>
    <n v="3720"/>
  </r>
  <r>
    <n v="143"/>
    <m/>
    <s v="Program management"/>
    <s v="Policy, planning, coordination and management of national disease control programs"/>
    <s v="Capacity building plan to transfer PR-ship from UNDP to MOH has been developed, costed and agreed by CCM. The plan provides clear timeframes and outcomes - The costs for all training activities."/>
    <x v="26"/>
    <x v="3"/>
    <n v="2.4"/>
    <s v="MOH"/>
    <x v="1"/>
    <s v="Government - Ministry of Health"/>
    <s v="USD"/>
    <s v="Average cost of event per participant per day"/>
    <n v="2"/>
    <s v="KGS"/>
    <s v="Local"/>
    <n v="1407.9"/>
    <n v="20.583333333333332"/>
    <n v="39.109311740890689"/>
    <n v="805"/>
    <n v="0"/>
    <n v="20.890688259109314"/>
    <n v="430.00000000000006"/>
    <n v="0"/>
    <m/>
    <s v=""/>
    <m/>
    <s v=""/>
    <n v="60"/>
    <n v="1235"/>
    <n v="0"/>
    <m/>
    <s v=""/>
    <m/>
    <s v=""/>
    <m/>
    <s v=""/>
    <m/>
    <s v=""/>
    <m/>
    <s v=""/>
    <s v=""/>
    <s v=""/>
    <m/>
    <m/>
    <s v=""/>
    <m/>
    <s v=""/>
    <m/>
    <s v=""/>
    <m/>
    <s v=""/>
    <m/>
    <s v=""/>
    <s v=""/>
    <s v=""/>
    <m/>
    <m/>
    <s v=""/>
    <m/>
    <s v=""/>
    <m/>
    <s v=""/>
    <m/>
    <s v=""/>
    <m/>
    <s v=""/>
    <s v=""/>
    <s v=""/>
    <m/>
    <n v="60"/>
    <n v="1235"/>
    <m/>
    <m/>
    <n v="1235"/>
  </r>
  <r>
    <n v="144"/>
    <m/>
    <s v="RSSH: Health management information systems and M&amp;E"/>
    <s v="Routine reporting"/>
    <s v=" Technical support to the National TB program on implementationof the GF grant: 5 national level technical specialists of NTP will be paid top up salaries  for additional work, associated with the GF grant implementation:  NTP Drug management Coordinator  , NTP M&amp;E Coordinator , NTP DR-TB Coordinator, National TB program Coordinator ,  Electronic Database coordinator.  IC specialist will be contracted to UNDP PMU to conduct the technical work, associated  with entering the data on  TB patients adherence to treatment .  Oblast TB program Coordinators  will be paid top up salaries for  coordination, supervision of implementation of the  SR Argeements with UNDP  in oblast level,  contrating of the fuel supply companies, CT  diagnostic centers,  providing viechle for M&amp;E visits etc  ( TB program coordinators of Chui ,Naryn, Talas,  Issyk-Kul, Osh, Jalal-Abad, Batken  oblast TB centers,  Bishkek city TB center ) "/>
    <x v="25"/>
    <x v="0"/>
    <n v="3.1"/>
    <s v="TB Centers"/>
    <x v="1"/>
    <s v="Government - Other"/>
    <s v="USD"/>
    <s v="Consultant fee per person per workday"/>
    <n v="3"/>
    <s v="KGS"/>
    <s v="Local"/>
    <n v="747.63340909090903"/>
    <n v="10.930312998405102"/>
    <n v="924"/>
    <n v="10099.609210526314"/>
    <n v="0"/>
    <n v="924"/>
    <n v="10099.609210526314"/>
    <n v="0"/>
    <m/>
    <s v=""/>
    <m/>
    <s v=""/>
    <n v="1848"/>
    <n v="20199.218421052628"/>
    <n v="0"/>
    <m/>
    <s v=""/>
    <m/>
    <s v=""/>
    <m/>
    <s v=""/>
    <m/>
    <s v=""/>
    <m/>
    <s v=""/>
    <s v=""/>
    <s v=""/>
    <m/>
    <m/>
    <s v=""/>
    <m/>
    <s v=""/>
    <m/>
    <s v=""/>
    <m/>
    <s v=""/>
    <m/>
    <s v=""/>
    <s v=""/>
    <s v=""/>
    <m/>
    <m/>
    <s v=""/>
    <m/>
    <s v=""/>
    <m/>
    <s v=""/>
    <m/>
    <s v=""/>
    <m/>
    <s v=""/>
    <s v=""/>
    <s v=""/>
    <m/>
    <n v="1848"/>
    <n v="20199.218421052628"/>
    <s v="Historical cost"/>
    <s v="As per SR agreement for 2017 within approved grant budget for 2016-2017"/>
    <n v="20199.218421052628"/>
  </r>
  <r>
    <n v="145"/>
    <m/>
    <s v="MDR-TB"/>
    <s v="Community MDR-TB care delivery"/>
    <s v="Incentives for drug-resistant  patients included in the treatment (reimbursment of transportation cost)"/>
    <x v="27"/>
    <x v="0"/>
    <n v="12.3"/>
    <s v="TB Centers"/>
    <x v="1"/>
    <s v="Government - Other"/>
    <s v="USD"/>
    <s v="Average amount of incentives per person per quarter"/>
    <n v="12"/>
    <s v="KGS"/>
    <s v="Local"/>
    <n v="407.49999999999994"/>
    <n v="5.9576023391812853"/>
    <n v="2520"/>
    <n v="15013.15789473684"/>
    <n v="0"/>
    <n v="2520"/>
    <n v="15013.15789473684"/>
    <n v="0"/>
    <m/>
    <s v=""/>
    <m/>
    <s v=""/>
    <n v="5040"/>
    <n v="30026.31578947368"/>
    <n v="0"/>
    <m/>
    <s v=""/>
    <m/>
    <s v=""/>
    <m/>
    <s v=""/>
    <m/>
    <s v=""/>
    <m/>
    <s v=""/>
    <s v=""/>
    <s v=""/>
    <m/>
    <m/>
    <s v=""/>
    <m/>
    <s v=""/>
    <m/>
    <s v=""/>
    <m/>
    <s v=""/>
    <m/>
    <s v=""/>
    <s v=""/>
    <s v=""/>
    <m/>
    <m/>
    <s v=""/>
    <m/>
    <s v=""/>
    <m/>
    <s v=""/>
    <m/>
    <s v=""/>
    <m/>
    <s v=""/>
    <s v=""/>
    <s v=""/>
    <m/>
    <n v="5040"/>
    <n v="30026.31578947368"/>
    <s v="Historical cost"/>
    <s v="As per approved budget for 2016-2017"/>
    <n v="30026.31578947368"/>
  </r>
  <r>
    <n v="146"/>
    <m/>
    <s v="MDR-TB"/>
    <s v="Community MDR-TB care delivery"/>
    <s v="Tomography services and diagnosis for TB patients. CT for children"/>
    <x v="24"/>
    <x v="0"/>
    <n v="12.5"/>
    <s v="United Nations Development Programme"/>
    <x v="0"/>
    <s v="Multilateral – UNDP"/>
    <s v="USD"/>
    <s v="N/A"/>
    <n v="12"/>
    <s v="KGS"/>
    <s v="Local"/>
    <n v="3499.9999999999995"/>
    <n v="51.169590643274844"/>
    <n v="128"/>
    <n v="6549.7076023391801"/>
    <n v="6549.7076023391801"/>
    <n v="128"/>
    <n v="6549.7076023391801"/>
    <n v="6549.7076023391801"/>
    <m/>
    <s v=""/>
    <m/>
    <s v=""/>
    <n v="256"/>
    <n v="13099.41520467836"/>
    <n v="13099.41520467836"/>
    <m/>
    <s v=""/>
    <m/>
    <s v=""/>
    <m/>
    <s v=""/>
    <m/>
    <s v=""/>
    <m/>
    <s v=""/>
    <s v=""/>
    <s v=""/>
    <m/>
    <m/>
    <s v=""/>
    <m/>
    <s v=""/>
    <m/>
    <s v=""/>
    <m/>
    <s v=""/>
    <m/>
    <s v=""/>
    <s v=""/>
    <s v=""/>
    <m/>
    <m/>
    <s v=""/>
    <m/>
    <s v=""/>
    <m/>
    <s v=""/>
    <m/>
    <s v=""/>
    <m/>
    <s v=""/>
    <s v=""/>
    <s v=""/>
    <m/>
    <n v="256"/>
    <n v="13099.41520467836"/>
    <s v="Quote from supplier"/>
    <s v="As per current contracts"/>
    <n v="0"/>
  </r>
  <r>
    <n v="147"/>
    <m/>
    <s v="Program management"/>
    <s v="Grant management"/>
    <s v="NTC management costs: performance based payment to TB centers staff_x000a_National TB Centers in Bishkek and regions"/>
    <x v="19"/>
    <x v="0"/>
    <n v="1.3"/>
    <s v="TB Centers"/>
    <x v="1"/>
    <s v="Government - Other"/>
    <s v="USD"/>
    <s v="Average payment per FTE (person) per quarter"/>
    <n v="1"/>
    <s v="KGS"/>
    <s v="Local"/>
    <n v="17383.891795789474"/>
    <n v="254.15046485072327"/>
    <n v="285"/>
    <n v="72432.882482456131"/>
    <n v="0"/>
    <n v="285"/>
    <n v="72432.882482456131"/>
    <n v="0"/>
    <m/>
    <s v=""/>
    <m/>
    <s v=""/>
    <n v="570"/>
    <n v="144865.76496491226"/>
    <n v="0"/>
    <m/>
    <s v=""/>
    <m/>
    <s v=""/>
    <m/>
    <s v=""/>
    <m/>
    <s v=""/>
    <m/>
    <s v=""/>
    <s v=""/>
    <s v=""/>
    <m/>
    <m/>
    <s v=""/>
    <m/>
    <s v=""/>
    <m/>
    <s v=""/>
    <m/>
    <s v=""/>
    <m/>
    <s v=""/>
    <s v=""/>
    <s v=""/>
    <m/>
    <m/>
    <s v=""/>
    <m/>
    <s v=""/>
    <m/>
    <s v=""/>
    <m/>
    <s v=""/>
    <m/>
    <s v=""/>
    <s v=""/>
    <s v=""/>
    <m/>
    <n v="570"/>
    <n v="144865.76496491226"/>
    <s v="Historical cost"/>
    <s v="As per approved budget for 2016-2017"/>
    <n v="144865.76496491226"/>
  </r>
  <r>
    <n v="148"/>
    <m/>
    <s v="MDR-TB"/>
    <s v="Case detection and diagnosis: MDR-TB"/>
    <s v="Establishment of routine drug resistance surveillance: transportation of sputum samples  from PHC facilities to laboratories of rayn and oblast levels  in Naryn oblast. Servises of the transportation company .transportation of cultures  from oblast TB centers to the National\regional DST laboratories  in Osh and Bishkek._x000a_"/>
    <x v="23"/>
    <x v="0"/>
    <n v="2.2999999999999998"/>
    <s v="United Nations Development Programme"/>
    <x v="0"/>
    <s v="Multilateral – UNDP"/>
    <s v="USD"/>
    <s v="Average cost of subsistence per person per day"/>
    <n v="2"/>
    <s v="KGS"/>
    <s v="Local"/>
    <n v="38577.810606060601"/>
    <n v="564.00307903597366"/>
    <n v="33"/>
    <n v="18612.101608187131"/>
    <n v="0"/>
    <n v="33"/>
    <n v="18612.101608187131"/>
    <n v="0"/>
    <m/>
    <s v=""/>
    <m/>
    <s v=""/>
    <n v="66"/>
    <n v="37224.203216374262"/>
    <n v="0"/>
    <m/>
    <s v=""/>
    <m/>
    <s v=""/>
    <m/>
    <s v=""/>
    <m/>
    <s v=""/>
    <m/>
    <s v=""/>
    <s v=""/>
    <s v=""/>
    <m/>
    <m/>
    <s v=""/>
    <m/>
    <s v=""/>
    <m/>
    <s v=""/>
    <m/>
    <s v=""/>
    <m/>
    <s v=""/>
    <s v=""/>
    <s v=""/>
    <m/>
    <m/>
    <s v=""/>
    <m/>
    <s v=""/>
    <m/>
    <s v=""/>
    <m/>
    <s v=""/>
    <m/>
    <s v=""/>
    <s v=""/>
    <s v=""/>
    <m/>
    <n v="66"/>
    <n v="37224.203216374262"/>
    <s v="Detailed workings"/>
    <m/>
    <n v="37224.203216374262"/>
  </r>
  <r>
    <n v="149"/>
    <m/>
    <s v="RSSH: Health management information systems and M&amp;E"/>
    <s v="Routine reporting"/>
    <s v="M&amp;E visit of 10 TB SR for Strengthening monitoring of the program and reporting, recording for improved case finding and treatment."/>
    <x v="23"/>
    <x v="0"/>
    <n v="2.2999999999999998"/>
    <s v="TB Centers"/>
    <x v="1"/>
    <s v="Government - Other"/>
    <s v="USD"/>
    <s v="Average cost of subsistence per person per day"/>
    <n v="2"/>
    <s v="KGS"/>
    <s v="Local"/>
    <n v="5130"/>
    <n v="75"/>
    <n v="191"/>
    <n v="14325"/>
    <n v="0"/>
    <n v="191"/>
    <n v="14325"/>
    <n v="0"/>
    <m/>
    <s v=""/>
    <m/>
    <s v=""/>
    <n v="382"/>
    <n v="28650"/>
    <n v="0"/>
    <m/>
    <s v=""/>
    <m/>
    <s v=""/>
    <m/>
    <s v=""/>
    <m/>
    <s v=""/>
    <m/>
    <s v=""/>
    <s v=""/>
    <s v=""/>
    <m/>
    <m/>
    <s v=""/>
    <m/>
    <s v=""/>
    <m/>
    <s v=""/>
    <m/>
    <s v=""/>
    <m/>
    <s v=""/>
    <s v=""/>
    <s v=""/>
    <m/>
    <m/>
    <s v=""/>
    <m/>
    <s v=""/>
    <m/>
    <s v=""/>
    <m/>
    <s v=""/>
    <m/>
    <s v=""/>
    <s v=""/>
    <s v=""/>
    <m/>
    <n v="382"/>
    <n v="28650"/>
    <s v="Detailed workings"/>
    <m/>
    <n v="28650"/>
  </r>
  <r>
    <n v="150"/>
    <m/>
    <s v="Program management"/>
    <s v="Grant management"/>
    <s v="PR managemnet costs: In-country distribution costs: from central warehouse to final destinations (SRs, national partners)"/>
    <x v="32"/>
    <x v="2"/>
    <n v="7.4"/>
    <s v="United Nations Development Programme"/>
    <x v="0"/>
    <s v="Multilateral – UNDP"/>
    <s v="USD"/>
    <s v="N/A"/>
    <n v="7"/>
    <s v="KGS"/>
    <s v="Local"/>
    <n v="241642.8"/>
    <n v="3532.78947368421"/>
    <n v="3"/>
    <n v="10598.36842105263"/>
    <n v="10598.36842105263"/>
    <n v="3"/>
    <n v="10598.36842105263"/>
    <n v="10598.36842105263"/>
    <m/>
    <s v=""/>
    <m/>
    <s v=""/>
    <n v="6"/>
    <n v="21196.73684210526"/>
    <n v="21196.73684210526"/>
    <m/>
    <s v=""/>
    <m/>
    <s v=""/>
    <m/>
    <s v=""/>
    <m/>
    <s v=""/>
    <m/>
    <s v=""/>
    <s v=""/>
    <s v=""/>
    <m/>
    <m/>
    <s v=""/>
    <m/>
    <s v=""/>
    <m/>
    <s v=""/>
    <m/>
    <s v=""/>
    <m/>
    <s v=""/>
    <s v=""/>
    <s v=""/>
    <m/>
    <m/>
    <s v=""/>
    <m/>
    <s v=""/>
    <m/>
    <s v=""/>
    <m/>
    <s v=""/>
    <m/>
    <s v=""/>
    <s v=""/>
    <s v=""/>
    <m/>
    <n v="6"/>
    <n v="21196.73684210526"/>
    <s v="Quote from supplier"/>
    <s v="As per current contracts"/>
    <n v="0"/>
  </r>
  <r>
    <n v="151"/>
    <m/>
    <s v="Program management"/>
    <s v="Grant management"/>
    <s v="PR management costs: rent of warehouse, insurance of storage"/>
    <x v="33"/>
    <x v="2"/>
    <n v="7.3"/>
    <s v="United Nations Development Programme"/>
    <x v="0"/>
    <s v="Multilateral – UNDP"/>
    <s v="USD"/>
    <s v="N/A"/>
    <n v="7"/>
    <s v="KGS"/>
    <s v="Local"/>
    <n v="687420"/>
    <n v="10050"/>
    <n v="1"/>
    <n v="10050"/>
    <n v="10050"/>
    <n v="1"/>
    <n v="10050"/>
    <n v="10050"/>
    <m/>
    <s v=""/>
    <m/>
    <s v=""/>
    <n v="2"/>
    <n v="20100"/>
    <n v="20100"/>
    <m/>
    <s v=""/>
    <m/>
    <s v=""/>
    <m/>
    <s v=""/>
    <m/>
    <s v=""/>
    <m/>
    <s v=""/>
    <s v=""/>
    <s v=""/>
    <m/>
    <m/>
    <s v=""/>
    <m/>
    <s v=""/>
    <m/>
    <s v=""/>
    <m/>
    <s v=""/>
    <m/>
    <s v=""/>
    <s v=""/>
    <s v=""/>
    <m/>
    <m/>
    <s v=""/>
    <m/>
    <s v=""/>
    <m/>
    <s v=""/>
    <m/>
    <s v=""/>
    <m/>
    <s v=""/>
    <s v=""/>
    <s v=""/>
    <m/>
    <n v="2"/>
    <n v="20100"/>
    <s v="Quote from supplier"/>
    <s v="As per current contracts"/>
    <n v="0"/>
  </r>
  <r>
    <n v="152"/>
    <m/>
    <s v="Program management"/>
    <s v="Grant management"/>
    <s v="PR management costs: GMS 7%"/>
    <x v="34"/>
    <x v="2"/>
    <n v="11.3"/>
    <s v="United Nations Development Programme"/>
    <x v="0"/>
    <s v="Multilateral – UNDP"/>
    <s v="USD"/>
    <s v="N/A"/>
    <n v="11"/>
    <s v="USD"/>
    <s v="Grant"/>
    <n v="7.0000000000000007E-2"/>
    <n v="7.0000000000000007E-2"/>
    <n v="7818121.8558877297"/>
    <n v="547268.52991214115"/>
    <n v="148585.04402129143"/>
    <m/>
    <m/>
    <n v="81000.228851993161"/>
    <m/>
    <s v=""/>
    <m/>
    <s v=""/>
    <n v="9340884.824016979"/>
    <n v="653861.93768118857"/>
    <n v="229585.27287328459"/>
    <m/>
    <s v=""/>
    <m/>
    <s v=""/>
    <m/>
    <s v=""/>
    <m/>
    <s v=""/>
    <m/>
    <s v=""/>
    <s v=""/>
    <s v=""/>
    <m/>
    <m/>
    <s v=""/>
    <m/>
    <s v=""/>
    <m/>
    <s v=""/>
    <m/>
    <s v=""/>
    <m/>
    <s v=""/>
    <s v=""/>
    <s v=""/>
    <m/>
    <m/>
    <s v=""/>
    <m/>
    <s v=""/>
    <m/>
    <s v=""/>
    <m/>
    <s v=""/>
    <m/>
    <s v=""/>
    <s v=""/>
    <s v=""/>
    <m/>
    <n v="9340884.824016979"/>
    <n v="653861.93768118857"/>
    <m/>
    <m/>
    <n v="424276.66480790399"/>
  </r>
  <r>
    <m/>
    <m/>
    <m/>
    <m/>
    <m/>
    <x v="35"/>
    <x v="4"/>
    <m/>
    <m/>
    <x v="2"/>
    <m/>
    <m/>
    <m/>
    <m/>
    <m/>
    <m/>
    <m/>
    <m/>
    <m/>
    <n v="8365390.3857998708"/>
    <n v="2271228.5300397398"/>
    <m/>
    <n v="1522762.9681292491"/>
    <n v="1238146.3553090382"/>
    <m/>
    <m/>
    <m/>
    <m/>
    <n v="15663091.207828093"/>
    <n v="9994746.7616981622"/>
    <n v="3509374.8853487778"/>
    <m/>
    <m/>
    <m/>
    <m/>
    <m/>
    <m/>
    <m/>
    <m/>
    <m/>
    <m/>
    <m/>
    <m/>
    <m/>
    <m/>
    <m/>
    <m/>
    <m/>
    <m/>
    <m/>
    <m/>
    <m/>
    <m/>
    <m/>
    <m/>
    <m/>
    <m/>
    <m/>
    <m/>
    <m/>
    <m/>
    <m/>
    <m/>
    <m/>
    <m/>
    <m/>
    <m/>
    <m/>
    <m/>
    <m/>
    <m/>
    <n v="9994746.7616981622"/>
    <m/>
    <m/>
    <n v="6485371.8763493896"/>
  </r>
</pivotCacheRecords>
</file>

<file path=xl/pivotCache/pivotCacheRecords2.xml><?xml version="1.0" encoding="utf-8"?>
<pivotCacheRecords xmlns="http://schemas.openxmlformats.org/spreadsheetml/2006/main" xmlns:r="http://schemas.openxmlformats.org/officeDocument/2006/relationships" count="153">
  <r>
    <n v="1"/>
    <m/>
    <s v="MDR-TB"/>
    <s v="Treatment: MDR-TB"/>
    <s v="Capreomycin; Imipenem/Cilastatin; Kanamycin; Bedaquiline; Amoxicillin/Clavulanic acid; Cycloserine; Levofloxacin; Moxifloxacin; Para-AminoSalicylate Sodium; Prothionamide; Clofazimine; Delamanid; Water for injection; Ethambutol; Isoniazid/Rifampicin; Isoniazid/Pyrazinamide/Rifampicin; Linezolide; "/>
    <x v="0"/>
    <x v="0"/>
    <n v="4.2"/>
    <s v="United Nations Development Programme"/>
    <x v="0"/>
    <s v="Multilateral – UNDP"/>
    <s v="USD"/>
    <s v="Cost of a pack"/>
    <n v="4"/>
    <s v="USD"/>
    <s v="Grant"/>
    <n v="1"/>
    <n v="1"/>
    <n v="2315256.17"/>
    <n v="2315256.17"/>
    <n v="424400.5"/>
    <m/>
    <s v=""/>
    <n v="424400.5"/>
    <m/>
    <s v=""/>
    <m/>
    <s v=""/>
    <n v="2315256.17"/>
    <n v="2315256.17"/>
    <n v="848801"/>
    <m/>
    <s v=""/>
    <m/>
    <s v=""/>
    <m/>
    <s v=""/>
    <m/>
    <s v=""/>
    <m/>
    <s v=""/>
    <s v=""/>
    <s v=""/>
    <m/>
    <m/>
    <s v=""/>
    <m/>
    <s v=""/>
    <m/>
    <s v=""/>
    <m/>
    <s v=""/>
    <m/>
    <s v=""/>
    <s v=""/>
    <s v=""/>
    <m/>
    <m/>
    <s v=""/>
    <m/>
    <s v=""/>
    <m/>
    <s v=""/>
    <m/>
    <s v=""/>
    <m/>
    <s v=""/>
    <s v=""/>
    <s v=""/>
    <m/>
    <n v="2315256.17"/>
    <n v="2315256.17"/>
    <s v="PSM Products &amp; Costs"/>
    <s v="as per detailed LOHP"/>
    <n v="1466455.17"/>
  </r>
  <r>
    <n v="2"/>
    <m/>
    <s v="MDR-TB"/>
    <s v="Case detection and diagnosis: MDR-TB"/>
    <s v="Rapid Diagnostic Test - Tuberculosis; "/>
    <x v="1"/>
    <x v="0"/>
    <n v="5.4"/>
    <s v="United Nations Development Programme"/>
    <x v="0"/>
    <s v="Multilateral – UNDP"/>
    <s v="USD"/>
    <s v="Cost of a pack"/>
    <n v="5"/>
    <s v="USD"/>
    <s v="Grant"/>
    <n v="1"/>
    <n v="1"/>
    <n v="7650"/>
    <n v="7650"/>
    <n v="3825"/>
    <m/>
    <s v=""/>
    <n v="0"/>
    <m/>
    <s v=""/>
    <m/>
    <s v=""/>
    <n v="7650"/>
    <n v="7650"/>
    <n v="3825"/>
    <m/>
    <s v=""/>
    <m/>
    <s v=""/>
    <m/>
    <s v=""/>
    <m/>
    <s v=""/>
    <m/>
    <s v=""/>
    <s v=""/>
    <s v=""/>
    <m/>
    <m/>
    <s v=""/>
    <m/>
    <s v=""/>
    <m/>
    <s v=""/>
    <m/>
    <s v=""/>
    <m/>
    <s v=""/>
    <s v=""/>
    <s v=""/>
    <m/>
    <m/>
    <s v=""/>
    <m/>
    <s v=""/>
    <m/>
    <s v=""/>
    <m/>
    <s v=""/>
    <m/>
    <s v=""/>
    <s v=""/>
    <s v=""/>
    <m/>
    <n v="7650"/>
    <n v="7650"/>
    <s v="PSM Products &amp; Costs"/>
    <s v="as per detailed LOHP"/>
    <n v="3825"/>
  </r>
  <r>
    <n v="3"/>
    <m/>
    <s v="MDR-TB"/>
    <s v="Case detection and diagnosis: MDR-TB"/>
    <s v="Pipette; 4-NITROBENZOIC ACID; AURAMINE O; BAG, WASTE BIOHAZARD; BARIUM CHLORIDE; CAPREOMYCIN sulfate; CHLORINE TABLETS;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
    <x v="2"/>
    <x v="0"/>
    <n v="5.6"/>
    <s v="United Nations Development Programme"/>
    <x v="0"/>
    <s v="Multilateral – UNDP"/>
    <s v="USD"/>
    <s v="N/A"/>
    <n v="5"/>
    <s v="USD"/>
    <s v="Grant"/>
    <n v="1"/>
    <n v="1"/>
    <n v="60993.8"/>
    <n v="60993.8"/>
    <n v="0"/>
    <m/>
    <s v=""/>
    <n v="0"/>
    <m/>
    <s v=""/>
    <m/>
    <s v=""/>
    <n v="60993.8"/>
    <n v="60993.8"/>
    <n v="0"/>
    <m/>
    <s v=""/>
    <m/>
    <s v=""/>
    <m/>
    <s v=""/>
    <m/>
    <s v=""/>
    <m/>
    <s v=""/>
    <s v=""/>
    <s v=""/>
    <m/>
    <m/>
    <s v=""/>
    <m/>
    <s v=""/>
    <m/>
    <s v=""/>
    <m/>
    <s v=""/>
    <m/>
    <s v=""/>
    <s v=""/>
    <s v=""/>
    <m/>
    <m/>
    <s v=""/>
    <m/>
    <s v=""/>
    <m/>
    <s v=""/>
    <m/>
    <s v=""/>
    <m/>
    <s v=""/>
    <s v=""/>
    <s v=""/>
    <m/>
    <n v="60993.8"/>
    <n v="60993.8"/>
    <s v="PSM Products &amp; Costs"/>
    <s v="as per detailed LOHP"/>
    <n v="60993.8"/>
  </r>
  <r>
    <n v="4"/>
    <m/>
    <s v="MDR-TB"/>
    <s v="Treatment: MDR-TB"/>
    <s v="Syringe &amp; needle; "/>
    <x v="3"/>
    <x v="0"/>
    <n v="5.7"/>
    <s v="United Nations Development Programme"/>
    <x v="0"/>
    <s v="Multilateral – UNDP"/>
    <s v="USD"/>
    <s v="Cost of a pack"/>
    <n v="5"/>
    <s v="USD"/>
    <s v="Grant"/>
    <n v="1"/>
    <n v="1"/>
    <n v="51614.64"/>
    <n v="51614.64"/>
    <n v="18997"/>
    <m/>
    <s v=""/>
    <n v="0"/>
    <m/>
    <s v=""/>
    <m/>
    <s v=""/>
    <n v="51614.64"/>
    <n v="51614.64"/>
    <n v="18997"/>
    <m/>
    <s v=""/>
    <m/>
    <s v=""/>
    <m/>
    <s v=""/>
    <m/>
    <s v=""/>
    <m/>
    <s v=""/>
    <s v=""/>
    <s v=""/>
    <m/>
    <m/>
    <s v=""/>
    <m/>
    <s v=""/>
    <m/>
    <s v=""/>
    <m/>
    <s v=""/>
    <m/>
    <s v=""/>
    <s v=""/>
    <s v=""/>
    <m/>
    <m/>
    <s v=""/>
    <m/>
    <s v=""/>
    <m/>
    <s v=""/>
    <m/>
    <s v=""/>
    <m/>
    <s v=""/>
    <s v=""/>
    <s v=""/>
    <m/>
    <n v="51614.64"/>
    <n v="51614.64"/>
    <s v="PSM Products &amp; Costs"/>
    <s v="as per detailed LOHP"/>
    <n v="32617.64"/>
  </r>
  <r>
    <n v="5"/>
    <m/>
    <s v="MDR-TB"/>
    <s v="Case detection and diagnosis: MDR-TB"/>
    <s v="Disposable GOWNS; FILM SEALING (PARAFILM) ; FILTER; GLOVE; GLYCEROL; MICROTUBE; OIL, IMMERSION; RESPIRATOR; PCR tube; PETRI DISH; PHENOL; PIPETTE; TUBE, CENTRIFUGE; WATER, pure molecular ; Applicature stick; Sputum containers; Surgical masks; X-ray films; "/>
    <x v="4"/>
    <x v="0"/>
    <n v="5.8"/>
    <s v="United Nations Development Programme"/>
    <x v="0"/>
    <s v="Multilateral – UNDP"/>
    <s v="USD"/>
    <s v="N/A"/>
    <n v="5"/>
    <s v="USD"/>
    <s v="Grant"/>
    <n v="1"/>
    <n v="1"/>
    <n v="126357"/>
    <n v="126357"/>
    <n v="0"/>
    <m/>
    <s v=""/>
    <n v="0"/>
    <m/>
    <s v=""/>
    <m/>
    <s v=""/>
    <n v="126357"/>
    <n v="126357"/>
    <n v="0"/>
    <m/>
    <s v=""/>
    <m/>
    <s v=""/>
    <m/>
    <s v=""/>
    <m/>
    <s v=""/>
    <m/>
    <s v=""/>
    <s v=""/>
    <s v=""/>
    <m/>
    <m/>
    <s v=""/>
    <m/>
    <s v=""/>
    <m/>
    <s v=""/>
    <m/>
    <s v=""/>
    <m/>
    <s v=""/>
    <s v=""/>
    <s v=""/>
    <m/>
    <m/>
    <s v=""/>
    <m/>
    <s v=""/>
    <m/>
    <s v=""/>
    <m/>
    <s v=""/>
    <m/>
    <s v=""/>
    <s v=""/>
    <s v=""/>
    <m/>
    <n v="126357"/>
    <n v="126357"/>
    <s v="PSM Products &amp; Costs"/>
    <s v="as per detailed LOHP"/>
    <n v="126357"/>
  </r>
  <r>
    <n v="6"/>
    <m/>
    <s v="MDR-TB"/>
    <s v="Treatment: MDR-TB"/>
    <s v="Port system; Huber needles; NaCl 0,9% vial; Intravenous dispenser system; Gloves sterile for Imipenem/Cilastatin; "/>
    <x v="4"/>
    <x v="0"/>
    <n v="5.8"/>
    <s v="United Nations Development Programme"/>
    <x v="0"/>
    <s v="Multilateral – UNDP"/>
    <s v="USD"/>
    <s v="N/A"/>
    <n v="5"/>
    <s v="USD"/>
    <s v="Grant"/>
    <n v="1"/>
    <n v="1"/>
    <n v="73572.42"/>
    <n v="73572.42"/>
    <n v="0"/>
    <m/>
    <s v=""/>
    <n v="0"/>
    <m/>
    <s v=""/>
    <m/>
    <s v=""/>
    <n v="73572.42"/>
    <n v="73572.42"/>
    <n v="0"/>
    <m/>
    <s v=""/>
    <m/>
    <s v=""/>
    <m/>
    <s v=""/>
    <m/>
    <s v=""/>
    <m/>
    <s v=""/>
    <s v=""/>
    <s v=""/>
    <m/>
    <m/>
    <s v=""/>
    <m/>
    <s v=""/>
    <m/>
    <s v=""/>
    <m/>
    <s v=""/>
    <m/>
    <s v=""/>
    <s v=""/>
    <s v=""/>
    <m/>
    <m/>
    <s v=""/>
    <m/>
    <s v=""/>
    <m/>
    <s v=""/>
    <m/>
    <s v=""/>
    <m/>
    <s v=""/>
    <s v=""/>
    <s v=""/>
    <m/>
    <n v="73572.42"/>
    <n v="73572.42"/>
    <s v="PSM Products &amp; Costs"/>
    <s v="as per detailed LOHP"/>
    <n v="73572.42"/>
  </r>
  <r>
    <n v="7"/>
    <m/>
    <s v="MDR-TB"/>
    <s v="Case detection and diagnosis: MDR-TB"/>
    <s v="Microscopes &amp; accessories; "/>
    <x v="5"/>
    <x v="0"/>
    <n v="6.3"/>
    <s v="United Nations Development Programme"/>
    <x v="0"/>
    <s v="Multilateral – UNDP"/>
    <s v="USD"/>
    <s v="Cost of a pack"/>
    <n v="6"/>
    <s v="USD"/>
    <s v="Grant"/>
    <n v="1"/>
    <n v="1"/>
    <n v="2460"/>
    <n v="2460"/>
    <n v="0"/>
    <m/>
    <s v=""/>
    <n v="0"/>
    <m/>
    <s v=""/>
    <m/>
    <s v=""/>
    <n v="2460"/>
    <n v="2460"/>
    <n v="0"/>
    <m/>
    <s v=""/>
    <m/>
    <s v=""/>
    <m/>
    <s v=""/>
    <m/>
    <s v=""/>
    <m/>
    <s v=""/>
    <s v=""/>
    <s v=""/>
    <m/>
    <m/>
    <s v=""/>
    <m/>
    <s v=""/>
    <m/>
    <s v=""/>
    <m/>
    <s v=""/>
    <m/>
    <s v=""/>
    <s v=""/>
    <s v=""/>
    <m/>
    <m/>
    <s v=""/>
    <m/>
    <s v=""/>
    <m/>
    <s v=""/>
    <m/>
    <s v=""/>
    <m/>
    <s v=""/>
    <s v=""/>
    <s v=""/>
    <m/>
    <n v="2460"/>
    <n v="2460"/>
    <s v="PSM Products &amp; Costs"/>
    <s v="as per detailed LOHP"/>
    <n v="2460"/>
  </r>
  <r>
    <n v="8"/>
    <m/>
    <s v="MDR-TB"/>
    <s v="Case detection and diagnosis: MDR-TB"/>
    <s v="GeneXpert Instruments, Accessories  and Xpert Cartridges; HAIN LIFESCIENCE Consumables and others; "/>
    <x v="6"/>
    <x v="0"/>
    <n v="6.4"/>
    <s v="United Nations Development Programme"/>
    <x v="0"/>
    <s v="Multilateral – UNDP"/>
    <s v="USD"/>
    <s v="Cost of a pack"/>
    <n v="6"/>
    <s v="USD"/>
    <s v="Grant"/>
    <n v="1"/>
    <n v="1"/>
    <n v="535998"/>
    <n v="535998"/>
    <n v="267999"/>
    <m/>
    <s v=""/>
    <n v="0"/>
    <m/>
    <s v=""/>
    <m/>
    <s v=""/>
    <n v="535998"/>
    <n v="535998"/>
    <n v="267999"/>
    <m/>
    <s v=""/>
    <m/>
    <s v=""/>
    <m/>
    <s v=""/>
    <m/>
    <s v=""/>
    <m/>
    <s v=""/>
    <s v=""/>
    <s v=""/>
    <m/>
    <m/>
    <s v=""/>
    <m/>
    <s v=""/>
    <m/>
    <s v=""/>
    <m/>
    <s v=""/>
    <m/>
    <s v=""/>
    <s v=""/>
    <s v=""/>
    <m/>
    <m/>
    <s v=""/>
    <m/>
    <s v=""/>
    <m/>
    <s v=""/>
    <m/>
    <s v=""/>
    <m/>
    <s v=""/>
    <s v=""/>
    <s v=""/>
    <m/>
    <n v="535998"/>
    <n v="535998"/>
    <s v="PSM Products &amp; Costs"/>
    <s v="as per detailed LOHP"/>
    <n v="267999"/>
  </r>
  <r>
    <n v="9"/>
    <m/>
    <s v="MDR-TB"/>
    <s v="Case detection and diagnosis: MDR-TB"/>
    <s v="BD BACTEC MGIT 960 Consumable; "/>
    <x v="7"/>
    <x v="0"/>
    <n v="6.6"/>
    <s v="United Nations Development Programme"/>
    <x v="0"/>
    <s v="Multilateral – UNDP"/>
    <s v="USD"/>
    <s v="N/A"/>
    <n v="6"/>
    <s v="USD"/>
    <s v="Grant"/>
    <n v="1"/>
    <n v="1"/>
    <n v="155624.59999999998"/>
    <n v="155624.59999999998"/>
    <n v="86312"/>
    <m/>
    <s v=""/>
    <n v="0"/>
    <m/>
    <s v=""/>
    <m/>
    <s v=""/>
    <n v="155624.59999999998"/>
    <n v="155624.59999999998"/>
    <n v="86312"/>
    <m/>
    <s v=""/>
    <m/>
    <s v=""/>
    <m/>
    <s v=""/>
    <m/>
    <s v=""/>
    <m/>
    <s v=""/>
    <s v=""/>
    <s v=""/>
    <m/>
    <m/>
    <s v=""/>
    <m/>
    <s v=""/>
    <m/>
    <s v=""/>
    <m/>
    <s v=""/>
    <m/>
    <s v=""/>
    <s v=""/>
    <s v=""/>
    <m/>
    <m/>
    <s v=""/>
    <m/>
    <s v=""/>
    <m/>
    <s v=""/>
    <m/>
    <s v=""/>
    <m/>
    <s v=""/>
    <s v=""/>
    <s v=""/>
    <m/>
    <n v="155624.59999999998"/>
    <n v="155624.59999999998"/>
    <s v="PSM Products &amp; Costs"/>
    <s v="as per detailed LOHP"/>
    <n v="69312.599999999977"/>
  </r>
  <r>
    <n v="10"/>
    <m/>
    <s v="MDR-TB"/>
    <s v="Case detection and diagnosis: MDR-TB"/>
    <s v="Procurement fee, Insurance, Freight, Customs, In-country trans-n etc."/>
    <x v="8"/>
    <x v="0"/>
    <n v="7.7"/>
    <s v="United Nations Development Programme"/>
    <x v="0"/>
    <s v="Multilateral – UNDP"/>
    <s v="USD"/>
    <s v="N/A"/>
    <n v="7"/>
    <s v="USD"/>
    <s v="Grant"/>
    <n v="1"/>
    <n v="1"/>
    <n v="177816.68"/>
    <n v="177816.68"/>
    <n v="71627.259999999995"/>
    <m/>
    <s v=""/>
    <n v="0"/>
    <m/>
    <s v=""/>
    <m/>
    <s v=""/>
    <n v="177816.68"/>
    <n v="177816.68"/>
    <n v="71627.259999999995"/>
    <m/>
    <s v=""/>
    <m/>
    <s v=""/>
    <m/>
    <s v=""/>
    <m/>
    <s v=""/>
    <m/>
    <s v=""/>
    <s v=""/>
    <s v=""/>
    <m/>
    <m/>
    <s v=""/>
    <m/>
    <s v=""/>
    <m/>
    <s v=""/>
    <m/>
    <s v=""/>
    <m/>
    <s v=""/>
    <s v=""/>
    <s v=""/>
    <m/>
    <m/>
    <s v=""/>
    <m/>
    <s v=""/>
    <m/>
    <s v=""/>
    <m/>
    <s v=""/>
    <m/>
    <s v=""/>
    <s v=""/>
    <s v=""/>
    <m/>
    <n v="177816.68"/>
    <n v="177816.68"/>
    <s v="PSM Products &amp; Costs"/>
    <s v="as per detailed LOHP"/>
    <n v="106189.42"/>
  </r>
  <r>
    <n v="11"/>
    <m/>
    <s v="MDR-TB"/>
    <s v="Treatment: MDR-TB"/>
    <s v="Procurement fee, Insurance, Freight, Customs, In-country trans-n etc."/>
    <x v="8"/>
    <x v="0"/>
    <n v="7.7"/>
    <s v="United Nations Development Programme"/>
    <x v="0"/>
    <s v="Multilateral – UNDP"/>
    <s v="USD"/>
    <s v="N/A"/>
    <n v="7"/>
    <s v="USD"/>
    <s v="Grant"/>
    <n v="1"/>
    <n v="1"/>
    <n v="366066.48449999996"/>
    <n v="366066.48449999996"/>
    <n v="130169"/>
    <m/>
    <s v=""/>
    <n v="0"/>
    <m/>
    <s v=""/>
    <m/>
    <s v=""/>
    <n v="366066.48449999996"/>
    <n v="366066.48449999996"/>
    <n v="130169"/>
    <m/>
    <s v=""/>
    <m/>
    <s v=""/>
    <m/>
    <s v=""/>
    <m/>
    <s v=""/>
    <m/>
    <s v=""/>
    <s v=""/>
    <s v=""/>
    <m/>
    <m/>
    <s v=""/>
    <m/>
    <s v=""/>
    <m/>
    <s v=""/>
    <m/>
    <s v=""/>
    <m/>
    <s v=""/>
    <s v=""/>
    <s v=""/>
    <m/>
    <m/>
    <s v=""/>
    <m/>
    <s v=""/>
    <m/>
    <s v=""/>
    <m/>
    <s v=""/>
    <m/>
    <s v=""/>
    <s v=""/>
    <s v=""/>
    <m/>
    <n v="366066.48449999996"/>
    <n v="366066.48449999996"/>
    <s v="PSM Products &amp; Costs"/>
    <s v="as per detailed LOHP"/>
    <n v="235897.48449999996"/>
  </r>
  <r>
    <n v="12"/>
    <m/>
    <s v="Comprehensive prevention programs for sex workers and their clients"/>
    <s v="Condoms and lubricant programming for sex workers"/>
    <s v="Male Latex Condom; "/>
    <x v="9"/>
    <x v="1"/>
    <n v="5.2"/>
    <s v="United Nations Development Programme"/>
    <x v="0"/>
    <s v="Multilateral – UNDP"/>
    <s v="USD"/>
    <s v="Cost of a pack"/>
    <n v="5"/>
    <s v="USD"/>
    <s v="Grant"/>
    <n v="1"/>
    <n v="1"/>
    <n v="33596.160000000003"/>
    <n v="33596.160000000003"/>
    <n v="0"/>
    <m/>
    <s v=""/>
    <n v="0"/>
    <m/>
    <s v=""/>
    <m/>
    <s v=""/>
    <n v="33596.160000000003"/>
    <n v="33596.160000000003"/>
    <n v="0"/>
    <m/>
    <s v=""/>
    <m/>
    <s v=""/>
    <m/>
    <s v=""/>
    <m/>
    <s v=""/>
    <m/>
    <s v=""/>
    <s v=""/>
    <s v=""/>
    <m/>
    <m/>
    <s v=""/>
    <m/>
    <s v=""/>
    <m/>
    <s v=""/>
    <m/>
    <s v=""/>
    <m/>
    <s v=""/>
    <s v=""/>
    <s v=""/>
    <m/>
    <m/>
    <s v=""/>
    <m/>
    <s v=""/>
    <m/>
    <s v=""/>
    <m/>
    <s v=""/>
    <m/>
    <s v=""/>
    <s v=""/>
    <s v=""/>
    <m/>
    <n v="33596.160000000003"/>
    <n v="33596.160000000003"/>
    <s v="PSM Products &amp; Costs"/>
    <s v="as per detailed LOHP"/>
    <n v="33596.160000000003"/>
  </r>
  <r>
    <n v="13"/>
    <m/>
    <s v="Comprehensive prevention programs for sex workers and their clients"/>
    <s v="Condoms and lubricant programming for sex workers"/>
    <s v="Female Condom; "/>
    <x v="10"/>
    <x v="1"/>
    <n v="5.3"/>
    <s v="United Nations Development Programme"/>
    <x v="0"/>
    <s v="Multilateral – UNDP"/>
    <s v="USD"/>
    <s v="Cost of a pack"/>
    <n v="5"/>
    <s v="USD"/>
    <s v="Grant"/>
    <n v="1"/>
    <n v="1"/>
    <n v="136973.20000000001"/>
    <n v="136973.20000000001"/>
    <n v="0"/>
    <m/>
    <s v=""/>
    <n v="0"/>
    <m/>
    <s v=""/>
    <m/>
    <s v=""/>
    <n v="136973.20000000001"/>
    <n v="136973.20000000001"/>
    <n v="0"/>
    <m/>
    <s v=""/>
    <m/>
    <s v=""/>
    <m/>
    <s v=""/>
    <m/>
    <s v=""/>
    <m/>
    <s v=""/>
    <s v=""/>
    <s v=""/>
    <m/>
    <m/>
    <s v=""/>
    <m/>
    <s v=""/>
    <m/>
    <s v=""/>
    <m/>
    <s v=""/>
    <m/>
    <s v=""/>
    <s v=""/>
    <s v=""/>
    <m/>
    <m/>
    <s v=""/>
    <m/>
    <s v=""/>
    <m/>
    <s v=""/>
    <m/>
    <s v=""/>
    <m/>
    <s v=""/>
    <s v=""/>
    <s v=""/>
    <m/>
    <n v="136973.20000000001"/>
    <n v="136973.20000000001"/>
    <s v="PSM Products &amp; Costs"/>
    <s v="as per detailed LOHP"/>
    <n v="136973.20000000001"/>
  </r>
  <r>
    <n v="14"/>
    <m/>
    <s v="Comprehensive prevention programs for sex workers and their clients"/>
    <s v="HIV testing services for sex workers"/>
    <s v="Rapid Diagnostic Test - HIV; "/>
    <x v="1"/>
    <x v="1"/>
    <n v="5.4"/>
    <s v="United Nations Development Programme"/>
    <x v="0"/>
    <s v="Multilateral – UNDP"/>
    <s v="USD"/>
    <s v="Cost of a pack"/>
    <n v="5"/>
    <s v="USD"/>
    <s v="Grant"/>
    <n v="1"/>
    <n v="1"/>
    <n v="13417.5"/>
    <n v="13417.5"/>
    <n v="0"/>
    <m/>
    <s v=""/>
    <n v="0"/>
    <m/>
    <s v=""/>
    <m/>
    <s v=""/>
    <n v="13417.5"/>
    <n v="13417.5"/>
    <n v="0"/>
    <m/>
    <s v=""/>
    <m/>
    <s v=""/>
    <m/>
    <s v=""/>
    <m/>
    <s v=""/>
    <m/>
    <s v=""/>
    <s v=""/>
    <s v=""/>
    <m/>
    <m/>
    <s v=""/>
    <m/>
    <s v=""/>
    <m/>
    <s v=""/>
    <m/>
    <s v=""/>
    <m/>
    <s v=""/>
    <s v=""/>
    <s v=""/>
    <m/>
    <m/>
    <s v=""/>
    <m/>
    <s v=""/>
    <m/>
    <s v=""/>
    <m/>
    <s v=""/>
    <m/>
    <s v=""/>
    <s v=""/>
    <s v=""/>
    <m/>
    <n v="13417.5"/>
    <n v="13417.5"/>
    <s v="PSM Products &amp; Costs"/>
    <s v="as per detailed LOHP"/>
    <n v="13417.5"/>
  </r>
  <r>
    <n v="15"/>
    <m/>
    <s v="Comprehensive prevention programs for sex workers and their clients"/>
    <s v="Condoms and lubricant programming for sex workers"/>
    <s v="Procurement fee, Insurance, Freight, Customs, In-country trans-n etc."/>
    <x v="8"/>
    <x v="1"/>
    <n v="7.7"/>
    <s v="United Nations Development Programme"/>
    <x v="0"/>
    <s v="Multilateral – UNDP"/>
    <s v="USD"/>
    <s v="N/A"/>
    <n v="7"/>
    <s v="USD"/>
    <s v="Grant"/>
    <n v="1"/>
    <n v="1"/>
    <n v="92569.680000000008"/>
    <n v="92569.680000000008"/>
    <m/>
    <m/>
    <s v=""/>
    <n v="0"/>
    <m/>
    <s v=""/>
    <m/>
    <s v=""/>
    <n v="92569.680000000008"/>
    <n v="92569.680000000008"/>
    <n v="0"/>
    <m/>
    <s v=""/>
    <m/>
    <s v=""/>
    <m/>
    <s v=""/>
    <m/>
    <s v=""/>
    <m/>
    <s v=""/>
    <s v=""/>
    <s v=""/>
    <m/>
    <m/>
    <s v=""/>
    <m/>
    <s v=""/>
    <m/>
    <s v=""/>
    <m/>
    <s v=""/>
    <m/>
    <s v=""/>
    <s v=""/>
    <s v=""/>
    <m/>
    <m/>
    <s v=""/>
    <m/>
    <s v=""/>
    <m/>
    <s v=""/>
    <m/>
    <s v=""/>
    <m/>
    <s v=""/>
    <s v=""/>
    <s v=""/>
    <m/>
    <n v="92569.680000000008"/>
    <n v="92569.680000000008"/>
    <s v="PSM Products &amp; Costs"/>
    <s v="as per detailed LOHP"/>
    <n v="92569.680000000008"/>
  </r>
  <r>
    <n v="16"/>
    <m/>
    <s v="Comprehensive prevention programs for sex workers and their clients"/>
    <s v="HIV testing services for sex workers"/>
    <s v="Procurement fee, Insurance, Freight, Customs, In-country trans-n etc."/>
    <x v="8"/>
    <x v="1"/>
    <n v="7.7"/>
    <s v="United Nations Development Programme"/>
    <x v="0"/>
    <s v="Multilateral – UNDP"/>
    <s v="USD"/>
    <s v="N/A"/>
    <n v="7"/>
    <s v="USD"/>
    <s v="Grant"/>
    <n v="1"/>
    <n v="1"/>
    <n v="3453.45"/>
    <n v="3453.45"/>
    <m/>
    <m/>
    <s v=""/>
    <n v="0"/>
    <m/>
    <s v=""/>
    <m/>
    <s v=""/>
    <n v="3453.45"/>
    <n v="3453.45"/>
    <n v="0"/>
    <m/>
    <s v=""/>
    <m/>
    <s v=""/>
    <m/>
    <s v=""/>
    <m/>
    <s v=""/>
    <m/>
    <s v=""/>
    <s v=""/>
    <s v=""/>
    <m/>
    <m/>
    <s v=""/>
    <m/>
    <s v=""/>
    <m/>
    <s v=""/>
    <m/>
    <s v=""/>
    <m/>
    <s v=""/>
    <s v=""/>
    <s v=""/>
    <m/>
    <m/>
    <s v=""/>
    <m/>
    <s v=""/>
    <m/>
    <s v=""/>
    <m/>
    <s v=""/>
    <m/>
    <s v=""/>
    <s v=""/>
    <s v=""/>
    <m/>
    <n v="3453.45"/>
    <n v="3453.45"/>
    <s v="PSM Products &amp; Costs"/>
    <s v="as per detailed LOHP"/>
    <n v="3453.45"/>
  </r>
  <r>
    <n v="17"/>
    <m/>
    <s v="Comprehensive prevention programs for sex workers and their clients"/>
    <s v="Condoms and lubricant programming for sex workers"/>
    <s v="Lubricant; "/>
    <x v="4"/>
    <x v="1"/>
    <n v="5.8"/>
    <s v="United Nations Development Programme"/>
    <x v="0"/>
    <s v="Multilateral – UNDP"/>
    <s v="USD"/>
    <s v="N/A"/>
    <n v="5"/>
    <s v="USD"/>
    <s v="Grant"/>
    <n v="1"/>
    <n v="1"/>
    <n v="14570"/>
    <n v="14570"/>
    <n v="0"/>
    <m/>
    <s v=""/>
    <n v="0"/>
    <m/>
    <s v=""/>
    <m/>
    <s v=""/>
    <n v="14570"/>
    <n v="14570"/>
    <n v="0"/>
    <m/>
    <s v=""/>
    <m/>
    <s v=""/>
    <m/>
    <s v=""/>
    <m/>
    <s v=""/>
    <m/>
    <s v=""/>
    <s v=""/>
    <s v=""/>
    <m/>
    <m/>
    <s v=""/>
    <m/>
    <s v=""/>
    <m/>
    <s v=""/>
    <m/>
    <s v=""/>
    <m/>
    <s v=""/>
    <s v=""/>
    <s v=""/>
    <m/>
    <m/>
    <s v=""/>
    <m/>
    <s v=""/>
    <m/>
    <s v=""/>
    <m/>
    <s v=""/>
    <m/>
    <s v=""/>
    <s v=""/>
    <s v=""/>
    <m/>
    <n v="14570"/>
    <n v="14570"/>
    <s v="PSM Products &amp; Costs"/>
    <s v="as per detailed LOHP"/>
    <n v="14570"/>
  </r>
  <r>
    <n v="18"/>
    <m/>
    <s v="Comprehensive prevention programs for sex workers and their clients"/>
    <s v="HIV testing services for sex workers"/>
    <s v="HIV ELISA test, Ag/Ab; Disinfectant napkins; "/>
    <x v="4"/>
    <x v="1"/>
    <n v="5.8"/>
    <s v="United Nations Development Programme"/>
    <x v="0"/>
    <s v="Multilateral – UNDP"/>
    <s v="USD"/>
    <s v="N/A"/>
    <n v="5"/>
    <s v="USD"/>
    <s v="Grant"/>
    <n v="1"/>
    <n v="1"/>
    <n v="2280"/>
    <n v="2280"/>
    <n v="0"/>
    <m/>
    <s v=""/>
    <n v="0"/>
    <m/>
    <s v=""/>
    <m/>
    <s v=""/>
    <n v="2280"/>
    <n v="2280"/>
    <n v="0"/>
    <m/>
    <s v=""/>
    <m/>
    <s v=""/>
    <m/>
    <s v=""/>
    <m/>
    <s v=""/>
    <m/>
    <s v=""/>
    <s v=""/>
    <s v=""/>
    <m/>
    <m/>
    <s v=""/>
    <m/>
    <s v=""/>
    <m/>
    <s v=""/>
    <m/>
    <s v=""/>
    <m/>
    <s v=""/>
    <s v=""/>
    <s v=""/>
    <m/>
    <m/>
    <s v=""/>
    <m/>
    <s v=""/>
    <m/>
    <s v=""/>
    <m/>
    <s v=""/>
    <m/>
    <s v=""/>
    <s v=""/>
    <s v=""/>
    <m/>
    <n v="2280"/>
    <n v="2280"/>
    <s v="PSM Products &amp; Costs"/>
    <s v="as per detailed LOHP"/>
    <n v="2280"/>
  </r>
  <r>
    <n v="19"/>
    <m/>
    <s v="Comprehensive prevention programs for people who inject drugs (PWID) and their partners"/>
    <s v="Condoms and lubricant programming for PWID"/>
    <s v="Male Latex Condom; "/>
    <x v="9"/>
    <x v="1"/>
    <n v="5.2"/>
    <s v="United Nations Development Programme"/>
    <x v="0"/>
    <s v="Multilateral – UNDP"/>
    <s v="USD"/>
    <s v="Cost of a pack"/>
    <n v="5"/>
    <s v="USD"/>
    <s v="Grant"/>
    <n v="1"/>
    <n v="1"/>
    <n v="18308.16"/>
    <n v="18308.16"/>
    <n v="0"/>
    <m/>
    <s v=""/>
    <n v="0"/>
    <m/>
    <s v=""/>
    <m/>
    <s v=""/>
    <n v="18308.16"/>
    <n v="18308.16"/>
    <n v="0"/>
    <m/>
    <s v=""/>
    <m/>
    <s v=""/>
    <m/>
    <s v=""/>
    <m/>
    <s v=""/>
    <m/>
    <s v=""/>
    <s v=""/>
    <s v=""/>
    <m/>
    <m/>
    <s v=""/>
    <m/>
    <s v=""/>
    <m/>
    <s v=""/>
    <m/>
    <s v=""/>
    <m/>
    <s v=""/>
    <s v=""/>
    <s v=""/>
    <m/>
    <m/>
    <s v=""/>
    <m/>
    <s v=""/>
    <m/>
    <s v=""/>
    <m/>
    <s v=""/>
    <m/>
    <s v=""/>
    <s v=""/>
    <s v=""/>
    <m/>
    <n v="18308.16"/>
    <n v="18308.16"/>
    <s v="PSM Products &amp; Costs"/>
    <s v="as per detailed LOHP"/>
    <n v="18308.16"/>
  </r>
  <r>
    <n v="20"/>
    <m/>
    <s v="Comprehensive prevention programs for people who inject drugs (PWID) and their partners"/>
    <s v="HIV testing services for PWID"/>
    <s v="Rapid Diagnostic Test - HIV; "/>
    <x v="1"/>
    <x v="1"/>
    <n v="5.4"/>
    <s v="United Nations Development Programme"/>
    <x v="0"/>
    <s v="Multilateral – UNDP"/>
    <s v="USD"/>
    <s v="Cost of a pack"/>
    <n v="5"/>
    <s v="USD"/>
    <s v="Grant"/>
    <n v="1"/>
    <n v="1"/>
    <n v="43875"/>
    <n v="43875"/>
    <n v="0"/>
    <m/>
    <s v=""/>
    <n v="0"/>
    <m/>
    <s v=""/>
    <m/>
    <s v=""/>
    <n v="43875"/>
    <n v="43875"/>
    <n v="0"/>
    <m/>
    <s v=""/>
    <m/>
    <s v=""/>
    <m/>
    <s v=""/>
    <m/>
    <s v=""/>
    <m/>
    <s v=""/>
    <s v=""/>
    <s v=""/>
    <m/>
    <m/>
    <s v=""/>
    <m/>
    <s v=""/>
    <m/>
    <s v=""/>
    <m/>
    <s v=""/>
    <m/>
    <s v=""/>
    <s v=""/>
    <s v=""/>
    <m/>
    <m/>
    <s v=""/>
    <m/>
    <s v=""/>
    <m/>
    <s v=""/>
    <m/>
    <s v=""/>
    <m/>
    <s v=""/>
    <s v=""/>
    <s v=""/>
    <m/>
    <n v="43875"/>
    <n v="43875"/>
    <s v="PSM Products &amp; Costs"/>
    <s v="as per detailed LOHP"/>
    <n v="43875"/>
  </r>
  <r>
    <n v="21"/>
    <m/>
    <s v="Comprehensive prevention programs for people who inject drugs (PWID) and their partners"/>
    <s v="OST and other drug dependence treatment for PWID"/>
    <s v="*Methadone; "/>
    <x v="11"/>
    <x v="1"/>
    <n v="4.4000000000000004"/>
    <s v="United Nations Development Programme"/>
    <x v="0"/>
    <s v="Multilateral – UNDP"/>
    <s v="USD"/>
    <s v="Cost of a pack"/>
    <n v="4"/>
    <s v="USD"/>
    <s v="Grant"/>
    <n v="1"/>
    <n v="1"/>
    <n v="96000"/>
    <n v="96000"/>
    <n v="86400"/>
    <m/>
    <s v=""/>
    <n v="0"/>
    <m/>
    <s v=""/>
    <m/>
    <s v=""/>
    <n v="96000"/>
    <n v="96000"/>
    <n v="86400"/>
    <m/>
    <s v=""/>
    <m/>
    <s v=""/>
    <m/>
    <s v=""/>
    <m/>
    <s v=""/>
    <m/>
    <s v=""/>
    <s v=""/>
    <s v=""/>
    <m/>
    <m/>
    <s v=""/>
    <m/>
    <s v=""/>
    <m/>
    <s v=""/>
    <m/>
    <s v=""/>
    <m/>
    <s v=""/>
    <s v=""/>
    <s v=""/>
    <m/>
    <m/>
    <s v=""/>
    <m/>
    <s v=""/>
    <m/>
    <s v=""/>
    <m/>
    <s v=""/>
    <m/>
    <s v=""/>
    <s v=""/>
    <s v=""/>
    <m/>
    <n v="96000"/>
    <n v="96000"/>
    <s v="PSM Products &amp; Costs"/>
    <s v="as per detailed LOHP"/>
    <n v="9600"/>
  </r>
  <r>
    <n v="22"/>
    <m/>
    <s v="Comprehensive prevention programs for people who inject drugs (PWID) and their partners"/>
    <s v="Condoms and lubricant programming for PWID"/>
    <s v="Procurement fee, Insurance, Freight, Customs, In-country trans-n etc."/>
    <x v="8"/>
    <x v="1"/>
    <n v="7.7"/>
    <s v="United Nations Development Programme"/>
    <x v="0"/>
    <s v="Multilateral – UNDP"/>
    <s v="USD"/>
    <s v="N/A"/>
    <n v="7"/>
    <s v="USD"/>
    <s v="Grant"/>
    <n v="1"/>
    <n v="1"/>
    <n v="7323.2640000000001"/>
    <n v="7323.2640000000001"/>
    <m/>
    <m/>
    <s v=""/>
    <n v="0"/>
    <m/>
    <s v=""/>
    <m/>
    <s v=""/>
    <n v="7323.2640000000001"/>
    <n v="7323.2640000000001"/>
    <n v="0"/>
    <m/>
    <s v=""/>
    <m/>
    <s v=""/>
    <m/>
    <s v=""/>
    <m/>
    <s v=""/>
    <m/>
    <s v=""/>
    <s v=""/>
    <s v=""/>
    <m/>
    <m/>
    <s v=""/>
    <m/>
    <s v=""/>
    <m/>
    <s v=""/>
    <m/>
    <s v=""/>
    <m/>
    <s v=""/>
    <s v=""/>
    <s v=""/>
    <m/>
    <m/>
    <s v=""/>
    <m/>
    <s v=""/>
    <m/>
    <s v=""/>
    <m/>
    <s v=""/>
    <m/>
    <s v=""/>
    <s v=""/>
    <s v=""/>
    <m/>
    <n v="7323.2640000000001"/>
    <n v="7323.2640000000001"/>
    <s v="PSM Products &amp; Costs"/>
    <s v="as per detailed LOHP"/>
    <n v="7323.2640000000001"/>
  </r>
  <r>
    <n v="23"/>
    <m/>
    <s v="Comprehensive prevention programs for people who inject drugs (PWID) and their partners"/>
    <s v="HIV testing services for PWID"/>
    <s v="Procurement fee, Insurance, Freight, Customs, In-country trans-n etc."/>
    <x v="8"/>
    <x v="1"/>
    <n v="7.7"/>
    <s v="United Nations Development Programme"/>
    <x v="0"/>
    <s v="Multilateral – UNDP"/>
    <s v="USD"/>
    <s v="N/A"/>
    <n v="7"/>
    <s v="USD"/>
    <s v="Grant"/>
    <n v="1"/>
    <n v="1"/>
    <n v="12798.72"/>
    <n v="12798.72"/>
    <m/>
    <m/>
    <s v=""/>
    <n v="0"/>
    <m/>
    <s v=""/>
    <m/>
    <s v=""/>
    <n v="12798.72"/>
    <n v="12798.72"/>
    <n v="0"/>
    <m/>
    <s v=""/>
    <m/>
    <s v=""/>
    <m/>
    <s v=""/>
    <m/>
    <s v=""/>
    <m/>
    <s v=""/>
    <s v=""/>
    <s v=""/>
    <m/>
    <m/>
    <s v=""/>
    <m/>
    <s v=""/>
    <m/>
    <s v=""/>
    <m/>
    <s v=""/>
    <m/>
    <s v=""/>
    <s v=""/>
    <s v=""/>
    <m/>
    <m/>
    <s v=""/>
    <m/>
    <s v=""/>
    <m/>
    <s v=""/>
    <m/>
    <s v=""/>
    <m/>
    <s v=""/>
    <s v=""/>
    <s v=""/>
    <m/>
    <n v="12798.72"/>
    <n v="12798.72"/>
    <s v="PSM Products &amp; Costs"/>
    <s v="as per detailed LOHP"/>
    <n v="12798.72"/>
  </r>
  <r>
    <n v="24"/>
    <m/>
    <s v="Comprehensive prevention programs for people who inject drugs (PWID) and their partners"/>
    <s v="Needle and Syringe programs for PWID and their partners"/>
    <s v="Syringes 1 ml with needles G23 ; Syringes 2 ml with needles G23 ; Syringes 5 ml with needles G23; Syringes 10 ml with needles G23; "/>
    <x v="3"/>
    <x v="1"/>
    <n v="5.7"/>
    <s v="United Nations Development Programme"/>
    <x v="0"/>
    <s v="Multilateral – UNDP"/>
    <s v="USD"/>
    <s v="Cost of a pack"/>
    <n v="5"/>
    <s v="USD"/>
    <s v="Grant"/>
    <n v="1"/>
    <n v="1"/>
    <n v="95883"/>
    <n v="95883"/>
    <n v="0"/>
    <m/>
    <s v=""/>
    <n v="0"/>
    <m/>
    <s v=""/>
    <m/>
    <s v=""/>
    <n v="95883"/>
    <n v="95883"/>
    <n v="0"/>
    <m/>
    <s v=""/>
    <m/>
    <s v=""/>
    <m/>
    <s v=""/>
    <m/>
    <s v=""/>
    <m/>
    <s v=""/>
    <s v=""/>
    <s v=""/>
    <m/>
    <m/>
    <s v=""/>
    <m/>
    <s v=""/>
    <m/>
    <s v=""/>
    <m/>
    <s v=""/>
    <m/>
    <s v=""/>
    <s v=""/>
    <s v=""/>
    <m/>
    <m/>
    <s v=""/>
    <m/>
    <s v=""/>
    <m/>
    <s v=""/>
    <m/>
    <s v=""/>
    <m/>
    <s v=""/>
    <s v=""/>
    <s v=""/>
    <m/>
    <n v="95883"/>
    <n v="95883"/>
    <s v="PSM Products &amp; Costs"/>
    <s v="as per detailed LOHP"/>
    <n v="95883"/>
  </r>
  <r>
    <n v="25"/>
    <m/>
    <s v="Comprehensive prevention programs for people who inject drugs (PWID) and their partners"/>
    <s v="Needle and Syringe programs for PWID and their partners"/>
    <s v="Procurement fee, Insurance, Freight, Customs, In-country trans-n etc."/>
    <x v="8"/>
    <x v="1"/>
    <n v="7.7"/>
    <s v="United Nations Development Programme"/>
    <x v="0"/>
    <s v="Multilateral – UNDP"/>
    <s v="USD"/>
    <s v="N/A"/>
    <n v="7"/>
    <s v="USD"/>
    <s v="Grant"/>
    <n v="1"/>
    <n v="1"/>
    <n v="51713.1"/>
    <n v="51713.1"/>
    <m/>
    <m/>
    <s v=""/>
    <n v="0"/>
    <m/>
    <s v=""/>
    <m/>
    <s v=""/>
    <n v="51713.1"/>
    <n v="51713.1"/>
    <n v="0"/>
    <m/>
    <s v=""/>
    <m/>
    <s v=""/>
    <m/>
    <s v=""/>
    <m/>
    <s v=""/>
    <m/>
    <s v=""/>
    <s v=""/>
    <s v=""/>
    <m/>
    <m/>
    <s v=""/>
    <m/>
    <s v=""/>
    <m/>
    <s v=""/>
    <m/>
    <s v=""/>
    <m/>
    <s v=""/>
    <s v=""/>
    <s v=""/>
    <m/>
    <m/>
    <s v=""/>
    <m/>
    <s v=""/>
    <m/>
    <s v=""/>
    <m/>
    <s v=""/>
    <m/>
    <s v=""/>
    <s v=""/>
    <s v=""/>
    <m/>
    <n v="51713.1"/>
    <n v="51713.1"/>
    <s v="PSM Products &amp; Costs"/>
    <s v="as per detailed LOHP"/>
    <n v="51713.1"/>
  </r>
  <r>
    <n v="26"/>
    <m/>
    <s v="Comprehensive prevention programs for people who inject drugs (PWID) and their partners"/>
    <s v="HIV testing services for PWID"/>
    <s v="HIV ELISA test, Ag/Ab; Disinfectant napkins; "/>
    <x v="4"/>
    <x v="1"/>
    <n v="5.8"/>
    <s v="United Nations Development Programme"/>
    <x v="0"/>
    <s v="Multilateral – UNDP"/>
    <s v="USD"/>
    <s v="N/A"/>
    <n v="5"/>
    <s v="USD"/>
    <s v="Grant"/>
    <n v="1"/>
    <n v="1"/>
    <n v="14301"/>
    <n v="14301"/>
    <n v="0"/>
    <m/>
    <s v=""/>
    <n v="0"/>
    <m/>
    <s v=""/>
    <m/>
    <s v=""/>
    <n v="14301"/>
    <n v="14301"/>
    <n v="0"/>
    <m/>
    <s v=""/>
    <m/>
    <s v=""/>
    <m/>
    <s v=""/>
    <m/>
    <s v=""/>
    <m/>
    <s v=""/>
    <s v=""/>
    <s v=""/>
    <m/>
    <m/>
    <s v=""/>
    <m/>
    <s v=""/>
    <m/>
    <s v=""/>
    <m/>
    <s v=""/>
    <m/>
    <s v=""/>
    <s v=""/>
    <s v=""/>
    <m/>
    <m/>
    <s v=""/>
    <m/>
    <s v=""/>
    <m/>
    <s v=""/>
    <m/>
    <s v=""/>
    <m/>
    <s v=""/>
    <s v=""/>
    <s v=""/>
    <m/>
    <n v="14301"/>
    <n v="14301"/>
    <s v="PSM Products &amp; Costs"/>
    <s v="as per detailed LOHP"/>
    <n v="14301"/>
  </r>
  <r>
    <n v="27"/>
    <m/>
    <s v="Comprehensive prevention programs for people who inject drugs (PWID) and their partners"/>
    <s v="OST and other drug dependence treatment for PWID"/>
    <s v="Procurement fee, Insurance, Freight, Customs, In-country trans-n etc."/>
    <x v="8"/>
    <x v="1"/>
    <n v="7.7"/>
    <s v="United Nations Development Programme"/>
    <x v="0"/>
    <s v="Multilateral – UNDP"/>
    <s v="USD"/>
    <s v="N/A"/>
    <n v="7"/>
    <s v="USD"/>
    <s v="Grant"/>
    <n v="1"/>
    <n v="1"/>
    <n v="34153.737200000003"/>
    <n v="34153.737200000003"/>
    <n v="19008"/>
    <m/>
    <s v=""/>
    <n v="0"/>
    <m/>
    <s v=""/>
    <m/>
    <s v=""/>
    <n v="34153.737200000003"/>
    <n v="34153.737200000003"/>
    <n v="19008"/>
    <m/>
    <s v=""/>
    <m/>
    <s v=""/>
    <m/>
    <s v=""/>
    <m/>
    <s v=""/>
    <m/>
    <s v=""/>
    <s v=""/>
    <s v=""/>
    <m/>
    <m/>
    <s v=""/>
    <m/>
    <s v=""/>
    <m/>
    <s v=""/>
    <m/>
    <s v=""/>
    <m/>
    <s v=""/>
    <s v=""/>
    <s v=""/>
    <m/>
    <m/>
    <s v=""/>
    <m/>
    <s v=""/>
    <m/>
    <s v=""/>
    <m/>
    <s v=""/>
    <m/>
    <s v=""/>
    <s v=""/>
    <s v=""/>
    <m/>
    <n v="34153.737200000003"/>
    <n v="34153.737200000003"/>
    <s v="PSM Products &amp; Costs"/>
    <s v="as per detailed LOHP"/>
    <n v="15145.737200000003"/>
  </r>
  <r>
    <n v="28"/>
    <m/>
    <s v="Comprehensive prevention programs for people who inject drugs (PWID) and their partners"/>
    <s v="Needle and Syringe programs for PWID and their partners"/>
    <s v="Antiseptic napkins/alcohol tissue; "/>
    <x v="4"/>
    <x v="1"/>
    <n v="5.8"/>
    <s v="United Nations Development Programme"/>
    <x v="0"/>
    <s v="Multilateral – UNDP"/>
    <s v="USD"/>
    <s v="N/A"/>
    <n v="5"/>
    <s v="USD"/>
    <s v="Grant"/>
    <n v="1"/>
    <n v="1"/>
    <n v="19035"/>
    <n v="19035"/>
    <n v="0"/>
    <m/>
    <s v=""/>
    <n v="0"/>
    <m/>
    <s v=""/>
    <m/>
    <s v=""/>
    <n v="19035"/>
    <n v="19035"/>
    <n v="0"/>
    <m/>
    <s v=""/>
    <m/>
    <s v=""/>
    <m/>
    <s v=""/>
    <m/>
    <s v=""/>
    <m/>
    <s v=""/>
    <s v=""/>
    <s v=""/>
    <m/>
    <m/>
    <s v=""/>
    <m/>
    <s v=""/>
    <m/>
    <s v=""/>
    <m/>
    <s v=""/>
    <m/>
    <s v=""/>
    <s v=""/>
    <s v=""/>
    <m/>
    <m/>
    <s v=""/>
    <m/>
    <s v=""/>
    <m/>
    <s v=""/>
    <m/>
    <s v=""/>
    <m/>
    <s v=""/>
    <s v=""/>
    <s v=""/>
    <m/>
    <n v="19035"/>
    <n v="19035"/>
    <s v="PSM Products &amp; Costs"/>
    <s v="as per detailed LOHP"/>
    <n v="19035"/>
  </r>
  <r>
    <n v="29"/>
    <m/>
    <s v="Comprehensive prevention programs for people who inject drugs (PWID) and their partners"/>
    <s v="OST and other drug dependence treatment for PWID"/>
    <s v="Plastic/paper cups for methadone; Drug Rapid Urine_x000a_Test (benzodiazepine); Drug Rapid UrineTest_x000a_(MOP); Gloves; Bags, autoclavable; Conteiner for used syringes; "/>
    <x v="4"/>
    <x v="1"/>
    <n v="5.8"/>
    <s v="United Nations Development Programme"/>
    <x v="0"/>
    <s v="Multilateral – UNDP"/>
    <s v="USD"/>
    <s v="N/A"/>
    <n v="5"/>
    <s v="USD"/>
    <s v="Grant"/>
    <n v="1"/>
    <n v="1"/>
    <n v="59244.259999999995"/>
    <n v="59244.259999999995"/>
    <n v="0"/>
    <m/>
    <s v=""/>
    <n v="0"/>
    <m/>
    <s v=""/>
    <m/>
    <s v=""/>
    <n v="59244.259999999995"/>
    <n v="59244.259999999995"/>
    <n v="0"/>
    <m/>
    <s v=""/>
    <m/>
    <s v=""/>
    <m/>
    <s v=""/>
    <m/>
    <s v=""/>
    <m/>
    <s v=""/>
    <s v=""/>
    <s v=""/>
    <m/>
    <m/>
    <s v=""/>
    <m/>
    <s v=""/>
    <m/>
    <s v=""/>
    <m/>
    <s v=""/>
    <m/>
    <s v=""/>
    <s v=""/>
    <s v=""/>
    <m/>
    <m/>
    <s v=""/>
    <m/>
    <s v=""/>
    <m/>
    <s v=""/>
    <m/>
    <s v=""/>
    <m/>
    <s v=""/>
    <s v=""/>
    <s v=""/>
    <m/>
    <n v="59244.259999999995"/>
    <n v="59244.259999999995"/>
    <s v="PSM Products &amp; Costs"/>
    <s v="as per detailed LOHP"/>
    <n v="59244.259999999995"/>
  </r>
  <r>
    <n v="30"/>
    <m/>
    <s v="Comprehensive prevention programs for people who inject drugs (PWID) and their partners"/>
    <s v="Overdose prevention and management"/>
    <s v="Naloxone; "/>
    <x v="12"/>
    <x v="1"/>
    <n v="4.7"/>
    <s v="United Nations Development Programme"/>
    <x v="0"/>
    <s v="Multilateral – UNDP"/>
    <s v="USD"/>
    <s v="N/A"/>
    <n v="4"/>
    <s v="USD"/>
    <s v="Grant"/>
    <n v="1"/>
    <n v="1"/>
    <n v="8775"/>
    <n v="8775"/>
    <n v="0"/>
    <m/>
    <s v=""/>
    <n v="0"/>
    <m/>
    <s v=""/>
    <m/>
    <s v=""/>
    <n v="8775"/>
    <n v="8775"/>
    <n v="0"/>
    <m/>
    <s v=""/>
    <m/>
    <s v=""/>
    <m/>
    <s v=""/>
    <m/>
    <s v=""/>
    <m/>
    <s v=""/>
    <s v=""/>
    <s v=""/>
    <m/>
    <m/>
    <s v=""/>
    <m/>
    <s v=""/>
    <m/>
    <s v=""/>
    <m/>
    <s v=""/>
    <m/>
    <s v=""/>
    <s v=""/>
    <s v=""/>
    <m/>
    <m/>
    <s v=""/>
    <m/>
    <s v=""/>
    <m/>
    <s v=""/>
    <m/>
    <s v=""/>
    <m/>
    <s v=""/>
    <s v=""/>
    <s v=""/>
    <m/>
    <n v="8775"/>
    <n v="8775"/>
    <s v="PSM Products &amp; Costs"/>
    <s v="as per detailed LOHP"/>
    <n v="8775"/>
  </r>
  <r>
    <n v="31"/>
    <m/>
    <s v="Comprehensive prevention programs for people who inject drugs (PWID) and their partners"/>
    <s v="Overdose prevention and management"/>
    <s v="Procurement fee, Insurance, Freight, Customs, In-country trans-n etc."/>
    <x v="8"/>
    <x v="1"/>
    <n v="7.7"/>
    <s v="United Nations Development Programme"/>
    <x v="0"/>
    <s v="Multilateral – UNDP"/>
    <s v="USD"/>
    <s v="N/A"/>
    <n v="7"/>
    <s v="USD"/>
    <s v="Grant"/>
    <n v="1"/>
    <n v="1"/>
    <n v="1755"/>
    <n v="1755"/>
    <m/>
    <m/>
    <s v=""/>
    <n v="0"/>
    <m/>
    <s v=""/>
    <m/>
    <s v=""/>
    <n v="1755"/>
    <n v="1755"/>
    <n v="0"/>
    <m/>
    <s v=""/>
    <m/>
    <s v=""/>
    <m/>
    <s v=""/>
    <m/>
    <s v=""/>
    <m/>
    <s v=""/>
    <s v=""/>
    <s v=""/>
    <m/>
    <m/>
    <s v=""/>
    <m/>
    <s v=""/>
    <m/>
    <s v=""/>
    <m/>
    <s v=""/>
    <m/>
    <s v=""/>
    <s v=""/>
    <s v=""/>
    <m/>
    <m/>
    <s v=""/>
    <m/>
    <s v=""/>
    <m/>
    <s v=""/>
    <m/>
    <s v=""/>
    <m/>
    <s v=""/>
    <s v=""/>
    <s v=""/>
    <m/>
    <n v="1755"/>
    <n v="1755"/>
    <s v="PSM Products &amp; Costs"/>
    <s v="as per detailed LOHP"/>
    <n v="1755"/>
  </r>
  <r>
    <n v="32"/>
    <m/>
    <s v="Prevention programs for other vulnerable populations"/>
    <s v="HIV testing services for other vulnerable populations"/>
    <s v="HIV ELISA test, Ag/Ab; "/>
    <x v="4"/>
    <x v="1"/>
    <n v="5.8"/>
    <s v="United Nations Development Programme"/>
    <x v="0"/>
    <s v="Multilateral – UNDP"/>
    <s v="USD"/>
    <s v="N/A"/>
    <n v="5"/>
    <s v="USD"/>
    <s v="Grant"/>
    <n v="1"/>
    <n v="1"/>
    <n v="2255"/>
    <n v="2255"/>
    <n v="0"/>
    <m/>
    <s v=""/>
    <n v="0"/>
    <m/>
    <s v=""/>
    <m/>
    <s v=""/>
    <n v="2255"/>
    <n v="2255"/>
    <n v="0"/>
    <m/>
    <s v=""/>
    <m/>
    <s v=""/>
    <m/>
    <s v=""/>
    <m/>
    <s v=""/>
    <m/>
    <s v=""/>
    <s v=""/>
    <s v=""/>
    <m/>
    <m/>
    <s v=""/>
    <m/>
    <s v=""/>
    <m/>
    <s v=""/>
    <m/>
    <s v=""/>
    <m/>
    <s v=""/>
    <s v=""/>
    <s v=""/>
    <m/>
    <m/>
    <s v=""/>
    <m/>
    <s v=""/>
    <m/>
    <s v=""/>
    <m/>
    <s v=""/>
    <m/>
    <s v=""/>
    <s v=""/>
    <s v=""/>
    <m/>
    <n v="2255"/>
    <n v="2255"/>
    <s v="PSM Products &amp; Costs"/>
    <s v="as per detailed LOHP"/>
    <n v="2255"/>
  </r>
  <r>
    <n v="33"/>
    <m/>
    <s v="PMTCT"/>
    <s v="Prong 4: Treatment, care and support to mothers living with HIV, their children and families"/>
    <s v="Nevirapine; Zidovudine; "/>
    <x v="13"/>
    <x v="1"/>
    <n v="4.0999999999999996"/>
    <s v="United Nations Development Programme"/>
    <x v="0"/>
    <s v="Multilateral – UNDP"/>
    <s v="USD"/>
    <s v="Cost of a pack"/>
    <n v="4"/>
    <s v="USD"/>
    <s v="Grant"/>
    <n v="1"/>
    <n v="1"/>
    <n v="702"/>
    <n v="702"/>
    <n v="660"/>
    <m/>
    <s v=""/>
    <n v="0"/>
    <m/>
    <s v=""/>
    <m/>
    <s v=""/>
    <n v="702"/>
    <n v="702"/>
    <n v="660"/>
    <m/>
    <s v=""/>
    <m/>
    <s v=""/>
    <m/>
    <s v=""/>
    <m/>
    <s v=""/>
    <m/>
    <s v=""/>
    <s v=""/>
    <s v=""/>
    <m/>
    <m/>
    <s v=""/>
    <m/>
    <s v=""/>
    <m/>
    <s v=""/>
    <m/>
    <s v=""/>
    <m/>
    <s v=""/>
    <s v=""/>
    <s v=""/>
    <m/>
    <m/>
    <s v=""/>
    <m/>
    <s v=""/>
    <m/>
    <s v=""/>
    <m/>
    <s v=""/>
    <m/>
    <s v=""/>
    <s v=""/>
    <s v=""/>
    <m/>
    <n v="702"/>
    <n v="702"/>
    <s v="PSM Products &amp; Costs"/>
    <s v="as per detailed LOHP"/>
    <n v="42"/>
  </r>
  <r>
    <n v="34"/>
    <m/>
    <s v="PMTCT"/>
    <s v="Prong 3: Preventing vertical HIV transmission"/>
    <s v="HIV Early Infant Diagnosis  kits; "/>
    <x v="14"/>
    <x v="1"/>
    <n v="6.2"/>
    <s v="United Nations Development Programme"/>
    <x v="0"/>
    <s v="Multilateral – UNDP"/>
    <s v="USD"/>
    <s v="Cost of a pack"/>
    <n v="6"/>
    <s v="USD"/>
    <s v="Grant"/>
    <n v="1"/>
    <n v="1"/>
    <n v="7200"/>
    <n v="7200"/>
    <n v="1800"/>
    <m/>
    <s v=""/>
    <n v="0"/>
    <m/>
    <s v=""/>
    <m/>
    <s v=""/>
    <n v="7200"/>
    <n v="7200"/>
    <n v="1800"/>
    <m/>
    <s v=""/>
    <m/>
    <s v=""/>
    <m/>
    <s v=""/>
    <m/>
    <s v=""/>
    <m/>
    <s v=""/>
    <s v=""/>
    <s v=""/>
    <m/>
    <m/>
    <s v=""/>
    <m/>
    <s v=""/>
    <m/>
    <s v=""/>
    <m/>
    <s v=""/>
    <m/>
    <s v=""/>
    <s v=""/>
    <s v=""/>
    <m/>
    <m/>
    <s v=""/>
    <m/>
    <s v=""/>
    <m/>
    <s v=""/>
    <m/>
    <s v=""/>
    <m/>
    <s v=""/>
    <s v=""/>
    <s v=""/>
    <m/>
    <n v="7200"/>
    <n v="7200"/>
    <s v="PSM Products &amp; Costs"/>
    <s v="as per detailed LOHP"/>
    <n v="5400"/>
  </r>
  <r>
    <n v="35"/>
    <m/>
    <s v="PMTCT"/>
    <s v="Prong 3: Preventing vertical HIV transmission"/>
    <s v="Rapid Diagnostic Test - HIV; "/>
    <x v="1"/>
    <x v="1"/>
    <n v="5.4"/>
    <s v="United Nations Development Programme"/>
    <x v="0"/>
    <s v="Multilateral – UNDP"/>
    <s v="USD"/>
    <s v="Cost of a pack"/>
    <n v="5"/>
    <s v="USD"/>
    <s v="Grant"/>
    <n v="1"/>
    <n v="1"/>
    <n v="5906.25"/>
    <n v="5906.25"/>
    <n v="0"/>
    <m/>
    <s v=""/>
    <n v="0"/>
    <m/>
    <s v=""/>
    <m/>
    <s v=""/>
    <n v="5906.25"/>
    <n v="5906.25"/>
    <n v="0"/>
    <m/>
    <s v=""/>
    <m/>
    <s v=""/>
    <m/>
    <s v=""/>
    <m/>
    <s v=""/>
    <m/>
    <s v=""/>
    <s v=""/>
    <s v=""/>
    <m/>
    <m/>
    <s v=""/>
    <m/>
    <s v=""/>
    <m/>
    <s v=""/>
    <m/>
    <s v=""/>
    <m/>
    <s v=""/>
    <s v=""/>
    <s v=""/>
    <m/>
    <m/>
    <s v=""/>
    <m/>
    <s v=""/>
    <m/>
    <s v=""/>
    <m/>
    <s v=""/>
    <m/>
    <s v=""/>
    <s v=""/>
    <s v=""/>
    <m/>
    <n v="5906.25"/>
    <n v="5906.25"/>
    <s v="PSM Products &amp; Costs"/>
    <s v="as per detailed LOHP"/>
    <n v="5906.25"/>
  </r>
  <r>
    <n v="36"/>
    <m/>
    <s v="PMTCT"/>
    <s v="Prong 3: Preventing vertical HIV transmission"/>
    <s v="Procurement fee, Insurance, Freight, Customs, In-country trans-n etc."/>
    <x v="8"/>
    <x v="1"/>
    <n v="7.7"/>
    <s v="United Nations Development Programme"/>
    <x v="0"/>
    <s v="Multilateral – UNDP"/>
    <s v="USD"/>
    <s v="N/A"/>
    <n v="7"/>
    <s v="USD"/>
    <s v="Grant"/>
    <n v="1"/>
    <n v="1"/>
    <n v="5867.083333333333"/>
    <n v="5867.083333333333"/>
    <m/>
    <m/>
    <s v=""/>
    <n v="0"/>
    <m/>
    <s v=""/>
    <m/>
    <s v=""/>
    <n v="5867.083333333333"/>
    <n v="5867.083333333333"/>
    <n v="0"/>
    <m/>
    <s v=""/>
    <m/>
    <s v=""/>
    <m/>
    <s v=""/>
    <m/>
    <s v=""/>
    <m/>
    <s v=""/>
    <s v=""/>
    <s v=""/>
    <m/>
    <m/>
    <s v=""/>
    <m/>
    <s v=""/>
    <m/>
    <s v=""/>
    <m/>
    <s v=""/>
    <m/>
    <s v=""/>
    <s v=""/>
    <s v=""/>
    <m/>
    <m/>
    <s v=""/>
    <m/>
    <s v=""/>
    <m/>
    <s v=""/>
    <m/>
    <s v=""/>
    <m/>
    <s v=""/>
    <s v=""/>
    <s v=""/>
    <m/>
    <n v="5867.083333333333"/>
    <n v="5867.083333333333"/>
    <s v="PSM Products &amp; Costs"/>
    <s v="as per detailed LOHP"/>
    <n v="5867.083333333333"/>
  </r>
  <r>
    <n v="37"/>
    <m/>
    <s v="PMTCT"/>
    <s v="Prong 4: Treatment, care and support to mothers living with HIV, their children and families"/>
    <s v="Procurement fee, Insurance, Freight, Customs, In-country trans-n etc."/>
    <x v="8"/>
    <x v="1"/>
    <n v="7.7"/>
    <s v="United Nations Development Programme"/>
    <x v="0"/>
    <s v="Multilateral – UNDP"/>
    <s v="USD"/>
    <s v="N/A"/>
    <n v="7"/>
    <s v="USD"/>
    <s v="Grant"/>
    <n v="1"/>
    <n v="1"/>
    <n v="154.44"/>
    <n v="154.44"/>
    <n v="145.19999999999999"/>
    <m/>
    <s v=""/>
    <n v="0"/>
    <m/>
    <s v=""/>
    <m/>
    <s v=""/>
    <n v="154.44"/>
    <n v="154.44"/>
    <n v="145.19999999999999"/>
    <m/>
    <s v=""/>
    <m/>
    <s v=""/>
    <m/>
    <s v=""/>
    <m/>
    <s v=""/>
    <m/>
    <s v=""/>
    <s v=""/>
    <s v=""/>
    <m/>
    <m/>
    <s v=""/>
    <m/>
    <s v=""/>
    <m/>
    <s v=""/>
    <m/>
    <s v=""/>
    <m/>
    <s v=""/>
    <s v=""/>
    <s v=""/>
    <m/>
    <m/>
    <s v=""/>
    <m/>
    <s v=""/>
    <m/>
    <s v=""/>
    <m/>
    <s v=""/>
    <m/>
    <s v=""/>
    <s v=""/>
    <s v=""/>
    <m/>
    <n v="154.44"/>
    <n v="154.44"/>
    <s v="PSM Products &amp; Costs"/>
    <s v="as per detailed LOHP"/>
    <n v="9.2400000000000091"/>
  </r>
  <r>
    <n v="38"/>
    <m/>
    <s v="PMTCT"/>
    <s v="Prong 3: Preventing vertical HIV transmission"/>
    <s v="HIV ELISA test, Ag/Ab; "/>
    <x v="4"/>
    <x v="1"/>
    <n v="5.8"/>
    <s v="United Nations Development Programme"/>
    <x v="0"/>
    <s v="Multilateral – UNDP"/>
    <s v="USD"/>
    <s v="N/A"/>
    <n v="5"/>
    <s v="USD"/>
    <s v="Grant"/>
    <n v="1"/>
    <n v="1"/>
    <n v="16229.166666666666"/>
    <n v="16229.166666666666"/>
    <n v="0"/>
    <m/>
    <s v=""/>
    <n v="0"/>
    <m/>
    <s v=""/>
    <m/>
    <s v=""/>
    <n v="16229.166666666666"/>
    <n v="16229.166666666666"/>
    <n v="0"/>
    <m/>
    <s v=""/>
    <m/>
    <s v=""/>
    <m/>
    <s v=""/>
    <m/>
    <s v=""/>
    <m/>
    <s v=""/>
    <s v=""/>
    <s v=""/>
    <m/>
    <m/>
    <s v=""/>
    <m/>
    <s v=""/>
    <m/>
    <s v=""/>
    <m/>
    <s v=""/>
    <m/>
    <s v=""/>
    <s v=""/>
    <s v=""/>
    <m/>
    <m/>
    <s v=""/>
    <m/>
    <s v=""/>
    <m/>
    <s v=""/>
    <m/>
    <s v=""/>
    <m/>
    <s v=""/>
    <s v=""/>
    <s v=""/>
    <m/>
    <n v="16229.166666666666"/>
    <n v="16229.166666666666"/>
    <s v="PSM Products &amp; Costs"/>
    <s v="as per detailed LOHP"/>
    <n v="16229.166666666666"/>
  </r>
  <r>
    <n v="39"/>
    <m/>
    <s v="Treatment, care and support"/>
    <s v="Differentiated ART service delivery"/>
    <s v="Tenofovir disoproxil; Efavirenz/Emtricitabine/Tenofovir; Abacavir/Lamivudine; Nevirapine; Lopinavir/Ritonavir; Lamivudine/Zidovudine; Dolutegravir; Darunavir; Ritonavir; "/>
    <x v="13"/>
    <x v="1"/>
    <n v="4.0999999999999996"/>
    <s v="United Nations Development Programme"/>
    <x v="0"/>
    <s v="Multilateral – UNDP"/>
    <s v="USD"/>
    <s v="Cost of a pack"/>
    <n v="4"/>
    <s v="USD"/>
    <s v="Grant"/>
    <n v="1"/>
    <n v="1"/>
    <n v="776946.24"/>
    <n v="776946.24"/>
    <n v="123612.22"/>
    <m/>
    <s v=""/>
    <n v="0"/>
    <m/>
    <s v=""/>
    <m/>
    <s v=""/>
    <n v="776946.24"/>
    <n v="776946.24"/>
    <n v="123612.22"/>
    <m/>
    <s v=""/>
    <m/>
    <s v=""/>
    <m/>
    <s v=""/>
    <m/>
    <s v=""/>
    <m/>
    <s v=""/>
    <s v=""/>
    <s v=""/>
    <m/>
    <m/>
    <s v=""/>
    <m/>
    <s v=""/>
    <m/>
    <s v=""/>
    <m/>
    <s v=""/>
    <m/>
    <s v=""/>
    <s v=""/>
    <s v=""/>
    <m/>
    <m/>
    <s v=""/>
    <m/>
    <s v=""/>
    <m/>
    <s v=""/>
    <m/>
    <s v=""/>
    <m/>
    <s v=""/>
    <s v=""/>
    <s v=""/>
    <m/>
    <n v="776946.24"/>
    <n v="776946.24"/>
    <s v="PSM Products &amp; Costs"/>
    <s v="as per detailed LOHP"/>
    <n v="653334.02"/>
  </r>
  <r>
    <n v="40"/>
    <m/>
    <s v="Treatment, care and support"/>
    <s v="Differentiated ART service delivery"/>
    <s v="Procurement fee, Insurance, Freight, Customs, In-country trans-n etc."/>
    <x v="8"/>
    <x v="1"/>
    <n v="7.7"/>
    <s v="United Nations Development Programme"/>
    <x v="0"/>
    <s v="Multilateral – UNDP"/>
    <s v="USD"/>
    <s v="N/A"/>
    <n v="7"/>
    <s v="USD"/>
    <s v="Grant"/>
    <n v="1"/>
    <n v="1"/>
    <n v="116541.936"/>
    <n v="116541.936"/>
    <n v="15480.18"/>
    <m/>
    <s v=""/>
    <n v="0"/>
    <m/>
    <s v=""/>
    <m/>
    <s v=""/>
    <n v="116541.936"/>
    <n v="116541.936"/>
    <n v="15480.18"/>
    <m/>
    <s v=""/>
    <m/>
    <s v=""/>
    <m/>
    <s v=""/>
    <m/>
    <s v=""/>
    <m/>
    <s v=""/>
    <s v=""/>
    <s v=""/>
    <m/>
    <m/>
    <s v=""/>
    <m/>
    <s v=""/>
    <m/>
    <s v=""/>
    <m/>
    <s v=""/>
    <m/>
    <s v=""/>
    <s v=""/>
    <s v=""/>
    <m/>
    <m/>
    <s v=""/>
    <m/>
    <s v=""/>
    <m/>
    <s v=""/>
    <m/>
    <s v=""/>
    <m/>
    <s v=""/>
    <s v=""/>
    <s v=""/>
    <m/>
    <n v="116541.936"/>
    <n v="116541.936"/>
    <s v="PSM Products &amp; Costs"/>
    <s v="as per detailed LOHP"/>
    <n v="101061.75599999999"/>
  </r>
  <r>
    <n v="41"/>
    <m/>
    <s v="Treatment, care and support"/>
    <s v="Treatment monitoring - Viral load"/>
    <s v="Analyzer consumables/reagents; "/>
    <x v="15"/>
    <x v="1"/>
    <n v="6.1"/>
    <s v="United Nations Development Programme"/>
    <x v="0"/>
    <s v="Multilateral – UNDP"/>
    <s v="USD"/>
    <s v="Cost of a pack"/>
    <n v="6"/>
    <s v="USD"/>
    <s v="Grant"/>
    <n v="1"/>
    <n v="1"/>
    <n v="374211.04000000004"/>
    <n v="374211.04000000004"/>
    <n v="59120"/>
    <m/>
    <s v=""/>
    <n v="0"/>
    <m/>
    <s v=""/>
    <m/>
    <s v=""/>
    <n v="374211.04000000004"/>
    <n v="374211.04000000004"/>
    <n v="59120"/>
    <m/>
    <s v=""/>
    <m/>
    <s v=""/>
    <m/>
    <s v=""/>
    <m/>
    <s v=""/>
    <m/>
    <s v=""/>
    <s v=""/>
    <s v=""/>
    <m/>
    <m/>
    <s v=""/>
    <m/>
    <s v=""/>
    <m/>
    <s v=""/>
    <m/>
    <s v=""/>
    <m/>
    <s v=""/>
    <s v=""/>
    <s v=""/>
    <m/>
    <m/>
    <s v=""/>
    <m/>
    <s v=""/>
    <m/>
    <s v=""/>
    <m/>
    <s v=""/>
    <m/>
    <s v=""/>
    <s v=""/>
    <s v=""/>
    <m/>
    <n v="374211.04000000004"/>
    <n v="374211.04000000004"/>
    <s v="PSM Products &amp; Costs"/>
    <s v="as per detailed LOHP"/>
    <n v="315091.04000000004"/>
  </r>
  <r>
    <n v="42"/>
    <m/>
    <s v="Treatment, care and support"/>
    <s v="Treatment monitoring - Viral load"/>
    <s v="HIV Viral Load test  kits; "/>
    <x v="14"/>
    <x v="1"/>
    <n v="6.2"/>
    <s v="United Nations Development Programme"/>
    <x v="0"/>
    <s v="Multilateral – UNDP"/>
    <s v="USD"/>
    <s v="Cost of a pack"/>
    <n v="6"/>
    <s v="USD"/>
    <s v="Grant"/>
    <n v="1"/>
    <n v="1"/>
    <n v="163880"/>
    <n v="163880"/>
    <n v="57460"/>
    <m/>
    <s v=""/>
    <n v="0"/>
    <m/>
    <s v=""/>
    <m/>
    <s v=""/>
    <n v="163880"/>
    <n v="163880"/>
    <n v="57460"/>
    <m/>
    <s v=""/>
    <m/>
    <s v=""/>
    <m/>
    <s v=""/>
    <m/>
    <s v=""/>
    <m/>
    <s v=""/>
    <s v=""/>
    <s v=""/>
    <m/>
    <m/>
    <s v=""/>
    <m/>
    <s v=""/>
    <m/>
    <s v=""/>
    <m/>
    <s v=""/>
    <m/>
    <s v=""/>
    <s v=""/>
    <s v=""/>
    <m/>
    <m/>
    <s v=""/>
    <m/>
    <s v=""/>
    <m/>
    <s v=""/>
    <m/>
    <s v=""/>
    <m/>
    <s v=""/>
    <s v=""/>
    <s v=""/>
    <m/>
    <n v="163880"/>
    <n v="163880"/>
    <s v="PSM Products &amp; Costs"/>
    <s v="as per detailed LOHP"/>
    <n v="106420"/>
  </r>
  <r>
    <n v="43"/>
    <m/>
    <s v="Treatment, care and support"/>
    <s v="Treatment monitoring - Viral load"/>
    <s v="Procurement fee, Insurance, Freight, Customs, In-country trans-n etc."/>
    <x v="8"/>
    <x v="1"/>
    <n v="7.7"/>
    <s v="United Nations Development Programme"/>
    <x v="0"/>
    <s v="Multilateral – UNDP"/>
    <s v="USD"/>
    <s v="N/A"/>
    <n v="7"/>
    <s v="USD"/>
    <s v="Grant"/>
    <n v="1"/>
    <n v="1"/>
    <n v="80713.656000000003"/>
    <n v="80713.656000000003"/>
    <n v="17487"/>
    <m/>
    <s v=""/>
    <n v="0"/>
    <m/>
    <s v=""/>
    <m/>
    <s v=""/>
    <n v="80713.656000000003"/>
    <n v="80713.656000000003"/>
    <n v="17487"/>
    <m/>
    <s v=""/>
    <m/>
    <s v=""/>
    <m/>
    <s v=""/>
    <m/>
    <s v=""/>
    <m/>
    <s v=""/>
    <s v=""/>
    <s v=""/>
    <m/>
    <m/>
    <s v=""/>
    <m/>
    <s v=""/>
    <m/>
    <s v=""/>
    <m/>
    <s v=""/>
    <m/>
    <s v=""/>
    <s v=""/>
    <s v=""/>
    <m/>
    <m/>
    <s v=""/>
    <m/>
    <s v=""/>
    <m/>
    <s v=""/>
    <m/>
    <s v=""/>
    <m/>
    <s v=""/>
    <s v=""/>
    <s v=""/>
    <m/>
    <n v="80713.656000000003"/>
    <n v="80713.656000000003"/>
    <s v="PSM Products &amp; Costs"/>
    <s v="as per detailed LOHP"/>
    <n v="63226.656000000003"/>
  </r>
  <r>
    <n v="44"/>
    <m/>
    <s v="TB/HIV"/>
    <s v="TB/HIV collaborative interventions"/>
    <s v="Pyridoxin; "/>
    <x v="12"/>
    <x v="2"/>
    <n v="4.7"/>
    <s v="United Nations Development Programme"/>
    <x v="0"/>
    <s v="Multilateral – UNDP"/>
    <s v="USD"/>
    <s v="N/A"/>
    <n v="4"/>
    <s v="USD"/>
    <s v="Grant"/>
    <n v="1"/>
    <n v="1"/>
    <n v="712.5"/>
    <n v="712.5"/>
    <n v="712.5"/>
    <m/>
    <s v=""/>
    <n v="0"/>
    <m/>
    <s v=""/>
    <m/>
    <s v=""/>
    <n v="712.5"/>
    <n v="712.5"/>
    <n v="712.5"/>
    <m/>
    <s v=""/>
    <m/>
    <s v=""/>
    <m/>
    <s v=""/>
    <m/>
    <s v=""/>
    <m/>
    <s v=""/>
    <s v=""/>
    <s v=""/>
    <m/>
    <m/>
    <s v=""/>
    <m/>
    <s v=""/>
    <m/>
    <s v=""/>
    <m/>
    <s v=""/>
    <m/>
    <s v=""/>
    <s v=""/>
    <s v=""/>
    <m/>
    <m/>
    <s v=""/>
    <m/>
    <s v=""/>
    <m/>
    <s v=""/>
    <m/>
    <s v=""/>
    <m/>
    <s v=""/>
    <s v=""/>
    <s v=""/>
    <m/>
    <n v="712.5"/>
    <n v="712.5"/>
    <s v="PSM Products &amp; Costs"/>
    <s v="as per detailed LOHP"/>
    <n v="0"/>
  </r>
  <r>
    <n v="45"/>
    <m/>
    <s v="TB/HIV"/>
    <s v="TB/HIV collaborative interventions"/>
    <s v="Procurement fee, Insurance, Freight, Customs, In-country trans-n etc."/>
    <x v="8"/>
    <x v="2"/>
    <n v="7.7"/>
    <s v="United Nations Development Programme"/>
    <x v="0"/>
    <s v="Multilateral – UNDP"/>
    <s v="USD"/>
    <s v="N/A"/>
    <n v="7"/>
    <s v="USD"/>
    <s v="Grant"/>
    <n v="1"/>
    <n v="1"/>
    <n v="356.75"/>
    <n v="356.75"/>
    <n v="356.75"/>
    <m/>
    <s v=""/>
    <n v="0"/>
    <m/>
    <s v=""/>
    <m/>
    <s v=""/>
    <n v="356.75"/>
    <n v="356.75"/>
    <n v="356.75"/>
    <m/>
    <s v=""/>
    <m/>
    <s v=""/>
    <m/>
    <s v=""/>
    <m/>
    <s v=""/>
    <m/>
    <s v=""/>
    <s v=""/>
    <s v=""/>
    <m/>
    <m/>
    <s v=""/>
    <m/>
    <s v=""/>
    <m/>
    <s v=""/>
    <m/>
    <s v=""/>
    <m/>
    <s v=""/>
    <s v=""/>
    <s v=""/>
    <m/>
    <m/>
    <s v=""/>
    <m/>
    <s v=""/>
    <m/>
    <s v=""/>
    <m/>
    <s v=""/>
    <m/>
    <s v=""/>
    <s v=""/>
    <s v=""/>
    <m/>
    <n v="356.75"/>
    <n v="356.75"/>
    <s v="PSM Products &amp; Costs"/>
    <s v="as per detailed LOHP"/>
    <n v="0"/>
  </r>
  <r>
    <n v="46"/>
    <m/>
    <s v="Comprehensive programs for people in prisons and other closed settings"/>
    <s v="HIV testing services for people in prisons and other closed settings"/>
    <s v="Rapid Diagnostic Test - HIV; "/>
    <x v="1"/>
    <x v="1"/>
    <n v="5.4"/>
    <s v="United Nations Development Programme"/>
    <x v="0"/>
    <s v="Multilateral – UNDP"/>
    <s v="USD"/>
    <s v="Cost of a pack"/>
    <n v="5"/>
    <s v="USD"/>
    <s v="Grant"/>
    <n v="1"/>
    <n v="1"/>
    <n v="12600"/>
    <n v="12600"/>
    <n v="0"/>
    <m/>
    <s v=""/>
    <n v="0"/>
    <m/>
    <s v=""/>
    <m/>
    <s v=""/>
    <n v="12600"/>
    <n v="12600"/>
    <n v="0"/>
    <m/>
    <s v=""/>
    <m/>
    <s v=""/>
    <m/>
    <s v=""/>
    <m/>
    <s v=""/>
    <m/>
    <s v=""/>
    <s v=""/>
    <s v=""/>
    <m/>
    <m/>
    <s v=""/>
    <m/>
    <s v=""/>
    <m/>
    <s v=""/>
    <m/>
    <s v=""/>
    <m/>
    <s v=""/>
    <s v=""/>
    <s v=""/>
    <m/>
    <m/>
    <s v=""/>
    <m/>
    <s v=""/>
    <m/>
    <s v=""/>
    <m/>
    <s v=""/>
    <m/>
    <s v=""/>
    <s v=""/>
    <s v=""/>
    <m/>
    <n v="12600"/>
    <n v="12600"/>
    <s v="PSM Products &amp; Costs"/>
    <s v="as per detailed LOHP"/>
    <n v="12600"/>
  </r>
  <r>
    <n v="47"/>
    <m/>
    <s v="Comprehensive programs for people in prisons and other closed settings"/>
    <s v="HIV testing services for people in prisons and other closed settings"/>
    <s v="Procurement fee, Insurance, Freight, Customs, In-country trans-n etc."/>
    <x v="8"/>
    <x v="1"/>
    <n v="7.7"/>
    <s v="United Nations Development Programme"/>
    <x v="0"/>
    <s v="Multilateral – UNDP"/>
    <s v="USD"/>
    <s v="N/A"/>
    <n v="7"/>
    <s v="USD"/>
    <s v="Grant"/>
    <n v="1"/>
    <n v="1"/>
    <n v="3854.62"/>
    <n v="3854.62"/>
    <m/>
    <m/>
    <s v=""/>
    <n v="0"/>
    <m/>
    <s v=""/>
    <m/>
    <s v=""/>
    <n v="3854.62"/>
    <n v="3854.62"/>
    <n v="0"/>
    <m/>
    <s v=""/>
    <m/>
    <s v=""/>
    <m/>
    <s v=""/>
    <m/>
    <s v=""/>
    <m/>
    <s v=""/>
    <s v=""/>
    <s v=""/>
    <m/>
    <m/>
    <s v=""/>
    <m/>
    <s v=""/>
    <m/>
    <s v=""/>
    <m/>
    <s v=""/>
    <m/>
    <s v=""/>
    <s v=""/>
    <s v=""/>
    <m/>
    <m/>
    <s v=""/>
    <m/>
    <s v=""/>
    <m/>
    <s v=""/>
    <m/>
    <s v=""/>
    <m/>
    <s v=""/>
    <s v=""/>
    <s v=""/>
    <m/>
    <n v="3854.62"/>
    <n v="3854.62"/>
    <s v="PSM Products &amp; Costs"/>
    <s v="as per detailed LOHP"/>
    <n v="3854.62"/>
  </r>
  <r>
    <n v="48"/>
    <m/>
    <s v="Comprehensive programs for people in prisons and other closed settings"/>
    <s v="HIV testing services for people in prisons and other closed settings"/>
    <s v="HIV ELISA test, Ag/Ab; Disinfectant napkins; "/>
    <x v="4"/>
    <x v="1"/>
    <n v="5.8"/>
    <s v="United Nations Development Programme"/>
    <x v="0"/>
    <s v="Multilateral – UNDP"/>
    <s v="USD"/>
    <s v="N/A"/>
    <n v="5"/>
    <s v="USD"/>
    <s v="Grant"/>
    <n v="1"/>
    <n v="1"/>
    <n v="4921"/>
    <n v="4921"/>
    <n v="0"/>
    <m/>
    <s v=""/>
    <n v="0"/>
    <m/>
    <s v=""/>
    <m/>
    <s v=""/>
    <n v="4921"/>
    <n v="4921"/>
    <n v="0"/>
    <m/>
    <s v=""/>
    <m/>
    <s v=""/>
    <m/>
    <s v=""/>
    <m/>
    <s v=""/>
    <m/>
    <s v=""/>
    <s v=""/>
    <s v=""/>
    <m/>
    <m/>
    <s v=""/>
    <m/>
    <s v=""/>
    <m/>
    <s v=""/>
    <m/>
    <s v=""/>
    <m/>
    <s v=""/>
    <s v=""/>
    <s v=""/>
    <m/>
    <m/>
    <s v=""/>
    <m/>
    <s v=""/>
    <m/>
    <s v=""/>
    <m/>
    <s v=""/>
    <m/>
    <s v=""/>
    <s v=""/>
    <s v=""/>
    <m/>
    <n v="4921"/>
    <n v="4921"/>
    <s v="PSM Products &amp; Costs"/>
    <s v="as per detailed LOHP"/>
    <n v="4921"/>
  </r>
  <r>
    <n v="49"/>
    <m/>
    <s v="Comprehensive prevention programs for MSM"/>
    <s v="Condoms and lubricant programming for MSM"/>
    <s v="Male Latex Condom; "/>
    <x v="9"/>
    <x v="1"/>
    <n v="5.2"/>
    <s v="United Nations Development Programme"/>
    <x v="0"/>
    <s v="Multilateral – UNDP"/>
    <s v="USD"/>
    <s v="Cost of a pack"/>
    <n v="5"/>
    <s v="USD"/>
    <s v="Grant"/>
    <n v="1"/>
    <n v="1"/>
    <n v="16676.400000000001"/>
    <n v="16676.400000000001"/>
    <n v="0"/>
    <m/>
    <s v=""/>
    <n v="0"/>
    <m/>
    <s v=""/>
    <m/>
    <s v=""/>
    <n v="16676.400000000001"/>
    <n v="16676.400000000001"/>
    <n v="0"/>
    <m/>
    <s v=""/>
    <m/>
    <s v=""/>
    <m/>
    <s v=""/>
    <m/>
    <s v=""/>
    <m/>
    <s v=""/>
    <s v=""/>
    <s v=""/>
    <m/>
    <m/>
    <s v=""/>
    <m/>
    <s v=""/>
    <m/>
    <s v=""/>
    <m/>
    <s v=""/>
    <m/>
    <s v=""/>
    <s v=""/>
    <s v=""/>
    <m/>
    <m/>
    <s v=""/>
    <m/>
    <s v=""/>
    <m/>
    <s v=""/>
    <m/>
    <s v=""/>
    <m/>
    <s v=""/>
    <s v=""/>
    <s v=""/>
    <m/>
    <n v="16676.400000000001"/>
    <n v="16676.400000000001"/>
    <s v="PSM Products &amp; Costs"/>
    <s v="as per detailed LOHP"/>
    <n v="16676.400000000001"/>
  </r>
  <r>
    <n v="50"/>
    <m/>
    <s v="Comprehensive prevention programs for MSM"/>
    <s v="HIV testing services for MSM"/>
    <s v="Rapid Diagnostic Test - HIV; "/>
    <x v="1"/>
    <x v="1"/>
    <n v="5.4"/>
    <s v="United Nations Development Programme"/>
    <x v="0"/>
    <s v="Multilateral – UNDP"/>
    <s v="USD"/>
    <s v="Cost of a pack"/>
    <n v="5"/>
    <s v="USD"/>
    <s v="Grant"/>
    <n v="1"/>
    <n v="1"/>
    <n v="19241.25"/>
    <n v="19241.25"/>
    <n v="0"/>
    <m/>
    <s v=""/>
    <n v="0"/>
    <m/>
    <s v=""/>
    <m/>
    <s v=""/>
    <n v="19241.25"/>
    <n v="19241.25"/>
    <n v="0"/>
    <m/>
    <s v=""/>
    <m/>
    <s v=""/>
    <m/>
    <s v=""/>
    <m/>
    <s v=""/>
    <m/>
    <s v=""/>
    <s v=""/>
    <s v=""/>
    <m/>
    <m/>
    <s v=""/>
    <m/>
    <s v=""/>
    <m/>
    <s v=""/>
    <m/>
    <s v=""/>
    <m/>
    <s v=""/>
    <s v=""/>
    <s v=""/>
    <m/>
    <m/>
    <s v=""/>
    <m/>
    <s v=""/>
    <m/>
    <s v=""/>
    <m/>
    <s v=""/>
    <m/>
    <s v=""/>
    <s v=""/>
    <s v=""/>
    <m/>
    <n v="19241.25"/>
    <n v="19241.25"/>
    <s v="PSM Products &amp; Costs"/>
    <s v="as per detailed LOHP"/>
    <n v="19241.25"/>
  </r>
  <r>
    <n v="51"/>
    <m/>
    <s v="Comprehensive prevention programs for MSM"/>
    <s v="Condoms and lubricant programming for MSM"/>
    <s v="Procurement fee, Insurance, Freight, Customs, In-country trans-n etc."/>
    <x v="8"/>
    <x v="1"/>
    <n v="7.7"/>
    <s v="United Nations Development Programme"/>
    <x v="0"/>
    <s v="Multilateral – UNDP"/>
    <s v="USD"/>
    <s v="N/A"/>
    <n v="7"/>
    <s v="USD"/>
    <s v="Grant"/>
    <n v="1"/>
    <n v="1"/>
    <n v="11957.2"/>
    <n v="11957.2"/>
    <m/>
    <m/>
    <s v=""/>
    <n v="0"/>
    <m/>
    <s v=""/>
    <m/>
    <s v=""/>
    <n v="11957.2"/>
    <n v="11957.2"/>
    <n v="0"/>
    <m/>
    <s v=""/>
    <m/>
    <s v=""/>
    <m/>
    <s v=""/>
    <m/>
    <s v=""/>
    <m/>
    <s v=""/>
    <s v=""/>
    <s v=""/>
    <m/>
    <m/>
    <s v=""/>
    <m/>
    <s v=""/>
    <m/>
    <s v=""/>
    <m/>
    <s v=""/>
    <m/>
    <s v=""/>
    <s v=""/>
    <s v=""/>
    <m/>
    <m/>
    <s v=""/>
    <m/>
    <s v=""/>
    <m/>
    <s v=""/>
    <m/>
    <s v=""/>
    <m/>
    <s v=""/>
    <s v=""/>
    <s v=""/>
    <m/>
    <n v="11957.2"/>
    <n v="11957.2"/>
    <s v="PSM Products &amp; Costs"/>
    <s v="as per detailed LOHP"/>
    <n v="11957.2"/>
  </r>
  <r>
    <n v="52"/>
    <m/>
    <s v="Comprehensive prevention programs for MSM"/>
    <s v="HIV testing services for MSM"/>
    <s v="Procurement fee, Insurance, Freight, Customs, In-country trans-n etc."/>
    <x v="8"/>
    <x v="1"/>
    <n v="7.7"/>
    <s v="United Nations Development Programme"/>
    <x v="0"/>
    <s v="Multilateral – UNDP"/>
    <s v="USD"/>
    <s v="N/A"/>
    <n v="7"/>
    <s v="USD"/>
    <s v="Grant"/>
    <n v="1"/>
    <n v="1"/>
    <n v="5230.1149999999998"/>
    <n v="5230.1149999999998"/>
    <m/>
    <m/>
    <s v=""/>
    <n v="0"/>
    <m/>
    <s v=""/>
    <m/>
    <s v=""/>
    <n v="5230.1149999999998"/>
    <n v="5230.1149999999998"/>
    <n v="0"/>
    <m/>
    <s v=""/>
    <m/>
    <s v=""/>
    <m/>
    <s v=""/>
    <m/>
    <s v=""/>
    <m/>
    <s v=""/>
    <s v=""/>
    <s v=""/>
    <m/>
    <m/>
    <s v=""/>
    <m/>
    <s v=""/>
    <m/>
    <s v=""/>
    <m/>
    <s v=""/>
    <m/>
    <s v=""/>
    <s v=""/>
    <s v=""/>
    <m/>
    <m/>
    <s v=""/>
    <m/>
    <s v=""/>
    <m/>
    <s v=""/>
    <m/>
    <s v=""/>
    <m/>
    <s v=""/>
    <s v=""/>
    <s v=""/>
    <m/>
    <n v="5230.1149999999998"/>
    <n v="5230.1149999999998"/>
    <s v="PSM Products &amp; Costs"/>
    <s v="as per detailed LOHP"/>
    <n v="5230.1149999999998"/>
  </r>
  <r>
    <n v="53"/>
    <m/>
    <s v="Comprehensive prevention programs for MSM"/>
    <s v="Condoms and lubricant programming for MSM"/>
    <s v="Lubricant; "/>
    <x v="4"/>
    <x v="1"/>
    <n v="5.8"/>
    <s v="United Nations Development Programme"/>
    <x v="0"/>
    <s v="Multilateral – UNDP"/>
    <s v="USD"/>
    <s v="N/A"/>
    <n v="5"/>
    <s v="USD"/>
    <s v="Grant"/>
    <n v="1"/>
    <n v="1"/>
    <n v="7238"/>
    <n v="7238"/>
    <n v="0"/>
    <m/>
    <s v=""/>
    <n v="0"/>
    <m/>
    <s v=""/>
    <m/>
    <s v=""/>
    <n v="7238"/>
    <n v="7238"/>
    <n v="0"/>
    <m/>
    <s v=""/>
    <m/>
    <s v=""/>
    <m/>
    <s v=""/>
    <m/>
    <s v=""/>
    <m/>
    <s v=""/>
    <s v=""/>
    <s v=""/>
    <m/>
    <m/>
    <s v=""/>
    <m/>
    <s v=""/>
    <m/>
    <s v=""/>
    <m/>
    <s v=""/>
    <m/>
    <s v=""/>
    <s v=""/>
    <s v=""/>
    <m/>
    <m/>
    <s v=""/>
    <m/>
    <s v=""/>
    <m/>
    <s v=""/>
    <m/>
    <s v=""/>
    <m/>
    <s v=""/>
    <s v=""/>
    <s v=""/>
    <m/>
    <n v="7238"/>
    <n v="7238"/>
    <s v="PSM Products &amp; Costs"/>
    <s v="as per detailed LOHP"/>
    <n v="7238"/>
  </r>
  <r>
    <n v="54"/>
    <m/>
    <s v="Comprehensive prevention programs for MSM"/>
    <s v="HIV testing services for MSM"/>
    <s v="HIV ELISA test, Ag/Ab; Disinfectant napkins; "/>
    <x v="4"/>
    <x v="1"/>
    <n v="5.8"/>
    <s v="United Nations Development Programme"/>
    <x v="0"/>
    <s v="Multilateral – UNDP"/>
    <s v="USD"/>
    <s v="N/A"/>
    <n v="5"/>
    <s v="USD"/>
    <s v="Grant"/>
    <n v="1"/>
    <n v="1"/>
    <n v="4532"/>
    <n v="4532"/>
    <n v="0"/>
    <m/>
    <s v=""/>
    <n v="0"/>
    <m/>
    <s v=""/>
    <m/>
    <s v=""/>
    <n v="4532"/>
    <n v="4532"/>
    <n v="0"/>
    <m/>
    <s v=""/>
    <m/>
    <s v=""/>
    <m/>
    <s v=""/>
    <m/>
    <s v=""/>
    <m/>
    <s v=""/>
    <s v=""/>
    <s v=""/>
    <m/>
    <m/>
    <s v=""/>
    <m/>
    <s v=""/>
    <m/>
    <s v=""/>
    <m/>
    <s v=""/>
    <m/>
    <s v=""/>
    <s v=""/>
    <s v=""/>
    <m/>
    <m/>
    <s v=""/>
    <m/>
    <s v=""/>
    <m/>
    <s v=""/>
    <m/>
    <s v=""/>
    <m/>
    <s v=""/>
    <s v=""/>
    <s v=""/>
    <m/>
    <n v="4532"/>
    <n v="4532"/>
    <s v="PSM Products &amp; Costs"/>
    <s v="as per detailed LOHP"/>
    <n v="4532"/>
  </r>
  <r>
    <n v="55"/>
    <m/>
    <s v="Prevention programs for other vulnerable populations"/>
    <s v="HIV testing services for other vulnerable populations"/>
    <s v="Procurement fee, Insurance, Freight, Customs, In-country trans-n etc."/>
    <x v="8"/>
    <x v="1"/>
    <n v="7.7"/>
    <s v="United Nations Development Programme"/>
    <x v="0"/>
    <s v="Multilateral – UNDP"/>
    <s v="USD"/>
    <s v="N/A"/>
    <n v="7"/>
    <s v="USD"/>
    <s v="Grant"/>
    <n v="1"/>
    <n v="1"/>
    <n v="496.1"/>
    <n v="496.1"/>
    <m/>
    <m/>
    <s v=""/>
    <n v="0"/>
    <m/>
    <s v=""/>
    <m/>
    <s v=""/>
    <n v="496.1"/>
    <n v="496.1"/>
    <n v="0"/>
    <m/>
    <s v=""/>
    <m/>
    <s v=""/>
    <m/>
    <s v=""/>
    <m/>
    <s v=""/>
    <m/>
    <s v=""/>
    <s v=""/>
    <s v=""/>
    <m/>
    <m/>
    <s v=""/>
    <m/>
    <s v=""/>
    <m/>
    <s v=""/>
    <m/>
    <s v=""/>
    <m/>
    <s v=""/>
    <s v=""/>
    <s v=""/>
    <m/>
    <m/>
    <s v=""/>
    <m/>
    <s v=""/>
    <m/>
    <s v=""/>
    <m/>
    <s v=""/>
    <m/>
    <s v=""/>
    <s v=""/>
    <s v=""/>
    <m/>
    <n v="496.1"/>
    <n v="496.1"/>
    <s v="PSM Products &amp; Costs"/>
    <s v="as per detailed LOHP"/>
    <n v="496.1"/>
  </r>
  <r>
    <n v="56"/>
    <s v="1.1.2"/>
    <s v="Comprehensive prevention programs for people who inject drugs (PWID) and their partners"/>
    <s v="Needle and Syringe programs for PWID and their partners"/>
    <s v="The support of consolidated projects (GOV NEPs - and NGO NEPs) of needle exchange points thoughout the country - the programme staff salaries."/>
    <x v="16"/>
    <x v="1"/>
    <n v="1.2"/>
    <s v="PWID SR  (RCN and NGOs)"/>
    <x v="1"/>
    <s v="Civil Society - Local Non-Governmental Organization"/>
    <s v="USD"/>
    <s v="Average payment per FTE (person) per quarter"/>
    <n v="1"/>
    <s v="KGS"/>
    <s v="Local"/>
    <n v="39925.528188405806"/>
    <n v="583.70655246207309"/>
    <n v="207"/>
    <n v="120827.25635964912"/>
    <n v="94426.02587719298"/>
    <n v="207"/>
    <n v="120827.25635964912"/>
    <n v="94426.02587719298"/>
    <m/>
    <s v=""/>
    <m/>
    <s v=""/>
    <n v="414"/>
    <n v="241654.51271929825"/>
    <n v="188852.05175438596"/>
    <m/>
    <s v=""/>
    <m/>
    <s v=""/>
    <m/>
    <s v=""/>
    <m/>
    <s v=""/>
    <m/>
    <s v=""/>
    <s v=""/>
    <s v=""/>
    <m/>
    <m/>
    <s v=""/>
    <m/>
    <s v=""/>
    <m/>
    <s v=""/>
    <m/>
    <s v=""/>
    <m/>
    <s v=""/>
    <s v=""/>
    <s v=""/>
    <m/>
    <m/>
    <s v=""/>
    <m/>
    <s v=""/>
    <m/>
    <s v=""/>
    <m/>
    <s v=""/>
    <m/>
    <s v=""/>
    <s v=""/>
    <s v=""/>
    <m/>
    <n v="414"/>
    <n v="241654.51271929825"/>
    <m/>
    <m/>
    <n v="52802.460964912287"/>
  </r>
  <r>
    <n v="57"/>
    <s v="9.14.1"/>
    <s v="Program management"/>
    <s v="Grant management"/>
    <s v="The support of consolidated projects (GOV NEPs - and NGO NEPs) of needle exchange points thoughout the country - the administrative staff salaries."/>
    <x v="17"/>
    <x v="1"/>
    <n v="1.1000000000000001"/>
    <s v="PWID SR  (RCN and NGOs)"/>
    <x v="1"/>
    <s v="Civil Society - Local Non-Governmental Organization"/>
    <s v="USD"/>
    <s v="Average gross salary per FTE (person) per quarter"/>
    <n v="1"/>
    <s v="KGS"/>
    <s v="Local"/>
    <n v="67906.429137931045"/>
    <n v="992.78405172413795"/>
    <n v="29"/>
    <n v="28790.737499999999"/>
    <n v="18100.523026315786"/>
    <n v="29"/>
    <n v="28790.737499999999"/>
    <n v="18100.523026315786"/>
    <m/>
    <s v=""/>
    <m/>
    <s v=""/>
    <n v="58"/>
    <n v="57581.474999999999"/>
    <n v="36201.046052631573"/>
    <m/>
    <s v=""/>
    <m/>
    <s v=""/>
    <m/>
    <s v=""/>
    <m/>
    <s v=""/>
    <m/>
    <s v=""/>
    <s v=""/>
    <s v=""/>
    <m/>
    <m/>
    <s v=""/>
    <m/>
    <s v=""/>
    <m/>
    <s v=""/>
    <m/>
    <s v=""/>
    <m/>
    <s v=""/>
    <s v=""/>
    <s v=""/>
    <m/>
    <m/>
    <s v=""/>
    <m/>
    <s v=""/>
    <m/>
    <s v=""/>
    <m/>
    <s v=""/>
    <m/>
    <s v=""/>
    <s v=""/>
    <s v=""/>
    <m/>
    <n v="58"/>
    <n v="57581.474999999999"/>
    <m/>
    <m/>
    <n v="21380.428947368426"/>
  </r>
  <r>
    <n v="58"/>
    <s v="9.14.3"/>
    <s v="Program management"/>
    <s v="Grant management"/>
    <s v="The support of consolidated projects (GOV NEPs - and NGO NEPs) of needle exchange points thoughout the country - office related costs."/>
    <x v="18"/>
    <x v="1"/>
    <n v="11.1"/>
    <s v="PWID SR  (RCN and NGOs)"/>
    <x v="1"/>
    <s v="Civil Society - Local Non-Governmental Organization"/>
    <s v="USD"/>
    <s v="Average office cost per office unit per quarter"/>
    <n v="11"/>
    <s v="KGS"/>
    <s v="Local"/>
    <n v="95535.827755618549"/>
    <n v="1396.7226280061191"/>
    <n v="15"/>
    <n v="20950.839420091786"/>
    <n v="12200.964912280699"/>
    <n v="15"/>
    <n v="20950.839420091786"/>
    <n v="12200.964912280699"/>
    <m/>
    <s v=""/>
    <m/>
    <s v=""/>
    <n v="30"/>
    <n v="41901.678840183573"/>
    <n v="24401.929824561397"/>
    <m/>
    <s v=""/>
    <m/>
    <s v=""/>
    <m/>
    <s v=""/>
    <m/>
    <s v=""/>
    <m/>
    <s v=""/>
    <s v=""/>
    <s v=""/>
    <m/>
    <m/>
    <s v=""/>
    <m/>
    <s v=""/>
    <m/>
    <s v=""/>
    <m/>
    <s v=""/>
    <m/>
    <s v=""/>
    <s v=""/>
    <s v=""/>
    <m/>
    <m/>
    <s v=""/>
    <m/>
    <s v=""/>
    <m/>
    <s v=""/>
    <m/>
    <s v=""/>
    <m/>
    <s v=""/>
    <s v=""/>
    <s v=""/>
    <m/>
    <n v="30"/>
    <n v="41901.678840183573"/>
    <m/>
    <m/>
    <n v="17499.749015622176"/>
  </r>
  <r>
    <n v="59"/>
    <s v="1.3.5"/>
    <s v="Comprehensive prevention programs for people who inject drugs (PWID) and their partners"/>
    <s v="OST and other drug dependence treatment for PWID"/>
    <s v="The support of 17 OST units in civil sector by payment to the staff, involved to the OST programme.  "/>
    <x v="19"/>
    <x v="1"/>
    <n v="1.3"/>
    <s v="RCN  (Republican Center of Narcology)"/>
    <x v="1"/>
    <s v="Government - Other"/>
    <s v="USD"/>
    <s v="Average payment per FTE (person) per quarter"/>
    <n v="1"/>
    <s v="KGS"/>
    <s v="Local"/>
    <n v="5728.0429388297862"/>
    <n v="83.743317819148913"/>
    <n v="353.29239874962036"/>
    <n v="29585.877631578947"/>
    <n v="21614.11184210526"/>
    <n v="398.70760125037975"/>
    <n v="33389.097368421048"/>
    <n v="23887.116228070172"/>
    <m/>
    <s v=""/>
    <m/>
    <s v=""/>
    <n v="752.00000000000011"/>
    <n v="62974.974999999991"/>
    <n v="45501.228070175435"/>
    <m/>
    <s v=""/>
    <m/>
    <s v=""/>
    <m/>
    <s v=""/>
    <m/>
    <s v=""/>
    <m/>
    <s v=""/>
    <s v=""/>
    <s v=""/>
    <m/>
    <m/>
    <s v=""/>
    <m/>
    <s v=""/>
    <m/>
    <s v=""/>
    <m/>
    <s v=""/>
    <m/>
    <s v=""/>
    <s v=""/>
    <s v=""/>
    <m/>
    <m/>
    <s v=""/>
    <m/>
    <s v=""/>
    <m/>
    <s v=""/>
    <m/>
    <s v=""/>
    <m/>
    <s v=""/>
    <s v=""/>
    <s v=""/>
    <m/>
    <n v="752.00000000000011"/>
    <n v="62974.974999999991"/>
    <m/>
    <m/>
    <n v="17473.746929824556"/>
  </r>
  <r>
    <n v="60"/>
    <s v="1.3.6"/>
    <s v="Comprehensive prevention programs for people who inject drugs (PWID) and their partners"/>
    <s v="OST and other drug dependence treatment for PWID"/>
    <s v="The support of 7 OST units in penitenciary sector by payment to the staff, involved to the OST programme.  "/>
    <x v="19"/>
    <x v="1"/>
    <n v="1.3"/>
    <s v="RCN  (Republican Center of Narcology)"/>
    <x v="1"/>
    <s v="Government - Other"/>
    <s v="USD"/>
    <s v="Average payment per FTE (person) per quarter"/>
    <n v="1"/>
    <s v="KGS"/>
    <s v="Local"/>
    <n v="5509.3499999999985"/>
    <n v="80.546052631578917"/>
    <n v="125.15094339622644"/>
    <n v="10080.414473684208"/>
    <n v="8994.3092105263149"/>
    <n v="142.84905660377362"/>
    <n v="11505.927631578947"/>
    <n v="10110.241228070174"/>
    <m/>
    <s v=""/>
    <m/>
    <s v=""/>
    <n v="268.00000000000006"/>
    <n v="21586.342105263153"/>
    <n v="19104.550438596489"/>
    <m/>
    <s v=""/>
    <m/>
    <s v=""/>
    <m/>
    <s v=""/>
    <m/>
    <s v=""/>
    <m/>
    <s v=""/>
    <s v=""/>
    <s v=""/>
    <m/>
    <m/>
    <s v=""/>
    <m/>
    <s v=""/>
    <m/>
    <s v=""/>
    <m/>
    <s v=""/>
    <m/>
    <s v=""/>
    <s v=""/>
    <s v=""/>
    <m/>
    <m/>
    <s v=""/>
    <m/>
    <s v=""/>
    <m/>
    <s v=""/>
    <m/>
    <s v=""/>
    <m/>
    <s v=""/>
    <s v=""/>
    <s v=""/>
    <m/>
    <n v="268.00000000000006"/>
    <n v="21586.342105263153"/>
    <m/>
    <m/>
    <n v="2481.7916666666642"/>
  </r>
  <r>
    <n v="61"/>
    <s v="1.3.12"/>
    <s v="Comprehensive prevention programs for people who inject drugs (PWID) and their partners"/>
    <s v="OST and other drug dependence treatment for PWID"/>
    <s v="The support of OST programme in  Southern region by procurement of water for patients and Mini sessions for OST clients (once per quarter)"/>
    <x v="20"/>
    <x v="1"/>
    <n v="12.2"/>
    <s v="RCN  (Republican Center of Narcology)"/>
    <x v="1"/>
    <s v="Government - Other"/>
    <s v="USD"/>
    <s v="Average cost of support package per person per quarter"/>
    <n v="12"/>
    <s v="KGS"/>
    <s v="Local"/>
    <n v="151.91999999999999"/>
    <n v="2.2210526315789472"/>
    <n v="750"/>
    <n v="1665.7894736842104"/>
    <n v="415.78947368421046"/>
    <n v="750"/>
    <n v="1665.7894736842104"/>
    <n v="415.78947368421046"/>
    <m/>
    <s v=""/>
    <m/>
    <s v=""/>
    <n v="1500"/>
    <n v="3331.5789473684208"/>
    <n v="831.57894736842093"/>
    <m/>
    <s v=""/>
    <m/>
    <s v=""/>
    <m/>
    <s v=""/>
    <m/>
    <s v=""/>
    <m/>
    <s v=""/>
    <s v=""/>
    <s v=""/>
    <m/>
    <m/>
    <s v=""/>
    <m/>
    <s v=""/>
    <m/>
    <s v=""/>
    <m/>
    <s v=""/>
    <m/>
    <s v=""/>
    <s v=""/>
    <s v=""/>
    <m/>
    <m/>
    <s v=""/>
    <m/>
    <s v=""/>
    <m/>
    <s v=""/>
    <m/>
    <s v=""/>
    <m/>
    <s v=""/>
    <s v=""/>
    <s v=""/>
    <m/>
    <n v="1500"/>
    <n v="3331.5789473684208"/>
    <m/>
    <m/>
    <n v="2500"/>
  </r>
  <r>
    <n v="62"/>
    <s v="9.14.73"/>
    <s v="Comprehensive prevention programs for people who inject drugs (PWID) and their partners"/>
    <s v="OST and other drug dependence treatment for PWID"/>
    <s v="The support of OST programme: Cost for maintenance of surveillance cameras in 16 OST points"/>
    <x v="21"/>
    <x v="1"/>
    <n v="9.3000000000000007"/>
    <s v="RCN  (Republican Center of Narcology)"/>
    <x v="1"/>
    <s v="Government - Other"/>
    <s v="USD"/>
    <s v="N/A"/>
    <n v="9"/>
    <s v="KGS"/>
    <s v="Local"/>
    <n v="1500"/>
    <n v="21.929824561403507"/>
    <n v="5"/>
    <n v="109.64912280701753"/>
    <n v="665.26315789473676"/>
    <n v="5"/>
    <n v="109.64912280701753"/>
    <n v="665.26315789473676"/>
    <m/>
    <s v=""/>
    <m/>
    <s v=""/>
    <n v="10"/>
    <n v="219.29824561403507"/>
    <n v="1330.5263157894735"/>
    <m/>
    <s v=""/>
    <m/>
    <s v=""/>
    <m/>
    <s v=""/>
    <m/>
    <s v=""/>
    <m/>
    <s v=""/>
    <s v=""/>
    <s v=""/>
    <m/>
    <m/>
    <s v=""/>
    <m/>
    <s v=""/>
    <m/>
    <s v=""/>
    <m/>
    <s v=""/>
    <m/>
    <s v=""/>
    <s v=""/>
    <s v=""/>
    <m/>
    <m/>
    <s v=""/>
    <m/>
    <s v=""/>
    <m/>
    <s v=""/>
    <m/>
    <s v=""/>
    <m/>
    <s v=""/>
    <s v=""/>
    <s v=""/>
    <m/>
    <n v="10"/>
    <n v="219.29824561403507"/>
    <m/>
    <m/>
    <n v="-1111.2280701754385"/>
  </r>
  <r>
    <n v="63"/>
    <s v="1.3.9"/>
    <s v="Comprehensive prevention programs for people who inject drugs (PWID) and their partners"/>
    <s v="OST and other drug dependence treatment for PWID"/>
    <s v="The support of OST programme in Osh and Southern region by the methadon substance preparation by pharmacy."/>
    <x v="22"/>
    <x v="1"/>
    <n v="3.4"/>
    <s v="RCN  (Republican Center of Narcology)"/>
    <x v="1"/>
    <s v="Government - Other"/>
    <s v="USD"/>
    <s v="N/A"/>
    <n v="3"/>
    <s v="KGS"/>
    <s v="Local"/>
    <n v="369360.00000000006"/>
    <n v="5400"/>
    <n v="1"/>
    <n v="5400"/>
    <n v="6096.8421052631575"/>
    <n v="1"/>
    <n v="5400"/>
    <n v="6096.8421052631575"/>
    <m/>
    <s v=""/>
    <m/>
    <s v=""/>
    <n v="2"/>
    <n v="10800"/>
    <n v="12193.684210526315"/>
    <m/>
    <s v=""/>
    <m/>
    <s v=""/>
    <m/>
    <s v=""/>
    <m/>
    <s v=""/>
    <m/>
    <s v=""/>
    <s v=""/>
    <s v=""/>
    <m/>
    <m/>
    <s v=""/>
    <m/>
    <s v=""/>
    <m/>
    <s v=""/>
    <m/>
    <s v=""/>
    <m/>
    <s v=""/>
    <s v=""/>
    <s v=""/>
    <m/>
    <m/>
    <s v=""/>
    <m/>
    <s v=""/>
    <m/>
    <s v=""/>
    <m/>
    <s v=""/>
    <m/>
    <s v=""/>
    <s v=""/>
    <s v=""/>
    <m/>
    <n v="2"/>
    <n v="10800"/>
    <m/>
    <m/>
    <n v="-1393.6842105263149"/>
  </r>
  <r>
    <n v="64"/>
    <s v="1.3.7"/>
    <s v="Comprehensive prevention programs for people who inject drugs (PWID) and their partners"/>
    <s v="OST and other drug dependence treatment for PWID"/>
    <s v="The support of 17 OST units in civil sector - M&amp;E visits for project staff "/>
    <x v="23"/>
    <x v="1"/>
    <n v="2.2999999999999998"/>
    <s v="RCN  (Republican Center of Narcology)"/>
    <x v="1"/>
    <s v="Government - Other"/>
    <s v="USD"/>
    <s v="Average cost of subsistence per person per day"/>
    <n v="2"/>
    <s v="KGS"/>
    <s v="Local"/>
    <n v="5688"/>
    <n v="83.157894736842096"/>
    <n v="4"/>
    <n v="332.63157894736838"/>
    <n v="498.9473684210526"/>
    <n v="4"/>
    <n v="332.63157894736838"/>
    <n v="498.9473684210526"/>
    <m/>
    <s v=""/>
    <m/>
    <s v=""/>
    <n v="8"/>
    <n v="665.26315789473676"/>
    <n v="997.8947368421052"/>
    <m/>
    <s v=""/>
    <m/>
    <s v=""/>
    <m/>
    <s v=""/>
    <m/>
    <s v=""/>
    <m/>
    <s v=""/>
    <s v=""/>
    <s v=""/>
    <m/>
    <m/>
    <s v=""/>
    <m/>
    <s v=""/>
    <m/>
    <s v=""/>
    <m/>
    <s v=""/>
    <m/>
    <s v=""/>
    <s v=""/>
    <s v=""/>
    <m/>
    <m/>
    <s v=""/>
    <m/>
    <s v=""/>
    <m/>
    <s v=""/>
    <m/>
    <s v=""/>
    <m/>
    <s v=""/>
    <s v=""/>
    <s v=""/>
    <m/>
    <n v="8"/>
    <n v="665.26315789473676"/>
    <m/>
    <m/>
    <n v="-332.63157894736844"/>
  </r>
  <r>
    <n v="65"/>
    <s v="1.3.8"/>
    <s v="Comprehensive prevention programs for people who inject drugs (PWID) and their partners"/>
    <s v="OST and other drug dependence treatment for PWID"/>
    <s v="The support of 7 OST units in penitenciary sector - M&amp;E visits for project staff "/>
    <x v="23"/>
    <x v="1"/>
    <n v="2.2999999999999998"/>
    <s v="RCN  (Republican Center of Narcology)"/>
    <x v="1"/>
    <s v="Government - Other"/>
    <s v="USD"/>
    <s v="Average cost of subsistence per person per day"/>
    <n v="2"/>
    <s v="KGS"/>
    <s v="Local"/>
    <n v="5688"/>
    <n v="83.157894736842096"/>
    <n v="9"/>
    <n v="748.42105263157885"/>
    <n v="249.4736842105263"/>
    <n v="9"/>
    <n v="748.42105263157885"/>
    <n v="249.4736842105263"/>
    <m/>
    <s v=""/>
    <m/>
    <s v=""/>
    <n v="18"/>
    <n v="1496.8421052631577"/>
    <n v="498.9473684210526"/>
    <m/>
    <s v=""/>
    <m/>
    <s v=""/>
    <m/>
    <s v=""/>
    <m/>
    <s v=""/>
    <m/>
    <s v=""/>
    <s v=""/>
    <s v=""/>
    <m/>
    <m/>
    <s v=""/>
    <m/>
    <s v=""/>
    <m/>
    <s v=""/>
    <m/>
    <s v=""/>
    <m/>
    <s v=""/>
    <s v=""/>
    <s v=""/>
    <m/>
    <m/>
    <s v=""/>
    <m/>
    <s v=""/>
    <m/>
    <s v=""/>
    <m/>
    <s v=""/>
    <m/>
    <s v=""/>
    <s v=""/>
    <s v=""/>
    <m/>
    <n v="18"/>
    <n v="1496.8421052631577"/>
    <m/>
    <m/>
    <n v="997.89473684210509"/>
  </r>
  <r>
    <n v="66"/>
    <s v="3.5.22"/>
    <s v="Comprehensive prevention programs for MSM"/>
    <s v="Behavioral interventions for MSM"/>
    <s v="The support of 4 projects based on NGOs for HIV preventive programme among MSM - the programme staff salaries."/>
    <x v="16"/>
    <x v="1"/>
    <n v="1.2"/>
    <s v="MSM NGO SR "/>
    <x v="1"/>
    <s v="Civil Society - Local Non-Governmental Organization"/>
    <s v="USD"/>
    <s v="Average payment per FTE (person) per quarter"/>
    <n v="1"/>
    <s v="KGS"/>
    <s v="Local"/>
    <n v="45283.792499999996"/>
    <n v="662.04374999999993"/>
    <n v="56"/>
    <n v="37074.449999999997"/>
    <n v="33270.201754385962"/>
    <n v="56"/>
    <n v="37074.449999999997"/>
    <n v="33270.201754385962"/>
    <m/>
    <s v=""/>
    <m/>
    <s v=""/>
    <n v="112"/>
    <n v="74148.899999999994"/>
    <n v="66540.403508771924"/>
    <m/>
    <s v=""/>
    <m/>
    <s v=""/>
    <m/>
    <s v=""/>
    <m/>
    <s v=""/>
    <m/>
    <s v=""/>
    <s v=""/>
    <s v=""/>
    <m/>
    <m/>
    <s v=""/>
    <m/>
    <s v=""/>
    <m/>
    <s v=""/>
    <m/>
    <s v=""/>
    <m/>
    <s v=""/>
    <s v=""/>
    <s v=""/>
    <m/>
    <m/>
    <s v=""/>
    <m/>
    <s v=""/>
    <m/>
    <s v=""/>
    <m/>
    <s v=""/>
    <m/>
    <s v=""/>
    <s v=""/>
    <s v=""/>
    <m/>
    <n v="112"/>
    <n v="74148.899999999994"/>
    <m/>
    <m/>
    <n v="7608.4964912280702"/>
  </r>
  <r>
    <n v="67"/>
    <s v="9.14.21"/>
    <s v="Program management"/>
    <s v="Grant management"/>
    <s v="The support of 4 projects based on NGOs for HIV preventive programme among MSM - the administrative staff salaries."/>
    <x v="17"/>
    <x v="1"/>
    <n v="1.1000000000000001"/>
    <s v="MSM NGO SR "/>
    <x v="1"/>
    <s v="Civil Society - Local Non-Governmental Organization"/>
    <s v="USD"/>
    <s v="Average gross salary per FTE (person) per quarter"/>
    <n v="1"/>
    <s v="KGS"/>
    <s v="Local"/>
    <n v="98043.277499999997"/>
    <n v="1433.3812499999999"/>
    <n v="8"/>
    <n v="11467.05"/>
    <n v="10869.280701754386"/>
    <n v="8"/>
    <n v="11467.05"/>
    <n v="10869.280701754386"/>
    <m/>
    <s v=""/>
    <m/>
    <s v=""/>
    <n v="16"/>
    <n v="22934.1"/>
    <n v="21738.561403508771"/>
    <m/>
    <s v=""/>
    <m/>
    <s v=""/>
    <m/>
    <s v=""/>
    <m/>
    <s v=""/>
    <m/>
    <s v=""/>
    <s v=""/>
    <s v=""/>
    <m/>
    <m/>
    <s v=""/>
    <m/>
    <s v=""/>
    <m/>
    <s v=""/>
    <m/>
    <s v=""/>
    <m/>
    <s v=""/>
    <s v=""/>
    <s v=""/>
    <m/>
    <m/>
    <s v=""/>
    <m/>
    <s v=""/>
    <m/>
    <s v=""/>
    <m/>
    <s v=""/>
    <m/>
    <s v=""/>
    <s v=""/>
    <s v=""/>
    <m/>
    <n v="16"/>
    <n v="22934.1"/>
    <m/>
    <m/>
    <n v="1195.5385964912275"/>
  </r>
  <r>
    <n v="68"/>
    <s v="9.14.23"/>
    <s v="Program management"/>
    <s v="Grant management"/>
    <s v="The support of 4 projects based on NGOs for HIV preventive programme among MSM - the office related costs."/>
    <x v="18"/>
    <x v="1"/>
    <n v="11.1"/>
    <s v="MSM NGO SR "/>
    <x v="1"/>
    <s v="Civil Society - Local Non-Governmental Organization"/>
    <s v="USD"/>
    <s v="Average office cost per office unit per quarter"/>
    <n v="11"/>
    <s v="KGS"/>
    <s v="Local"/>
    <n v="388197.89999999997"/>
    <n v="5675.4078947368407"/>
    <n v="2.2222222222222223"/>
    <n v="12612.017543859647"/>
    <n v="9835.4491228070165"/>
    <n v="2.2222222222222223"/>
    <n v="12612.017543859647"/>
    <n v="9835.4491228070165"/>
    <m/>
    <s v=""/>
    <m/>
    <s v=""/>
    <n v="4.4444444444444446"/>
    <n v="25224.035087719294"/>
    <n v="19670.898245614033"/>
    <m/>
    <s v=""/>
    <m/>
    <s v=""/>
    <m/>
    <s v=""/>
    <m/>
    <s v=""/>
    <m/>
    <s v=""/>
    <s v=""/>
    <s v=""/>
    <m/>
    <m/>
    <s v=""/>
    <m/>
    <s v=""/>
    <m/>
    <s v=""/>
    <m/>
    <s v=""/>
    <m/>
    <s v=""/>
    <s v=""/>
    <s v=""/>
    <m/>
    <m/>
    <s v=""/>
    <m/>
    <s v=""/>
    <m/>
    <s v=""/>
    <m/>
    <s v=""/>
    <m/>
    <s v=""/>
    <s v=""/>
    <s v=""/>
    <m/>
    <n v="4.4444444444444446"/>
    <n v="25224.035087719294"/>
    <m/>
    <m/>
    <n v="5553.1368421052612"/>
  </r>
  <r>
    <n v="69"/>
    <s v="3.5.24"/>
    <s v="Comprehensive prevention programs for MSM"/>
    <s v="Behavioral interventions for MSM"/>
    <s v="The social support of  clients in NGOs working with MSM (food, hygein goods, medicines, etc.). "/>
    <x v="24"/>
    <x v="1"/>
    <n v="12.5"/>
    <s v="MSM NGO SR "/>
    <x v="1"/>
    <s v="Civil Society - Local Non-Governmental Organization"/>
    <s v="USD"/>
    <s v="N/A"/>
    <n v="12"/>
    <s v="KGS"/>
    <s v="Local"/>
    <n v="63448.000000000007"/>
    <n v="927.60233918128654"/>
    <n v="2.3023105535241459"/>
    <n v="2135.6286549707602"/>
    <n v="1977.5219298245611"/>
    <n v="1.6976894464758543"/>
    <n v="1574.780701754386"/>
    <n v="1977.5219298245611"/>
    <m/>
    <s v=""/>
    <m/>
    <s v=""/>
    <n v="4"/>
    <n v="3710.4093567251462"/>
    <n v="3955.0438596491222"/>
    <m/>
    <s v=""/>
    <m/>
    <s v=""/>
    <m/>
    <s v=""/>
    <m/>
    <s v=""/>
    <m/>
    <s v=""/>
    <s v=""/>
    <s v=""/>
    <m/>
    <m/>
    <s v=""/>
    <m/>
    <s v=""/>
    <m/>
    <s v=""/>
    <m/>
    <s v=""/>
    <m/>
    <s v=""/>
    <s v=""/>
    <s v=""/>
    <m/>
    <m/>
    <s v=""/>
    <m/>
    <s v=""/>
    <m/>
    <s v=""/>
    <m/>
    <s v=""/>
    <m/>
    <s v=""/>
    <s v=""/>
    <s v=""/>
    <m/>
    <n v="4"/>
    <n v="3710.4093567251462"/>
    <m/>
    <m/>
    <n v="-244.63450292397602"/>
  </r>
  <r>
    <n v="70"/>
    <s v="2.4.17"/>
    <s v="Comprehensive prevention programs for sex workers and their clients"/>
    <s v="Behavioral interventions for sex workers"/>
    <s v="The support of 6 projects based on NGOs for HIV preventive programme among SWs - the programme staff salaries."/>
    <x v="16"/>
    <x v="1"/>
    <n v="1.2"/>
    <s v="SW NGO SR"/>
    <x v="1"/>
    <s v="Civil Society - Local Non-Governmental Organization"/>
    <s v="USD"/>
    <s v="Average payment per FTE (person) per quarter"/>
    <n v="1"/>
    <s v="KGS"/>
    <s v="Local"/>
    <n v="54182.4444"/>
    <n v="792.14099999999996"/>
    <n v="50"/>
    <n v="39607.049999999996"/>
    <n v="33413.781578947361"/>
    <n v="50"/>
    <n v="39607.049999999996"/>
    <n v="33413.781578947361"/>
    <m/>
    <s v=""/>
    <m/>
    <s v=""/>
    <n v="100"/>
    <n v="79214.099999999991"/>
    <n v="66827.563157894721"/>
    <m/>
    <s v=""/>
    <m/>
    <s v=""/>
    <m/>
    <s v=""/>
    <m/>
    <s v=""/>
    <m/>
    <s v=""/>
    <s v=""/>
    <s v=""/>
    <m/>
    <m/>
    <s v=""/>
    <m/>
    <s v=""/>
    <m/>
    <s v=""/>
    <m/>
    <s v=""/>
    <m/>
    <s v=""/>
    <s v=""/>
    <s v=""/>
    <m/>
    <m/>
    <s v=""/>
    <m/>
    <s v=""/>
    <m/>
    <s v=""/>
    <m/>
    <s v=""/>
    <m/>
    <s v=""/>
    <s v=""/>
    <s v=""/>
    <m/>
    <n v="100"/>
    <n v="79214.099999999991"/>
    <m/>
    <m/>
    <n v="12386.53684210527"/>
  </r>
  <r>
    <n v="71"/>
    <s v="9.14.16"/>
    <s v="Program management"/>
    <s v="Grant management"/>
    <s v="The support of 6 projects based on NGOs for HIV preventive programme among SWs - the administrative staff salaries."/>
    <x v="17"/>
    <x v="1"/>
    <n v="1.1000000000000001"/>
    <s v="SW NGO SR"/>
    <x v="1"/>
    <s v="Civil Society - Local Non-Governmental Organization"/>
    <s v="USD"/>
    <s v="Average gross salary per FTE (person) per quarter"/>
    <n v="1"/>
    <s v="KGS"/>
    <s v="Local"/>
    <n v="88619.895000000004"/>
    <n v="1295.6125"/>
    <n v="12"/>
    <n v="15547.349999999999"/>
    <n v="15429.688596491229"/>
    <n v="12"/>
    <n v="15547.349999999999"/>
    <n v="15429.688596491229"/>
    <m/>
    <s v=""/>
    <m/>
    <s v=""/>
    <n v="24"/>
    <n v="31094.699999999997"/>
    <n v="30859.377192982458"/>
    <m/>
    <s v=""/>
    <m/>
    <s v=""/>
    <m/>
    <s v=""/>
    <m/>
    <s v=""/>
    <m/>
    <s v=""/>
    <s v=""/>
    <s v=""/>
    <m/>
    <m/>
    <s v=""/>
    <m/>
    <s v=""/>
    <m/>
    <s v=""/>
    <m/>
    <s v=""/>
    <m/>
    <s v=""/>
    <s v=""/>
    <s v=""/>
    <m/>
    <m/>
    <s v=""/>
    <m/>
    <s v=""/>
    <m/>
    <s v=""/>
    <m/>
    <s v=""/>
    <m/>
    <s v=""/>
    <s v=""/>
    <s v=""/>
    <m/>
    <n v="24"/>
    <n v="31094.699999999997"/>
    <m/>
    <m/>
    <n v="235.32280701753916"/>
  </r>
  <r>
    <n v="72"/>
    <s v="9.14.18"/>
    <s v="Program management"/>
    <s v="Grant management"/>
    <s v="The support of 6 projects based on NGOs for HIV preventive programme among SWs - the office related costs."/>
    <x v="18"/>
    <x v="1"/>
    <n v="11.1"/>
    <s v="SW NGO SR"/>
    <x v="1"/>
    <s v="Civil Society - Local Non-Governmental Organization"/>
    <s v="USD"/>
    <s v="Average office cost per office unit per quarter"/>
    <n v="11"/>
    <s v="KGS"/>
    <s v="Local"/>
    <n v="232037.09999999998"/>
    <n v="3392.3552631578941"/>
    <n v="3.3333333333333335"/>
    <n v="11307.850877192981"/>
    <n v="9471.6228070175421"/>
    <n v="3.3333333333333335"/>
    <n v="11307.850877192981"/>
    <n v="9471.6228070175421"/>
    <m/>
    <s v=""/>
    <m/>
    <s v=""/>
    <n v="6.666666666666667"/>
    <n v="22615.701754385962"/>
    <n v="18943.245614035084"/>
    <m/>
    <s v=""/>
    <m/>
    <s v=""/>
    <m/>
    <s v=""/>
    <m/>
    <s v=""/>
    <m/>
    <s v=""/>
    <s v=""/>
    <s v=""/>
    <m/>
    <m/>
    <s v=""/>
    <m/>
    <s v=""/>
    <m/>
    <s v=""/>
    <m/>
    <s v=""/>
    <m/>
    <s v=""/>
    <s v=""/>
    <s v=""/>
    <m/>
    <m/>
    <s v=""/>
    <m/>
    <s v=""/>
    <m/>
    <s v=""/>
    <m/>
    <s v=""/>
    <m/>
    <s v=""/>
    <s v=""/>
    <s v=""/>
    <m/>
    <n v="6.666666666666667"/>
    <n v="22615.701754385962"/>
    <m/>
    <m/>
    <n v="3672.4561403508778"/>
  </r>
  <r>
    <n v="73"/>
    <s v="2.4.19"/>
    <s v="Comprehensive prevention programs for sex workers and their clients"/>
    <s v="Behavioral interventions for sex workers"/>
    <s v="The social support of  clients in NGOs working with SWs (food, hygein goods, medicines, etc.). "/>
    <x v="24"/>
    <x v="1"/>
    <n v="12.5"/>
    <s v="SW NGO SR"/>
    <x v="1"/>
    <s v="Civil Society - Local Non-Governmental Organization"/>
    <s v="USD"/>
    <s v="N/A"/>
    <n v="12"/>
    <s v="KGS"/>
    <s v="Local"/>
    <n v="45483"/>
    <n v="664.95614035087715"/>
    <n v="2"/>
    <n v="1329.9122807017543"/>
    <n v="0"/>
    <n v="2"/>
    <n v="1329.9122807017543"/>
    <n v="0"/>
    <m/>
    <s v=""/>
    <m/>
    <s v=""/>
    <n v="4"/>
    <n v="2659.8245614035086"/>
    <n v="0"/>
    <m/>
    <s v=""/>
    <m/>
    <s v=""/>
    <m/>
    <s v=""/>
    <m/>
    <s v=""/>
    <m/>
    <s v=""/>
    <s v=""/>
    <s v=""/>
    <m/>
    <m/>
    <s v=""/>
    <m/>
    <s v=""/>
    <m/>
    <s v=""/>
    <m/>
    <s v=""/>
    <m/>
    <s v=""/>
    <s v=""/>
    <s v=""/>
    <m/>
    <m/>
    <s v=""/>
    <m/>
    <s v=""/>
    <m/>
    <s v=""/>
    <m/>
    <s v=""/>
    <m/>
    <s v=""/>
    <s v=""/>
    <s v=""/>
    <m/>
    <n v="4"/>
    <n v="2659.8245614035086"/>
    <m/>
    <m/>
    <n v="2659.8245614035086"/>
  </r>
  <r>
    <n v="74"/>
    <s v="4.6.26"/>
    <s v="Comprehensive programs for people in prisons and other closed settings"/>
    <s v="Behavioral interventions for people in prisons and other closed settings"/>
    <s v="The support of 13 NSP points in prisons  thoughout the country - the programme staff salaries."/>
    <x v="16"/>
    <x v="1"/>
    <n v="1.2"/>
    <s v="RCN  (Republican Center of Narcology)"/>
    <x v="1"/>
    <s v="Government - Other"/>
    <s v="USD"/>
    <s v="Average payment per FTE (person) per quarter"/>
    <n v="1"/>
    <s v="KGS"/>
    <s v="Local"/>
    <n v="17339.516250000001"/>
    <n v="253.50169956140348"/>
    <n v="26"/>
    <n v="6591.0441885964901"/>
    <n v="4560.9221491228072"/>
    <n v="26"/>
    <n v="6591.0441885964901"/>
    <n v="4560.9221491228072"/>
    <m/>
    <s v=""/>
    <m/>
    <s v=""/>
    <n v="52"/>
    <n v="13182.08837719298"/>
    <n v="9121.8442982456145"/>
    <m/>
    <s v=""/>
    <m/>
    <s v=""/>
    <m/>
    <s v=""/>
    <m/>
    <s v=""/>
    <m/>
    <s v=""/>
    <s v=""/>
    <s v=""/>
    <m/>
    <m/>
    <s v=""/>
    <m/>
    <s v=""/>
    <m/>
    <s v=""/>
    <m/>
    <s v=""/>
    <m/>
    <s v=""/>
    <s v=""/>
    <s v=""/>
    <m/>
    <m/>
    <s v=""/>
    <m/>
    <s v=""/>
    <m/>
    <s v=""/>
    <m/>
    <s v=""/>
    <m/>
    <s v=""/>
    <s v=""/>
    <s v=""/>
    <m/>
    <n v="52"/>
    <n v="13182.08837719298"/>
    <m/>
    <m/>
    <n v="4060.2440789473658"/>
  </r>
  <r>
    <n v="75"/>
    <s v="9.14.29"/>
    <s v="Program management"/>
    <s v="Grant management"/>
    <s v="The support of 13 NSP points in prisons  thoughout the country - office related costs."/>
    <x v="18"/>
    <x v="1"/>
    <n v="11.1"/>
    <s v="RCN  (Republican Center of Narcology)"/>
    <x v="1"/>
    <s v="Government - Other"/>
    <s v="USD"/>
    <s v="Average office cost per office unit per quarter"/>
    <n v="11"/>
    <s v="KGS"/>
    <s v="Local"/>
    <n v="40957.500000000007"/>
    <n v="598.79385964912285"/>
    <n v="2"/>
    <n v="1197.5877192982457"/>
    <n v="1264.1228070175437"/>
    <n v="2"/>
    <n v="1197.5877192982457"/>
    <n v="1264.1228070175437"/>
    <m/>
    <s v=""/>
    <m/>
    <s v=""/>
    <n v="4"/>
    <n v="2395.1754385964914"/>
    <n v="2528.2456140350873"/>
    <m/>
    <s v=""/>
    <m/>
    <s v=""/>
    <m/>
    <s v=""/>
    <m/>
    <s v=""/>
    <m/>
    <s v=""/>
    <s v=""/>
    <s v=""/>
    <m/>
    <m/>
    <s v=""/>
    <m/>
    <s v=""/>
    <m/>
    <s v=""/>
    <m/>
    <s v=""/>
    <m/>
    <s v=""/>
    <s v=""/>
    <s v=""/>
    <m/>
    <m/>
    <s v=""/>
    <m/>
    <s v=""/>
    <m/>
    <s v=""/>
    <m/>
    <s v=""/>
    <m/>
    <s v=""/>
    <s v=""/>
    <s v=""/>
    <m/>
    <n v="4"/>
    <n v="2395.1754385964914"/>
    <m/>
    <m/>
    <n v="-133.07017543859592"/>
  </r>
  <r>
    <n v="76"/>
    <s v="4.6.27"/>
    <s v="Comprehensive programs for people in prisons and other closed settings"/>
    <s v="Behavioral interventions for people in prisons and other closed settings"/>
    <s v="The support of 13 NEP points in prisons  thoughout the country - costs for M&amp;E visits for project staff "/>
    <x v="23"/>
    <x v="1"/>
    <n v="2.2999999999999998"/>
    <s v="RCN  (Republican Center of Narcology)"/>
    <x v="1"/>
    <s v="Government - Other"/>
    <s v="USD"/>
    <s v="Average cost of subsistence per person per day"/>
    <n v="2"/>
    <s v="KGS"/>
    <s v="Local"/>
    <n v="5688"/>
    <n v="83.157894736842096"/>
    <n v="2"/>
    <n v="166.31578947368419"/>
    <n v="166.31578947368419"/>
    <n v="2"/>
    <n v="166.31578947368419"/>
    <n v="166.31578947368419"/>
    <m/>
    <s v=""/>
    <m/>
    <s v=""/>
    <n v="4"/>
    <n v="332.63157894736838"/>
    <n v="332.63157894736838"/>
    <m/>
    <s v=""/>
    <m/>
    <s v=""/>
    <m/>
    <s v=""/>
    <m/>
    <s v=""/>
    <m/>
    <s v=""/>
    <s v=""/>
    <s v=""/>
    <m/>
    <m/>
    <s v=""/>
    <m/>
    <s v=""/>
    <m/>
    <s v=""/>
    <m/>
    <s v=""/>
    <m/>
    <s v=""/>
    <s v=""/>
    <s v=""/>
    <m/>
    <m/>
    <s v=""/>
    <m/>
    <s v=""/>
    <m/>
    <s v=""/>
    <m/>
    <s v=""/>
    <m/>
    <s v=""/>
    <s v=""/>
    <s v=""/>
    <m/>
    <n v="4"/>
    <n v="332.63157894736838"/>
    <m/>
    <m/>
    <n v="0"/>
  </r>
  <r>
    <n v="77"/>
    <s v="4.6.28"/>
    <s v="Comprehensive programs for people in prisons and other closed settings"/>
    <s v="Behavioral interventions for people in prisons and other closed settings"/>
    <s v="The support of management of 15 NSP points in 12 prisons  thoughout the country - the coordinator salaries."/>
    <x v="25"/>
    <x v="1"/>
    <n v="3.1"/>
    <s v="RCN  (Republican Center of Narcology)"/>
    <x v="1"/>
    <s v="Government - Other"/>
    <s v="USD"/>
    <s v="Consultant fee per person per workday"/>
    <n v="3"/>
    <s v="KGS"/>
    <s v="Local"/>
    <n v="35984.025000000001"/>
    <n v="526.0822368421052"/>
    <n v="2"/>
    <n v="1052.1644736842104"/>
    <n v="2883.4243421052629"/>
    <n v="2"/>
    <n v="1052.1644736842104"/>
    <n v="2883.4243421052629"/>
    <m/>
    <s v=""/>
    <m/>
    <s v=""/>
    <n v="4"/>
    <n v="2104.3289473684208"/>
    <n v="5766.8486842105258"/>
    <m/>
    <s v=""/>
    <m/>
    <s v=""/>
    <m/>
    <s v=""/>
    <m/>
    <s v=""/>
    <m/>
    <s v=""/>
    <s v=""/>
    <s v=""/>
    <m/>
    <m/>
    <s v=""/>
    <m/>
    <s v=""/>
    <m/>
    <s v=""/>
    <m/>
    <s v=""/>
    <m/>
    <s v=""/>
    <s v=""/>
    <s v=""/>
    <m/>
    <m/>
    <s v=""/>
    <m/>
    <s v=""/>
    <m/>
    <s v=""/>
    <m/>
    <s v=""/>
    <m/>
    <s v=""/>
    <s v=""/>
    <s v=""/>
    <m/>
    <n v="4"/>
    <n v="2104.3289473684208"/>
    <m/>
    <m/>
    <n v="-3662.519736842105"/>
  </r>
  <r>
    <n v="78"/>
    <s v="6.10.43"/>
    <s v="RSSH: Community responses and systems"/>
    <s v="Institutional capacity building, planning and leadership development"/>
    <s v="The support of National Networks working witn PLHIV, PWID and SWS/MSM thoughout the country - the programme staff salaries."/>
    <x v="16"/>
    <x v="1"/>
    <n v="1.2"/>
    <s v="Networks NGO SRs"/>
    <x v="1"/>
    <s v="Civil Society - Local Non-Governmental Organization"/>
    <s v="USD"/>
    <s v="Average payment per FTE (person) per quarter"/>
    <n v="1"/>
    <s v="KGS"/>
    <s v="Local"/>
    <n v="70535.645833333328"/>
    <n v="1031.2228923001949"/>
    <n v="6"/>
    <n v="6187.3373538011692"/>
    <n v="4628.28947368421"/>
    <n v="6"/>
    <n v="6187.3373538011692"/>
    <n v="4628.28947368421"/>
    <m/>
    <s v=""/>
    <m/>
    <s v=""/>
    <n v="12"/>
    <n v="12374.674707602338"/>
    <n v="9256.5789473684199"/>
    <m/>
    <s v=""/>
    <m/>
    <s v=""/>
    <m/>
    <s v=""/>
    <m/>
    <s v=""/>
    <m/>
    <s v=""/>
    <s v=""/>
    <s v=""/>
    <m/>
    <m/>
    <s v=""/>
    <m/>
    <s v=""/>
    <m/>
    <s v=""/>
    <m/>
    <s v=""/>
    <m/>
    <s v=""/>
    <s v=""/>
    <s v=""/>
    <m/>
    <m/>
    <s v=""/>
    <m/>
    <s v=""/>
    <m/>
    <s v=""/>
    <m/>
    <s v=""/>
    <m/>
    <s v=""/>
    <s v=""/>
    <s v=""/>
    <m/>
    <n v="12"/>
    <n v="12374.674707602338"/>
    <m/>
    <m/>
    <n v="3118.0957602339186"/>
  </r>
  <r>
    <n v="79"/>
    <s v="6.10.163"/>
    <s v="RSSH: Community responses and systems"/>
    <s v="Institutional capacity building, planning and leadership development"/>
    <s v="The support of National Networks working witn PLHIV, PWID and SWS/MSM thoughout the country - TRC related to M&amp;E visits"/>
    <x v="23"/>
    <x v="1"/>
    <n v="2.2999999999999998"/>
    <s v="Networks NGO SRs"/>
    <x v="1"/>
    <s v="Civil Society - Local Non-Governmental Organization"/>
    <s v="USD"/>
    <s v="Average cost of subsistence per person per day"/>
    <n v="2"/>
    <s v="KGS"/>
    <s v="Local"/>
    <n v="22937.75"/>
    <n v="335.34722222222217"/>
    <n v="2"/>
    <n v="670.69444444444434"/>
    <n v="745.61403508771923"/>
    <n v="2"/>
    <n v="670.69444444444434"/>
    <n v="745.61403508771923"/>
    <m/>
    <s v=""/>
    <m/>
    <s v=""/>
    <n v="4"/>
    <n v="1341.3888888888887"/>
    <n v="1491.2280701754385"/>
    <m/>
    <s v=""/>
    <m/>
    <s v=""/>
    <m/>
    <s v=""/>
    <m/>
    <s v=""/>
    <m/>
    <s v=""/>
    <s v=""/>
    <s v=""/>
    <m/>
    <m/>
    <s v=""/>
    <m/>
    <s v=""/>
    <m/>
    <s v=""/>
    <m/>
    <s v=""/>
    <m/>
    <s v=""/>
    <s v=""/>
    <s v=""/>
    <m/>
    <m/>
    <s v=""/>
    <m/>
    <s v=""/>
    <m/>
    <s v=""/>
    <m/>
    <s v=""/>
    <m/>
    <s v=""/>
    <s v=""/>
    <s v=""/>
    <m/>
    <n v="4"/>
    <n v="1341.3888888888887"/>
    <m/>
    <m/>
    <n v="-149.83918128654977"/>
  </r>
  <r>
    <n v="80"/>
    <s v="6.10.184"/>
    <s v="RSSH: Community responses and systems"/>
    <s v="Institutional capacity building, planning and leadership development"/>
    <s v="The support of National Networks working witn PLHIV, PWID and SWS/MSM thoughout the country - Quarterly meetings with partners"/>
    <x v="26"/>
    <x v="1"/>
    <n v="2.4"/>
    <s v="Networks NGO SRs"/>
    <x v="1"/>
    <s v="Civil Society - Local Non-Governmental Organization"/>
    <s v="USD"/>
    <s v="Average cost of event per participant per day"/>
    <n v="2"/>
    <s v="KGS"/>
    <s v="Local"/>
    <n v="22250"/>
    <n v="325.29239766081866"/>
    <n v="2"/>
    <n v="650.58479532163733"/>
    <n v="175.43859649122805"/>
    <n v="2"/>
    <n v="650.58479532163733"/>
    <n v="175.43859649122805"/>
    <m/>
    <s v=""/>
    <m/>
    <s v=""/>
    <n v="4"/>
    <n v="1301.1695906432747"/>
    <n v="350.87719298245611"/>
    <m/>
    <s v=""/>
    <m/>
    <s v=""/>
    <m/>
    <s v=""/>
    <m/>
    <s v=""/>
    <m/>
    <s v=""/>
    <s v=""/>
    <s v=""/>
    <m/>
    <m/>
    <s v=""/>
    <m/>
    <s v=""/>
    <m/>
    <s v=""/>
    <m/>
    <s v=""/>
    <m/>
    <s v=""/>
    <s v=""/>
    <s v=""/>
    <m/>
    <m/>
    <s v=""/>
    <m/>
    <s v=""/>
    <m/>
    <s v=""/>
    <m/>
    <s v=""/>
    <m/>
    <s v=""/>
    <s v=""/>
    <s v=""/>
    <m/>
    <n v="4"/>
    <n v="1301.1695906432747"/>
    <m/>
    <m/>
    <n v="950.29239766081855"/>
  </r>
  <r>
    <n v="81"/>
    <m/>
    <s v="RSSH: Community responses and systems"/>
    <s v="Institutional capacity building, planning and leadership development"/>
    <s v="The support of National Networks working witn PLHIV, PWID and SWS/MSM thoughout the country - Technical Assistance of the working group on health issues in prisons "/>
    <x v="25"/>
    <x v="1"/>
    <n v="3.1"/>
    <s v="Networks NGO SRs"/>
    <x v="1"/>
    <s v="Civil Society - Local Non-Governmental Organization"/>
    <s v="USD"/>
    <s v="Consultant fee per person per workday"/>
    <n v="3"/>
    <s v="KGS"/>
    <s v="Local"/>
    <n v="36089.550000000003"/>
    <n v="527.625"/>
    <n v="5"/>
    <n v="2638.125"/>
    <n v="0"/>
    <n v="5"/>
    <n v="2638.125"/>
    <n v="0"/>
    <m/>
    <s v=""/>
    <m/>
    <s v=""/>
    <n v="10"/>
    <n v="5276.25"/>
    <n v="0"/>
    <m/>
    <s v=""/>
    <m/>
    <s v=""/>
    <m/>
    <s v=""/>
    <m/>
    <s v=""/>
    <m/>
    <s v=""/>
    <s v=""/>
    <s v=""/>
    <m/>
    <m/>
    <s v=""/>
    <m/>
    <s v=""/>
    <m/>
    <s v=""/>
    <m/>
    <s v=""/>
    <m/>
    <s v=""/>
    <s v=""/>
    <s v=""/>
    <m/>
    <m/>
    <s v=""/>
    <m/>
    <s v=""/>
    <m/>
    <s v=""/>
    <m/>
    <s v=""/>
    <m/>
    <s v=""/>
    <s v=""/>
    <s v=""/>
    <m/>
    <n v="10"/>
    <n v="5276.25"/>
    <m/>
    <m/>
    <n v="5276.25"/>
  </r>
  <r>
    <n v="82"/>
    <s v="9.14.42"/>
    <s v="Program management"/>
    <s v="Grant management"/>
    <s v="The support of National Networks working witn PLHIV, PWID and SWS/MSM thoughout the country - the administrative staff salaries."/>
    <x v="17"/>
    <x v="1"/>
    <n v="1.1000000000000001"/>
    <s v="Networks NGO SRs"/>
    <x v="1"/>
    <s v="Civil Society - Local Non-Governmental Organization"/>
    <s v="USD"/>
    <s v="Average gross salary per FTE (person) per quarter"/>
    <n v="1"/>
    <s v="KGS"/>
    <s v="Local"/>
    <n v="81802.98000000001"/>
    <n v="1195.95"/>
    <n v="2"/>
    <n v="2391.9"/>
    <n v="2314.144736842105"/>
    <n v="2"/>
    <n v="2391.9"/>
    <n v="2314.144736842105"/>
    <m/>
    <s v=""/>
    <m/>
    <s v=""/>
    <n v="4"/>
    <n v="4783.8"/>
    <n v="4628.28947368421"/>
    <m/>
    <s v=""/>
    <m/>
    <s v=""/>
    <m/>
    <s v=""/>
    <m/>
    <s v=""/>
    <m/>
    <s v=""/>
    <s v=""/>
    <s v=""/>
    <m/>
    <m/>
    <s v=""/>
    <m/>
    <s v=""/>
    <m/>
    <s v=""/>
    <m/>
    <s v=""/>
    <m/>
    <s v=""/>
    <s v=""/>
    <s v=""/>
    <m/>
    <m/>
    <s v=""/>
    <m/>
    <s v=""/>
    <m/>
    <s v=""/>
    <m/>
    <s v=""/>
    <m/>
    <s v=""/>
    <s v=""/>
    <s v=""/>
    <m/>
    <n v="4"/>
    <n v="4783.8"/>
    <m/>
    <m/>
    <n v="155.51052631579023"/>
  </r>
  <r>
    <n v="83"/>
    <s v="9.14.44"/>
    <s v="Program management"/>
    <s v="Grant management"/>
    <s v="The support of National Networks working witn PLHIV, PWID and SWS/MSM thoughout the country - the office related costs."/>
    <x v="18"/>
    <x v="1"/>
    <n v="11.1"/>
    <s v="Networks NGO SRs"/>
    <x v="1"/>
    <s v="Civil Society - Local Non-Governmental Organization"/>
    <s v="USD"/>
    <s v="Average office cost per office unit per quarter"/>
    <n v="11"/>
    <s v="KGS"/>
    <s v="Local"/>
    <n v="108384"/>
    <n v="1584.5614035087717"/>
    <n v="1"/>
    <n v="1584.5614035087717"/>
    <n v="956.14035087719287"/>
    <n v="1"/>
    <n v="1584.5614035087717"/>
    <n v="956.14035087719287"/>
    <m/>
    <s v=""/>
    <m/>
    <s v=""/>
    <n v="2"/>
    <n v="3169.1228070175434"/>
    <n v="1912.2807017543857"/>
    <m/>
    <s v=""/>
    <m/>
    <s v=""/>
    <m/>
    <s v=""/>
    <m/>
    <s v=""/>
    <m/>
    <s v=""/>
    <s v=""/>
    <s v=""/>
    <m/>
    <m/>
    <s v=""/>
    <m/>
    <s v=""/>
    <m/>
    <s v=""/>
    <m/>
    <s v=""/>
    <m/>
    <s v=""/>
    <s v=""/>
    <s v=""/>
    <m/>
    <m/>
    <s v=""/>
    <m/>
    <s v=""/>
    <m/>
    <s v=""/>
    <m/>
    <s v=""/>
    <m/>
    <s v=""/>
    <s v=""/>
    <s v=""/>
    <m/>
    <n v="2"/>
    <n v="3169.1228070175434"/>
    <m/>
    <m/>
    <n v="1256.8421052631577"/>
  </r>
  <r>
    <n v="84"/>
    <s v="7.11.45"/>
    <s v="Programs to reduce human rights-related barriers to HIV services"/>
    <s v="HIV and HIV/TB-related legal services"/>
    <s v="The support of the street lawyers project based on NGOs - the payment to outreach workers involved to the project. "/>
    <x v="16"/>
    <x v="1"/>
    <n v="1.2"/>
    <s v="SR TBD"/>
    <x v="1"/>
    <s v="Civil Society - Local Non-Governmental Organization"/>
    <s v="USD"/>
    <s v="Average payment per FTE (person) per quarter"/>
    <n v="1"/>
    <s v="KGS"/>
    <s v="Local"/>
    <n v="21986.133749999997"/>
    <n v="321.43470394736835"/>
    <n v="32"/>
    <n v="10285.910526315787"/>
    <n v="0"/>
    <n v="32"/>
    <n v="10285.910526315787"/>
    <n v="10285.910526315787"/>
    <m/>
    <s v=""/>
    <m/>
    <s v=""/>
    <n v="64"/>
    <n v="20571.821052631574"/>
    <n v="10285.910526315787"/>
    <m/>
    <s v=""/>
    <m/>
    <s v=""/>
    <m/>
    <s v=""/>
    <m/>
    <s v=""/>
    <m/>
    <s v=""/>
    <s v=""/>
    <s v=""/>
    <m/>
    <m/>
    <s v=""/>
    <m/>
    <s v=""/>
    <m/>
    <s v=""/>
    <m/>
    <s v=""/>
    <m/>
    <s v=""/>
    <s v=""/>
    <s v=""/>
    <m/>
    <m/>
    <s v=""/>
    <m/>
    <s v=""/>
    <m/>
    <s v=""/>
    <m/>
    <s v=""/>
    <m/>
    <s v=""/>
    <s v=""/>
    <s v=""/>
    <m/>
    <n v="64"/>
    <n v="20571.821052631574"/>
    <m/>
    <m/>
    <n v="10285.910526315787"/>
  </r>
  <r>
    <n v="85"/>
    <s v="7.11.47"/>
    <s v="Programs to reduce human rights-related barriers to HIV services"/>
    <s v="HIV and HIV/TB-related legal services"/>
    <s v="The support of the street lawers project based on NGOs - the payment to the law company (lawyers) for the consultations. "/>
    <x v="22"/>
    <x v="1"/>
    <n v="3.4"/>
    <s v="SR TBD"/>
    <x v="1"/>
    <s v="Civil Society - Local Non-Governmental Organization"/>
    <s v="USD"/>
    <s v="N/A"/>
    <n v="3"/>
    <s v="KGS"/>
    <s v="Local"/>
    <n v="875016.26250000007"/>
    <n v="12792.635416666666"/>
    <n v="1"/>
    <n v="12792.635416666666"/>
    <n v="0"/>
    <n v="1"/>
    <n v="12792.635416666666"/>
    <n v="10921.052631578947"/>
    <m/>
    <s v=""/>
    <m/>
    <s v=""/>
    <n v="2"/>
    <n v="25585.270833333332"/>
    <n v="10921.052631578947"/>
    <m/>
    <s v=""/>
    <m/>
    <s v=""/>
    <m/>
    <s v=""/>
    <m/>
    <s v=""/>
    <m/>
    <s v=""/>
    <s v=""/>
    <s v=""/>
    <m/>
    <m/>
    <s v=""/>
    <m/>
    <s v=""/>
    <m/>
    <s v=""/>
    <m/>
    <s v=""/>
    <m/>
    <s v=""/>
    <s v=""/>
    <s v=""/>
    <m/>
    <m/>
    <s v=""/>
    <m/>
    <s v=""/>
    <m/>
    <s v=""/>
    <m/>
    <s v=""/>
    <m/>
    <s v=""/>
    <s v=""/>
    <s v=""/>
    <m/>
    <n v="2"/>
    <n v="25585.270833333332"/>
    <m/>
    <m/>
    <n v="14664.218201754386"/>
  </r>
  <r>
    <n v="86"/>
    <s v="7.11.46"/>
    <s v="Programs to reduce human rights-related barriers to HIV services"/>
    <s v="HIV and HIV/TB-related legal services"/>
    <s v="The support of the trainngs for outreach workers and regular work  meetings with the consultants within the street lawyers project. Trainings\Work meetings for street lawyers (1 per quarter)"/>
    <x v="26"/>
    <x v="1"/>
    <n v="2.4"/>
    <s v="SR TBD"/>
    <x v="1"/>
    <s v="Civil Society - Local Non-Governmental Organization"/>
    <s v="USD"/>
    <s v="Average cost of event per participant per day"/>
    <n v="2"/>
    <s v="KGS"/>
    <s v="Local"/>
    <n v="5886.96"/>
    <n v="86.066666666666663"/>
    <n v="98.388845855925638"/>
    <n v="8468"/>
    <n v="0"/>
    <n v="141.61115414407436"/>
    <n v="12188"/>
    <n v="507.67543859649118"/>
    <m/>
    <s v=""/>
    <m/>
    <s v=""/>
    <n v="240"/>
    <n v="20656"/>
    <n v="507.67543859649118"/>
    <m/>
    <s v=""/>
    <m/>
    <s v=""/>
    <m/>
    <s v=""/>
    <m/>
    <s v=""/>
    <m/>
    <s v=""/>
    <s v=""/>
    <s v=""/>
    <m/>
    <m/>
    <s v=""/>
    <m/>
    <s v=""/>
    <m/>
    <s v=""/>
    <m/>
    <s v=""/>
    <m/>
    <s v=""/>
    <s v=""/>
    <s v=""/>
    <m/>
    <m/>
    <s v=""/>
    <m/>
    <s v=""/>
    <m/>
    <s v=""/>
    <m/>
    <s v=""/>
    <m/>
    <s v=""/>
    <s v=""/>
    <s v=""/>
    <m/>
    <n v="240"/>
    <n v="20656"/>
    <m/>
    <m/>
    <n v="20148.324561403508"/>
  </r>
  <r>
    <n v="87"/>
    <s v="5.8.39"/>
    <s v="Treatment, care and support"/>
    <s v="Treatment adherence"/>
    <s v="The support of verification annd payment of the incentives  to PLHIV adherenced to ART - the involved staff salaries. "/>
    <x v="19"/>
    <x v="1"/>
    <n v="1.3"/>
    <s v="AIDS Centers"/>
    <x v="1"/>
    <s v="Government - Other"/>
    <s v="USD"/>
    <s v="Average payment per FTE (person) per quarter"/>
    <n v="1"/>
    <s v="KGS"/>
    <s v="Local"/>
    <n v="28526.924999999996"/>
    <n v="417.06030701754378"/>
    <n v="4"/>
    <n v="1668.2412280701751"/>
    <n v="888.63157894736833"/>
    <n v="4"/>
    <n v="1668.2412280701751"/>
    <n v="888.63157894736833"/>
    <m/>
    <s v=""/>
    <m/>
    <s v=""/>
    <n v="8"/>
    <n v="3336.4824561403502"/>
    <n v="1777.2631578947367"/>
    <m/>
    <s v=""/>
    <m/>
    <s v=""/>
    <m/>
    <s v=""/>
    <m/>
    <s v=""/>
    <m/>
    <s v=""/>
    <s v=""/>
    <s v=""/>
    <m/>
    <m/>
    <s v=""/>
    <m/>
    <s v=""/>
    <m/>
    <s v=""/>
    <m/>
    <s v=""/>
    <m/>
    <s v=""/>
    <s v=""/>
    <s v=""/>
    <m/>
    <m/>
    <s v=""/>
    <m/>
    <s v=""/>
    <m/>
    <s v=""/>
    <m/>
    <s v=""/>
    <m/>
    <s v=""/>
    <s v=""/>
    <s v=""/>
    <m/>
    <n v="8"/>
    <n v="3336.4824561403502"/>
    <m/>
    <m/>
    <n v="1559.2192982456136"/>
  </r>
  <r>
    <n v="88"/>
    <s v="5.8.40"/>
    <s v="Treatment, care and support"/>
    <s v="Treatment adherence"/>
    <s v="The support of incentives to PLHIV adherenced to ART (monthly for 1166 clients per USD 8). "/>
    <x v="27"/>
    <x v="1"/>
    <n v="12.3"/>
    <s v="AIDS Centers"/>
    <x v="1"/>
    <s v="Government - Other"/>
    <s v="USD"/>
    <s v="Average amount of incentives per person per quarter"/>
    <n v="12"/>
    <s v="KGS"/>
    <s v="Local"/>
    <n v="1641.6000000000001"/>
    <n v="24"/>
    <n v="1166"/>
    <n v="27984"/>
    <n v="12280.701754385964"/>
    <n v="1166"/>
    <n v="27984"/>
    <n v="12280.701754385964"/>
    <m/>
    <s v=""/>
    <m/>
    <s v=""/>
    <n v="2332"/>
    <n v="55968"/>
    <n v="24561.403508771928"/>
    <m/>
    <s v=""/>
    <m/>
    <s v=""/>
    <m/>
    <s v=""/>
    <m/>
    <s v=""/>
    <m/>
    <s v=""/>
    <s v=""/>
    <s v=""/>
    <m/>
    <m/>
    <s v=""/>
    <m/>
    <s v=""/>
    <m/>
    <s v=""/>
    <m/>
    <s v=""/>
    <m/>
    <s v=""/>
    <s v=""/>
    <s v=""/>
    <m/>
    <m/>
    <s v=""/>
    <m/>
    <s v=""/>
    <m/>
    <s v=""/>
    <m/>
    <s v=""/>
    <m/>
    <s v=""/>
    <s v=""/>
    <s v=""/>
    <m/>
    <n v="2332"/>
    <n v="55968"/>
    <m/>
    <m/>
    <n v="31406.596491228072"/>
  </r>
  <r>
    <n v="89"/>
    <s v="5.9.31"/>
    <s v="Treatment, care and support"/>
    <s v="Counseling and psycho-social support"/>
    <s v="The support of 6 projects (2 Centres and 4 Services Points) on NGO basis for PLHIV thoughout the country - the programme staff salaries."/>
    <x v="16"/>
    <x v="1"/>
    <n v="1.2"/>
    <s v="PLHIV NGO SRs "/>
    <x v="1"/>
    <s v="Civil Society - Local Non-Governmental Organization"/>
    <s v="USD"/>
    <s v="Average payment per FTE (person) per quarter"/>
    <n v="1"/>
    <s v="KGS"/>
    <s v="Local"/>
    <n v="48537.829565217391"/>
    <n v="709.61739130434773"/>
    <n v="57.5"/>
    <n v="40802.999999999993"/>
    <n v="23861.403508771928"/>
    <n v="57.5"/>
    <n v="40802.999999999993"/>
    <n v="23861.403508771928"/>
    <m/>
    <s v=""/>
    <m/>
    <s v=""/>
    <n v="115"/>
    <n v="81605.999999999985"/>
    <n v="47722.807017543855"/>
    <m/>
    <s v=""/>
    <m/>
    <s v=""/>
    <m/>
    <s v=""/>
    <m/>
    <s v=""/>
    <m/>
    <s v=""/>
    <s v=""/>
    <s v=""/>
    <m/>
    <m/>
    <s v=""/>
    <m/>
    <s v=""/>
    <m/>
    <s v=""/>
    <m/>
    <s v=""/>
    <m/>
    <s v=""/>
    <s v=""/>
    <s v=""/>
    <m/>
    <m/>
    <s v=""/>
    <m/>
    <s v=""/>
    <m/>
    <s v=""/>
    <m/>
    <s v=""/>
    <m/>
    <s v=""/>
    <s v=""/>
    <s v=""/>
    <m/>
    <n v="115"/>
    <n v="81605.999999999985"/>
    <m/>
    <m/>
    <n v="33883.19298245613"/>
  </r>
  <r>
    <n v="90"/>
    <s v="5.9.32"/>
    <s v="Treatment, care and support"/>
    <s v="Counseling and psycho-social support"/>
    <s v="The support of the services for PLHIV in prisons thoughout the country - the medical staff salaries."/>
    <x v="19"/>
    <x v="1"/>
    <n v="1.3"/>
    <s v="AIDS Centers"/>
    <x v="1"/>
    <s v="Government - Other"/>
    <s v="USD"/>
    <s v="Average payment per FTE (person) per quarter"/>
    <n v="1"/>
    <s v="KGS"/>
    <s v="Local"/>
    <n v="20733.395666666671"/>
    <n v="303.1198196881092"/>
    <n v="15"/>
    <n v="4546.7972953216376"/>
    <n v="4130.3369517543852"/>
    <n v="15"/>
    <n v="4546.7972953216376"/>
    <n v="4130.3369517543852"/>
    <m/>
    <s v=""/>
    <m/>
    <s v=""/>
    <n v="30"/>
    <n v="9093.5945906432753"/>
    <n v="8260.6739035087703"/>
    <m/>
    <s v=""/>
    <m/>
    <s v=""/>
    <m/>
    <s v=""/>
    <m/>
    <s v=""/>
    <m/>
    <s v=""/>
    <s v=""/>
    <s v=""/>
    <m/>
    <m/>
    <s v=""/>
    <m/>
    <s v=""/>
    <m/>
    <s v=""/>
    <m/>
    <s v=""/>
    <m/>
    <s v=""/>
    <s v=""/>
    <s v=""/>
    <m/>
    <m/>
    <s v=""/>
    <m/>
    <s v=""/>
    <m/>
    <s v=""/>
    <m/>
    <s v=""/>
    <m/>
    <s v=""/>
    <s v=""/>
    <s v=""/>
    <m/>
    <n v="30"/>
    <n v="9093.5945906432753"/>
    <m/>
    <m/>
    <n v="832.92068713450499"/>
  </r>
  <r>
    <n v="91"/>
    <s v="5.9.33"/>
    <s v="Treatment, care and support"/>
    <s v="Counseling and psycho-social support"/>
    <s v="The support of the services for PLHIV in civil sector  thoughout the country in RC AIDS and regional AIDS centers, 76 Family Medicine Centers - the medical staff, peer and social workers salaries."/>
    <x v="19"/>
    <x v="1"/>
    <n v="1.3"/>
    <s v="AIDS Centers"/>
    <x v="1"/>
    <s v="Government - Other"/>
    <s v="USD"/>
    <s v="Average payment per FTE (person) per quarter"/>
    <n v="1"/>
    <s v="KGS"/>
    <s v="Local"/>
    <n v="8982.6216241529801"/>
    <n v="131.32487754609619"/>
    <n v="166"/>
    <n v="21799.929672651968"/>
    <n v="19018.237353389984"/>
    <n v="166"/>
    <n v="21799.929672651968"/>
    <n v="19018.237353389984"/>
    <m/>
    <s v=""/>
    <m/>
    <s v=""/>
    <n v="332"/>
    <n v="43599.859345303936"/>
    <n v="38036.474706779969"/>
    <m/>
    <s v=""/>
    <m/>
    <s v=""/>
    <m/>
    <s v=""/>
    <m/>
    <s v=""/>
    <m/>
    <s v=""/>
    <s v=""/>
    <s v=""/>
    <m/>
    <m/>
    <s v=""/>
    <m/>
    <s v=""/>
    <m/>
    <s v=""/>
    <m/>
    <s v=""/>
    <m/>
    <s v=""/>
    <s v=""/>
    <s v=""/>
    <m/>
    <m/>
    <s v=""/>
    <m/>
    <s v=""/>
    <m/>
    <s v=""/>
    <m/>
    <s v=""/>
    <m/>
    <s v=""/>
    <s v=""/>
    <s v=""/>
    <m/>
    <n v="332"/>
    <n v="43599.859345303936"/>
    <m/>
    <m/>
    <n v="5563.3846385239667"/>
  </r>
  <r>
    <n v="92"/>
    <m/>
    <s v="Treatment, care and support"/>
    <s v="Counseling and psycho-social support"/>
    <s v="Development and printing of new IEM for PLHIV program and Plastic cards for identification of PLHIV with barcodes"/>
    <x v="28"/>
    <x v="1"/>
    <n v="10.1"/>
    <s v="United Nations Development Programme"/>
    <x v="0"/>
    <s v="Multilateral – UNDP"/>
    <s v="USD"/>
    <s v="N/A"/>
    <n v="10"/>
    <s v="KGS"/>
    <s v="Local"/>
    <n v="68.400000000000006"/>
    <n v="1"/>
    <n v="300"/>
    <n v="300"/>
    <n v="300"/>
    <m/>
    <s v=""/>
    <n v="0"/>
    <m/>
    <s v=""/>
    <m/>
    <s v=""/>
    <n v="300"/>
    <n v="300"/>
    <n v="300"/>
    <m/>
    <s v=""/>
    <m/>
    <s v=""/>
    <m/>
    <s v=""/>
    <m/>
    <s v=""/>
    <m/>
    <s v=""/>
    <s v=""/>
    <s v=""/>
    <m/>
    <m/>
    <s v=""/>
    <m/>
    <s v=""/>
    <m/>
    <s v=""/>
    <m/>
    <s v=""/>
    <m/>
    <s v=""/>
    <s v=""/>
    <s v=""/>
    <m/>
    <m/>
    <s v=""/>
    <m/>
    <s v=""/>
    <m/>
    <s v=""/>
    <m/>
    <s v=""/>
    <m/>
    <s v=""/>
    <s v=""/>
    <s v=""/>
    <m/>
    <n v="300"/>
    <n v="300"/>
    <m/>
    <m/>
    <n v="0"/>
  </r>
  <r>
    <n v="93"/>
    <s v="5.9.75"/>
    <s v="Treatment, care and support"/>
    <s v="Counseling and psycho-social support"/>
    <s v="The support of 6 projects (2 Centres and 4 Services Points) on NGO basis for PLHIV thoughout the country - the social support to the clients (food and hygiene packages for clients, medicines, documents etc.)"/>
    <x v="20"/>
    <x v="1"/>
    <n v="12.2"/>
    <s v="PLHIV NGO SRs "/>
    <x v="1"/>
    <s v="Civil Society - Local Non-Governmental Organization"/>
    <s v="USD"/>
    <s v="Average cost of support package per person per quarter"/>
    <n v="12"/>
    <s v="KGS"/>
    <s v="Local"/>
    <n v="293400.00000000006"/>
    <n v="4289.4736842105267"/>
    <n v="1"/>
    <n v="4289.4736842105267"/>
    <n v="777.77777777777771"/>
    <n v="1"/>
    <n v="4289.4736842105267"/>
    <n v="263.15789473684208"/>
    <m/>
    <s v=""/>
    <m/>
    <s v=""/>
    <n v="2"/>
    <n v="8578.9473684210534"/>
    <n v="1040.9356725146199"/>
    <m/>
    <s v=""/>
    <m/>
    <s v=""/>
    <m/>
    <s v=""/>
    <m/>
    <s v=""/>
    <m/>
    <s v=""/>
    <s v=""/>
    <s v=""/>
    <m/>
    <m/>
    <s v=""/>
    <m/>
    <s v=""/>
    <m/>
    <s v=""/>
    <m/>
    <s v=""/>
    <m/>
    <s v=""/>
    <s v=""/>
    <s v=""/>
    <m/>
    <m/>
    <s v=""/>
    <m/>
    <s v=""/>
    <m/>
    <s v=""/>
    <m/>
    <s v=""/>
    <m/>
    <s v=""/>
    <s v=""/>
    <s v=""/>
    <m/>
    <n v="2"/>
    <n v="8578.9473684210534"/>
    <m/>
    <m/>
    <n v="7538.0116959064335"/>
  </r>
  <r>
    <n v="94"/>
    <s v="5.9.34"/>
    <s v="Treatment, care and support"/>
    <s v="Counseling and psycho-social support"/>
    <s v="Techincal support to AIDS program via National Consultant for the treatment, care and support of people living with HIV "/>
    <x v="25"/>
    <x v="1"/>
    <n v="3.1"/>
    <s v="AIDS Centers"/>
    <x v="1"/>
    <s v="Government - Other"/>
    <s v="USD"/>
    <s v="Consultant fee per person per workday"/>
    <n v="3"/>
    <s v="KGS"/>
    <s v="Local"/>
    <n v="189311.84999999998"/>
    <n v="2767.7171052631575"/>
    <n v="1"/>
    <n v="2767.7171052631575"/>
    <n v="2360.5263157894733"/>
    <n v="1"/>
    <n v="2767.7171052631575"/>
    <n v="2360.5263157894733"/>
    <m/>
    <s v=""/>
    <m/>
    <s v=""/>
    <n v="2"/>
    <n v="5535.4342105263149"/>
    <n v="4721.0526315789466"/>
    <m/>
    <s v=""/>
    <m/>
    <s v=""/>
    <m/>
    <s v=""/>
    <m/>
    <s v=""/>
    <m/>
    <s v=""/>
    <s v=""/>
    <s v=""/>
    <m/>
    <m/>
    <s v=""/>
    <m/>
    <s v=""/>
    <m/>
    <s v=""/>
    <m/>
    <s v=""/>
    <m/>
    <s v=""/>
    <s v=""/>
    <s v=""/>
    <m/>
    <m/>
    <s v=""/>
    <m/>
    <s v=""/>
    <m/>
    <s v=""/>
    <m/>
    <s v=""/>
    <m/>
    <s v=""/>
    <s v=""/>
    <s v=""/>
    <m/>
    <n v="2"/>
    <n v="5535.4342105263149"/>
    <m/>
    <m/>
    <n v="814.38157894736833"/>
  </r>
  <r>
    <n v="95"/>
    <s v="8.12.48"/>
    <s v="RSSH: Health management information systems and M&amp;E"/>
    <s v="Routine reporting"/>
    <s v="The support of the monitoring and evaluation measures to improve quality of programmes and interventions - the payment to specialists for quality control laboratory services."/>
    <x v="19"/>
    <x v="1"/>
    <n v="1.3"/>
    <s v="AIDS Centers"/>
    <x v="1"/>
    <s v="Government - Other"/>
    <s v="USD"/>
    <s v="Average payment per FTE (person) per quarter"/>
    <n v="1"/>
    <s v="KGS"/>
    <s v="Local"/>
    <n v="30233.352187499997"/>
    <n v="442.00807291666661"/>
    <n v="8"/>
    <n v="3536.0645833333328"/>
    <n v="1020.6921052631578"/>
    <n v="8"/>
    <n v="3536.0645833333328"/>
    <n v="1020.6921052631578"/>
    <m/>
    <s v=""/>
    <m/>
    <s v=""/>
    <n v="16"/>
    <n v="7072.1291666666657"/>
    <n v="2041.3842105263157"/>
    <m/>
    <s v=""/>
    <m/>
    <s v=""/>
    <m/>
    <s v=""/>
    <m/>
    <s v=""/>
    <m/>
    <s v=""/>
    <s v=""/>
    <s v=""/>
    <m/>
    <m/>
    <s v=""/>
    <m/>
    <s v=""/>
    <m/>
    <s v=""/>
    <m/>
    <s v=""/>
    <m/>
    <s v=""/>
    <s v=""/>
    <s v=""/>
    <m/>
    <m/>
    <s v=""/>
    <m/>
    <s v=""/>
    <m/>
    <s v=""/>
    <m/>
    <s v=""/>
    <m/>
    <s v=""/>
    <s v=""/>
    <s v=""/>
    <m/>
    <n v="16"/>
    <n v="7072.1291666666657"/>
    <m/>
    <m/>
    <n v="5030.74495614035"/>
  </r>
  <r>
    <n v="96"/>
    <m/>
    <s v="RSSH: Health management information systems and M&amp;E"/>
    <s v="Routine reporting"/>
    <s v="The project will support monitoring and evaluation measures to ensure data verification - the costs for printing different materials requested within the project by PR or SRs. "/>
    <x v="28"/>
    <x v="2"/>
    <n v="10.1"/>
    <s v="United Nations Development Programme"/>
    <x v="0"/>
    <s v="Multilateral – UNDP"/>
    <s v="USD"/>
    <s v="N/A"/>
    <n v="10"/>
    <s v="KGS"/>
    <s v="Local"/>
    <n v="205.20000000000002"/>
    <n v="3"/>
    <n v="500"/>
    <n v="1500"/>
    <n v="1500"/>
    <m/>
    <s v=""/>
    <n v="0"/>
    <m/>
    <s v=""/>
    <m/>
    <s v=""/>
    <n v="500"/>
    <n v="1500"/>
    <n v="1500"/>
    <m/>
    <s v=""/>
    <m/>
    <s v=""/>
    <m/>
    <s v=""/>
    <m/>
    <s v=""/>
    <m/>
    <s v=""/>
    <s v=""/>
    <s v=""/>
    <m/>
    <m/>
    <s v=""/>
    <m/>
    <s v=""/>
    <m/>
    <s v=""/>
    <m/>
    <s v=""/>
    <m/>
    <s v=""/>
    <s v=""/>
    <s v=""/>
    <m/>
    <m/>
    <s v=""/>
    <m/>
    <s v=""/>
    <m/>
    <s v=""/>
    <m/>
    <s v=""/>
    <m/>
    <s v=""/>
    <s v=""/>
    <s v=""/>
    <m/>
    <n v="500"/>
    <n v="1500"/>
    <m/>
    <m/>
    <n v="0"/>
  </r>
  <r>
    <n v="97"/>
    <m/>
    <s v="RSSH: Health management information systems and M&amp;E"/>
    <s v="Routine reporting"/>
    <s v="The support of monitoring and evaluation measures to ensure data verification - the regular meeting with SRs and M&amp;E trainings on for SRs."/>
    <x v="29"/>
    <x v="1"/>
    <n v="2.1"/>
    <s v="United Nations Development Programme"/>
    <x v="0"/>
    <s v="Multilateral – UNDP"/>
    <s v="USD"/>
    <s v="Average cost of training per person per day"/>
    <n v="2"/>
    <s v="KGS"/>
    <s v="Local"/>
    <n v="3180.6000000000004"/>
    <n v="46.5"/>
    <n v="80"/>
    <n v="3720"/>
    <n v="3720"/>
    <n v="280"/>
    <n v="13020"/>
    <n v="13020"/>
    <m/>
    <s v=""/>
    <m/>
    <s v=""/>
    <n v="360"/>
    <n v="16740"/>
    <n v="16740"/>
    <m/>
    <s v=""/>
    <m/>
    <s v=""/>
    <m/>
    <s v=""/>
    <m/>
    <s v=""/>
    <m/>
    <s v=""/>
    <s v=""/>
    <s v=""/>
    <m/>
    <m/>
    <s v=""/>
    <m/>
    <s v=""/>
    <m/>
    <s v=""/>
    <m/>
    <s v=""/>
    <m/>
    <s v=""/>
    <s v=""/>
    <s v=""/>
    <m/>
    <m/>
    <s v=""/>
    <m/>
    <s v=""/>
    <m/>
    <s v=""/>
    <m/>
    <s v=""/>
    <m/>
    <s v=""/>
    <s v=""/>
    <s v=""/>
    <m/>
    <n v="360"/>
    <n v="16740"/>
    <m/>
    <m/>
    <n v="0"/>
  </r>
  <r>
    <n v="98"/>
    <s v="8.12.50"/>
    <s v="RSSH: Health management information systems and M&amp;E"/>
    <s v="Routine reporting"/>
    <s v="The support of the monitoring and evaluation measures to improve quality of programmes and interventions - costs for M&amp;E visits for administrative personal of AIDS Centres and MDT, travel expenses of peer and social workers. "/>
    <x v="23"/>
    <x v="1"/>
    <n v="2.2999999999999998"/>
    <s v="AIDS Centers"/>
    <x v="1"/>
    <s v="Government - Other"/>
    <s v="USD"/>
    <s v="Average cost of subsistence per person per day"/>
    <n v="2"/>
    <s v="KGS"/>
    <s v="Local"/>
    <n v="22117.481127272727"/>
    <n v="323.3549872408293"/>
    <n v="9"/>
    <n v="2910.1948851674638"/>
    <n v="2221.3751672514622"/>
    <n v="9"/>
    <n v="2910.1948851674638"/>
    <n v="2806.1704888888885"/>
    <m/>
    <s v=""/>
    <m/>
    <s v=""/>
    <n v="18"/>
    <n v="5820.3897703349276"/>
    <n v="5027.5456561403507"/>
    <m/>
    <s v=""/>
    <m/>
    <s v=""/>
    <m/>
    <s v=""/>
    <m/>
    <s v=""/>
    <m/>
    <s v=""/>
    <s v=""/>
    <s v=""/>
    <m/>
    <m/>
    <s v=""/>
    <m/>
    <s v=""/>
    <m/>
    <s v=""/>
    <m/>
    <s v=""/>
    <m/>
    <s v=""/>
    <s v=""/>
    <s v=""/>
    <m/>
    <m/>
    <s v=""/>
    <m/>
    <s v=""/>
    <m/>
    <s v=""/>
    <m/>
    <s v=""/>
    <m/>
    <s v=""/>
    <s v=""/>
    <s v=""/>
    <m/>
    <n v="18"/>
    <n v="5820.3897703349276"/>
    <m/>
    <m/>
    <n v="792.84411419457683"/>
  </r>
  <r>
    <n v="99"/>
    <s v="8.12.52"/>
    <s v="RSSH: Health management information systems and M&amp;E"/>
    <s v="Routine reporting"/>
    <s v="The support of the monitoring and evaluation measures to improve quality of programmes and interventions - M&amp;E staff in RNC, SSES and RAC salaris. "/>
    <x v="25"/>
    <x v="1"/>
    <n v="3.1"/>
    <s v="RCN, RAC"/>
    <x v="1"/>
    <s v="Government - Other"/>
    <s v="USD"/>
    <s v="Consultant fee per person per workday"/>
    <n v="3"/>
    <s v="KGS"/>
    <s v="Local"/>
    <n v="1723.5338596491226"/>
    <n v="25.197863445162611"/>
    <n v="342"/>
    <n v="8617.6692982456134"/>
    <n v="8028.8995614035075"/>
    <n v="342"/>
    <n v="8617.6692982456134"/>
    <n v="8028.8995614035075"/>
    <m/>
    <s v=""/>
    <m/>
    <s v=""/>
    <n v="684"/>
    <n v="17235.338596491227"/>
    <n v="16057.799122807015"/>
    <m/>
    <s v=""/>
    <m/>
    <s v=""/>
    <m/>
    <s v=""/>
    <m/>
    <s v=""/>
    <m/>
    <s v=""/>
    <s v=""/>
    <s v=""/>
    <m/>
    <m/>
    <s v=""/>
    <m/>
    <s v=""/>
    <m/>
    <s v=""/>
    <m/>
    <s v=""/>
    <m/>
    <s v=""/>
    <s v=""/>
    <s v=""/>
    <m/>
    <m/>
    <s v=""/>
    <m/>
    <s v=""/>
    <m/>
    <s v=""/>
    <m/>
    <s v=""/>
    <m/>
    <s v=""/>
    <s v=""/>
    <s v=""/>
    <m/>
    <n v="684"/>
    <n v="17235.338596491227"/>
    <m/>
    <m/>
    <n v="1177.5394736842118"/>
  </r>
  <r>
    <n v="100"/>
    <s v="9.14.66"/>
    <s v="Program management"/>
    <s v="Grant management"/>
    <s v="RAC management costs - the Management staff salaries."/>
    <x v="17"/>
    <x v="1"/>
    <n v="1.1000000000000001"/>
    <s v="AIDS Centers"/>
    <x v="1"/>
    <s v="Government - Other"/>
    <s v="USD"/>
    <s v="Average gross salary per FTE (person) per quarter"/>
    <n v="1"/>
    <s v="KGS"/>
    <s v="Local"/>
    <n v="36164.736562499995"/>
    <n v="528.72421874999986"/>
    <n v="8"/>
    <n v="4229.7937499999989"/>
    <n v="4176.8821162280701"/>
    <n v="8"/>
    <n v="4229.7937499999989"/>
    <n v="4176.8821162280701"/>
    <m/>
    <s v=""/>
    <m/>
    <s v=""/>
    <n v="16"/>
    <n v="8459.5874999999978"/>
    <n v="8353.7642324561402"/>
    <m/>
    <s v=""/>
    <m/>
    <s v=""/>
    <m/>
    <s v=""/>
    <m/>
    <s v=""/>
    <m/>
    <s v=""/>
    <s v=""/>
    <s v=""/>
    <m/>
    <m/>
    <s v=""/>
    <m/>
    <s v=""/>
    <m/>
    <s v=""/>
    <m/>
    <s v=""/>
    <m/>
    <s v=""/>
    <s v=""/>
    <s v=""/>
    <m/>
    <m/>
    <s v=""/>
    <m/>
    <s v=""/>
    <m/>
    <s v=""/>
    <m/>
    <s v=""/>
    <m/>
    <s v=""/>
    <s v=""/>
    <s v=""/>
    <m/>
    <n v="16"/>
    <n v="8459.5874999999978"/>
    <m/>
    <m/>
    <n v="105.82326754385758"/>
  </r>
  <r>
    <n v="101"/>
    <s v="9.14.30"/>
    <s v="Program management"/>
    <s v="Grant management"/>
    <s v="The support of 2 projects (2 Centres and 4 Services Points) on NGO basis for PLHIV thoughout the country - the administrative staff salaries."/>
    <x v="17"/>
    <x v="1"/>
    <n v="1.1000000000000001"/>
    <s v="PLHIV NGO SRs "/>
    <x v="1"/>
    <s v="Civil Society - Local Non-Governmental Organization"/>
    <s v="USD"/>
    <s v="Average gross salary per FTE (person) per quarter"/>
    <n v="1"/>
    <s v="KGS"/>
    <s v="Local"/>
    <n v="104810.06812500001"/>
    <n v="1532.3109374999999"/>
    <n v="8"/>
    <n v="12258.487499999999"/>
    <n v="8690.8991228070172"/>
    <n v="8"/>
    <n v="12258.487499999999"/>
    <n v="8690.8991228070172"/>
    <m/>
    <s v=""/>
    <m/>
    <s v=""/>
    <n v="16"/>
    <n v="24516.974999999999"/>
    <n v="17381.798245614034"/>
    <m/>
    <s v=""/>
    <m/>
    <s v=""/>
    <m/>
    <s v=""/>
    <m/>
    <s v=""/>
    <m/>
    <s v=""/>
    <s v=""/>
    <s v=""/>
    <m/>
    <m/>
    <s v=""/>
    <m/>
    <s v=""/>
    <m/>
    <s v=""/>
    <m/>
    <s v=""/>
    <m/>
    <s v=""/>
    <s v=""/>
    <s v=""/>
    <m/>
    <m/>
    <s v=""/>
    <m/>
    <s v=""/>
    <m/>
    <s v=""/>
    <m/>
    <s v=""/>
    <m/>
    <s v=""/>
    <s v=""/>
    <s v=""/>
    <m/>
    <n v="16"/>
    <n v="24516.974999999999"/>
    <m/>
    <m/>
    <n v="7135.1767543859642"/>
  </r>
  <r>
    <n v="102"/>
    <s v="9.14.67"/>
    <s v="Program management"/>
    <s v="Grant management"/>
    <s v="RAC management costs - the coordinators salaries."/>
    <x v="19"/>
    <x v="1"/>
    <n v="1.3"/>
    <s v="AIDS Centers"/>
    <x v="1"/>
    <s v="Government - Other"/>
    <s v="USD"/>
    <s v="Average payment per FTE (person) per quarter"/>
    <n v="1"/>
    <s v="KGS"/>
    <s v="Local"/>
    <n v="28593.986137499996"/>
    <n v="418.04073300438586"/>
    <n v="4"/>
    <n v="1672.1629320175434"/>
    <n v="1195.5283114035087"/>
    <n v="4"/>
    <n v="1672.1629320175434"/>
    <n v="1195.5283114035087"/>
    <m/>
    <s v=""/>
    <m/>
    <s v=""/>
    <n v="8"/>
    <n v="3344.3258640350869"/>
    <n v="2391.0566228070174"/>
    <m/>
    <s v=""/>
    <m/>
    <s v=""/>
    <m/>
    <s v=""/>
    <m/>
    <s v=""/>
    <m/>
    <s v=""/>
    <s v=""/>
    <s v=""/>
    <m/>
    <m/>
    <s v=""/>
    <m/>
    <s v=""/>
    <m/>
    <s v=""/>
    <m/>
    <s v=""/>
    <m/>
    <s v=""/>
    <s v=""/>
    <s v=""/>
    <m/>
    <m/>
    <s v=""/>
    <m/>
    <s v=""/>
    <m/>
    <s v=""/>
    <m/>
    <s v=""/>
    <m/>
    <s v=""/>
    <s v=""/>
    <s v=""/>
    <m/>
    <n v="8"/>
    <n v="3344.3258640350869"/>
    <m/>
    <m/>
    <n v="953.2692412280694"/>
  </r>
  <r>
    <n v="103"/>
    <s v="9.14.70"/>
    <s v="Program management"/>
    <s v="Grant management"/>
    <s v="RNC management costs - the administrative staff salaries."/>
    <x v="19"/>
    <x v="1"/>
    <n v="1.3"/>
    <s v="RCN  (Republican Center of Narcology)"/>
    <x v="1"/>
    <s v="Government - Other"/>
    <s v="USD"/>
    <s v="Average payment per FTE (person) per quarter"/>
    <n v="1"/>
    <s v="KGS"/>
    <s v="Local"/>
    <n v="64770.072500000002"/>
    <n v="946.93088450292396"/>
    <n v="6"/>
    <n v="5681.5853070175435"/>
    <n v="5681.5853070175435"/>
    <n v="6"/>
    <n v="5681.5853070175435"/>
    <n v="5681.5853070175435"/>
    <m/>
    <s v=""/>
    <m/>
    <s v=""/>
    <n v="12"/>
    <n v="11363.170614035087"/>
    <n v="11363.170614035087"/>
    <m/>
    <s v=""/>
    <m/>
    <s v=""/>
    <m/>
    <s v=""/>
    <m/>
    <s v=""/>
    <m/>
    <s v=""/>
    <s v=""/>
    <s v=""/>
    <m/>
    <m/>
    <s v=""/>
    <m/>
    <s v=""/>
    <m/>
    <s v=""/>
    <m/>
    <s v=""/>
    <m/>
    <s v=""/>
    <s v=""/>
    <s v=""/>
    <m/>
    <m/>
    <s v=""/>
    <m/>
    <s v=""/>
    <m/>
    <s v=""/>
    <m/>
    <s v=""/>
    <m/>
    <s v=""/>
    <s v=""/>
    <s v=""/>
    <m/>
    <n v="12"/>
    <n v="11363.170614035087"/>
    <m/>
    <m/>
    <n v="0"/>
  </r>
  <r>
    <n v="104"/>
    <s v="9.14.10"/>
    <s v="Program management"/>
    <s v="Grant management"/>
    <s v="The support of 17 OST units in civil sector - office related costs.  "/>
    <x v="18"/>
    <x v="1"/>
    <n v="11.1"/>
    <s v="RCN  (Republican Center of Narcology)"/>
    <x v="1"/>
    <s v="Government - Other"/>
    <s v="USD"/>
    <s v="Average office cost per office unit per quarter"/>
    <n v="11"/>
    <s v="KGS"/>
    <s v="Local"/>
    <n v="60066.374999999993"/>
    <n v="878.16337719298224"/>
    <n v="16"/>
    <n v="14050.614035087716"/>
    <n v="12014.692982456139"/>
    <n v="16"/>
    <n v="14050.614035087716"/>
    <n v="12014.692982456139"/>
    <m/>
    <s v=""/>
    <m/>
    <s v=""/>
    <n v="32"/>
    <n v="28101.228070175432"/>
    <n v="24029.385964912279"/>
    <m/>
    <s v=""/>
    <m/>
    <s v=""/>
    <m/>
    <s v=""/>
    <m/>
    <s v=""/>
    <m/>
    <s v=""/>
    <s v=""/>
    <s v=""/>
    <m/>
    <m/>
    <s v=""/>
    <m/>
    <s v=""/>
    <m/>
    <s v=""/>
    <m/>
    <s v=""/>
    <m/>
    <s v=""/>
    <s v=""/>
    <s v=""/>
    <m/>
    <m/>
    <s v=""/>
    <m/>
    <s v=""/>
    <m/>
    <s v=""/>
    <m/>
    <s v=""/>
    <m/>
    <s v=""/>
    <s v=""/>
    <s v=""/>
    <m/>
    <n v="32"/>
    <n v="28101.228070175432"/>
    <m/>
    <m/>
    <n v="4071.8421052631529"/>
  </r>
  <r>
    <n v="105"/>
    <s v="9.14.11"/>
    <s v="Program management"/>
    <s v="Grant management"/>
    <s v="The support of 7 OST units in penitenciary sector - office related costs.  "/>
    <x v="18"/>
    <x v="1"/>
    <n v="11.1"/>
    <s v="RCN  (Republican Center of Narcology)"/>
    <x v="1"/>
    <s v="Government - Other"/>
    <s v="USD"/>
    <s v="Average office cost per office unit per quarter"/>
    <n v="11"/>
    <s v="KGS"/>
    <s v="Local"/>
    <n v="5007"/>
    <n v="73.201754385964904"/>
    <n v="7"/>
    <n v="512.4122807017543"/>
    <n v="592.28070175438586"/>
    <n v="7"/>
    <n v="512.4122807017543"/>
    <n v="592.28070175438586"/>
    <m/>
    <s v=""/>
    <m/>
    <s v=""/>
    <n v="14"/>
    <n v="1024.8245614035086"/>
    <n v="1184.5614035087717"/>
    <m/>
    <s v=""/>
    <m/>
    <s v=""/>
    <m/>
    <s v=""/>
    <m/>
    <s v=""/>
    <m/>
    <s v=""/>
    <s v=""/>
    <s v=""/>
    <m/>
    <m/>
    <s v=""/>
    <m/>
    <s v=""/>
    <m/>
    <s v=""/>
    <m/>
    <s v=""/>
    <m/>
    <s v=""/>
    <s v=""/>
    <s v=""/>
    <m/>
    <m/>
    <s v=""/>
    <m/>
    <s v=""/>
    <m/>
    <s v=""/>
    <m/>
    <s v=""/>
    <m/>
    <s v=""/>
    <s v=""/>
    <s v=""/>
    <m/>
    <n v="14"/>
    <n v="1024.8245614035086"/>
    <m/>
    <m/>
    <n v="-159.73684210526312"/>
  </r>
  <r>
    <n v="106"/>
    <s v="9.14.36"/>
    <s v="Program management"/>
    <s v="Grant management"/>
    <s v="The support of 6 projects (2 Centres and 4 Services Points) on NGO basis for PLHIV thoughout the country - the office related costs."/>
    <x v="18"/>
    <x v="1"/>
    <n v="11.1"/>
    <s v="PLHIV NGO SRs "/>
    <x v="1"/>
    <s v="Civil Society - Local Non-Governmental Organization"/>
    <s v="USD"/>
    <s v="Average office cost per office unit per quarter"/>
    <n v="11"/>
    <s v="KGS"/>
    <s v="Local"/>
    <n v="127796.50000000003"/>
    <n v="1868.369883040936"/>
    <n v="6"/>
    <n v="11210.219298245616"/>
    <n v="6885.9649122807004"/>
    <n v="6"/>
    <n v="11210.219298245616"/>
    <n v="6885.9649122807004"/>
    <m/>
    <s v=""/>
    <m/>
    <s v=""/>
    <n v="12"/>
    <n v="22420.438596491233"/>
    <n v="13771.929824561401"/>
    <m/>
    <s v=""/>
    <m/>
    <s v=""/>
    <m/>
    <s v=""/>
    <m/>
    <s v=""/>
    <m/>
    <s v=""/>
    <s v=""/>
    <s v=""/>
    <m/>
    <m/>
    <s v=""/>
    <m/>
    <s v=""/>
    <m/>
    <s v=""/>
    <m/>
    <s v=""/>
    <m/>
    <s v=""/>
    <s v=""/>
    <s v=""/>
    <m/>
    <m/>
    <s v=""/>
    <m/>
    <s v=""/>
    <m/>
    <s v=""/>
    <m/>
    <s v=""/>
    <m/>
    <s v=""/>
    <s v=""/>
    <s v=""/>
    <m/>
    <n v="12"/>
    <n v="22420.438596491233"/>
    <m/>
    <m/>
    <n v="8648.5087719298317"/>
  </r>
  <r>
    <n v="107"/>
    <s v="9.14.35"/>
    <s v="Program management"/>
    <s v="Grant management"/>
    <s v="The support of the services for PLHIV in prisons thoughout the country - the office related costs."/>
    <x v="18"/>
    <x v="1"/>
    <n v="11.1"/>
    <s v="AIDS Centers"/>
    <x v="1"/>
    <s v="Government - Other"/>
    <s v="USD"/>
    <s v="Average office cost per office unit per quarter"/>
    <n v="11"/>
    <s v="KGS"/>
    <s v="Local"/>
    <n v="10239.000000000002"/>
    <n v="149.69298245614036"/>
    <n v="1"/>
    <n v="149.69298245614036"/>
    <n v="0"/>
    <n v="1"/>
    <n v="149.69298245614036"/>
    <n v="0"/>
    <m/>
    <s v=""/>
    <m/>
    <s v=""/>
    <n v="2"/>
    <n v="299.38596491228071"/>
    <n v="0"/>
    <m/>
    <s v=""/>
    <m/>
    <s v=""/>
    <m/>
    <s v=""/>
    <m/>
    <s v=""/>
    <m/>
    <s v=""/>
    <s v=""/>
    <s v=""/>
    <m/>
    <m/>
    <s v=""/>
    <m/>
    <s v=""/>
    <m/>
    <s v=""/>
    <m/>
    <s v=""/>
    <m/>
    <s v=""/>
    <s v=""/>
    <s v=""/>
    <m/>
    <m/>
    <s v=""/>
    <m/>
    <s v=""/>
    <m/>
    <s v=""/>
    <m/>
    <s v=""/>
    <m/>
    <s v=""/>
    <s v=""/>
    <s v=""/>
    <m/>
    <n v="2"/>
    <n v="299.38596491228071"/>
    <m/>
    <m/>
    <n v="299.38596491228071"/>
  </r>
  <r>
    <n v="108"/>
    <s v="9.14.69"/>
    <s v="Program management"/>
    <s v="Grant management"/>
    <s v="RAC management costs - office related costs."/>
    <x v="18"/>
    <x v="1"/>
    <n v="11.1"/>
    <s v="AIDS Centers"/>
    <x v="1"/>
    <s v="Government - Other"/>
    <s v="USD"/>
    <s v="Average office cost per office unit per quarter"/>
    <n v="11"/>
    <s v="KGS"/>
    <s v="Local"/>
    <n v="49725.472941176464"/>
    <n v="726.98059855521137"/>
    <n v="4.25"/>
    <n v="3089.6675438596485"/>
    <n v="1214.9122807017543"/>
    <n v="4.25"/>
    <n v="3089.6675438596485"/>
    <n v="1214.9122807017543"/>
    <m/>
    <s v=""/>
    <m/>
    <s v=""/>
    <n v="8.5"/>
    <n v="6179.335087719297"/>
    <n v="2429.8245614035086"/>
    <m/>
    <s v=""/>
    <m/>
    <s v=""/>
    <m/>
    <s v=""/>
    <m/>
    <s v=""/>
    <m/>
    <s v=""/>
    <s v=""/>
    <s v=""/>
    <m/>
    <m/>
    <s v=""/>
    <m/>
    <s v=""/>
    <m/>
    <s v=""/>
    <m/>
    <s v=""/>
    <m/>
    <s v=""/>
    <s v=""/>
    <s v=""/>
    <m/>
    <m/>
    <s v=""/>
    <m/>
    <s v=""/>
    <m/>
    <s v=""/>
    <m/>
    <s v=""/>
    <m/>
    <s v=""/>
    <s v=""/>
    <s v=""/>
    <m/>
    <n v="8.5"/>
    <n v="6179.335087719297"/>
    <m/>
    <m/>
    <n v="3749.5105263157884"/>
  </r>
  <r>
    <n v="109"/>
    <s v="9.14.74"/>
    <s v="Program management"/>
    <s v="Grant management"/>
    <s v="RNC management costs - the office related costs."/>
    <x v="18"/>
    <x v="1"/>
    <n v="11.1"/>
    <s v="RCN  (Republican Center of Narcology)"/>
    <x v="1"/>
    <s v="Government - Other"/>
    <s v="USD"/>
    <s v="Average office cost per office unit per quarter"/>
    <n v="11"/>
    <s v="KGS"/>
    <s v="Local"/>
    <n v="258513"/>
    <n v="3779.4298245614032"/>
    <n v="1"/>
    <n v="3779.4298245614032"/>
    <n v="1995.7163742690057"/>
    <n v="1"/>
    <n v="3779.4298245614032"/>
    <n v="1995.7163742690057"/>
    <m/>
    <s v=""/>
    <m/>
    <s v=""/>
    <n v="2"/>
    <n v="7558.8596491228063"/>
    <n v="3991.4327485380113"/>
    <m/>
    <s v=""/>
    <m/>
    <s v=""/>
    <m/>
    <s v=""/>
    <m/>
    <s v=""/>
    <m/>
    <s v=""/>
    <s v=""/>
    <s v=""/>
    <m/>
    <m/>
    <s v=""/>
    <m/>
    <s v=""/>
    <m/>
    <s v=""/>
    <m/>
    <s v=""/>
    <m/>
    <s v=""/>
    <s v=""/>
    <s v=""/>
    <m/>
    <m/>
    <s v=""/>
    <m/>
    <s v=""/>
    <m/>
    <s v=""/>
    <m/>
    <s v=""/>
    <m/>
    <s v=""/>
    <s v=""/>
    <s v=""/>
    <m/>
    <n v="2"/>
    <n v="7558.8596491228063"/>
    <m/>
    <m/>
    <n v="3567.426900584795"/>
  </r>
  <r>
    <n v="110"/>
    <s v="9.14.71"/>
    <s v="Program management"/>
    <s v="Grant management"/>
    <s v="RNC management costs - the costs for M&amp;E visits for project staff. "/>
    <x v="23"/>
    <x v="1"/>
    <n v="2.2999999999999998"/>
    <s v="RCN  (Republican Center of Narcology)"/>
    <x v="1"/>
    <s v="Government - Other"/>
    <s v="USD"/>
    <s v="Average cost of subsistence per person per day"/>
    <n v="2"/>
    <s v="KGS"/>
    <s v="Local"/>
    <n v="5688"/>
    <n v="83.157894736842096"/>
    <n v="4"/>
    <n v="332.63157894736838"/>
    <n v="249.4736842105263"/>
    <n v="4"/>
    <n v="332.63157894736838"/>
    <n v="249.4736842105263"/>
    <m/>
    <s v=""/>
    <m/>
    <s v=""/>
    <n v="8"/>
    <n v="665.26315789473676"/>
    <n v="498.9473684210526"/>
    <m/>
    <s v=""/>
    <m/>
    <s v=""/>
    <m/>
    <s v=""/>
    <m/>
    <s v=""/>
    <m/>
    <s v=""/>
    <s v=""/>
    <s v=""/>
    <m/>
    <m/>
    <s v=""/>
    <m/>
    <s v=""/>
    <m/>
    <s v=""/>
    <m/>
    <s v=""/>
    <m/>
    <s v=""/>
    <s v=""/>
    <s v=""/>
    <m/>
    <m/>
    <s v=""/>
    <m/>
    <s v=""/>
    <m/>
    <s v=""/>
    <m/>
    <s v=""/>
    <m/>
    <s v=""/>
    <s v=""/>
    <s v=""/>
    <m/>
    <n v="8"/>
    <n v="665.26315789473676"/>
    <m/>
    <m/>
    <n v="166.31578947368416"/>
  </r>
  <r>
    <n v="111"/>
    <s v="9.14.68"/>
    <s v="Program management"/>
    <s v="Grant management"/>
    <s v="RAC management costs - the manager of medical support HIV programs  salaries."/>
    <x v="25"/>
    <x v="1"/>
    <n v="3.1"/>
    <s v="AIDS Centers"/>
    <x v="1"/>
    <s v="Government - Other"/>
    <s v="USD"/>
    <s v="Consultant fee per person per workday"/>
    <n v="3"/>
    <s v="KGS"/>
    <s v="Local"/>
    <n v="2427.0750000000003"/>
    <n v="35.483552631578945"/>
    <n v="78"/>
    <n v="2767.7171052631579"/>
    <n v="2360.5263157894733"/>
    <n v="78"/>
    <n v="2767.7171052631579"/>
    <n v="2360.5263157894733"/>
    <m/>
    <s v=""/>
    <m/>
    <s v=""/>
    <n v="156"/>
    <n v="5535.4342105263158"/>
    <n v="4721.0526315789466"/>
    <m/>
    <s v=""/>
    <m/>
    <s v=""/>
    <m/>
    <s v=""/>
    <m/>
    <s v=""/>
    <m/>
    <s v=""/>
    <s v=""/>
    <s v=""/>
    <m/>
    <m/>
    <s v=""/>
    <m/>
    <s v=""/>
    <m/>
    <s v=""/>
    <m/>
    <s v=""/>
    <m/>
    <s v=""/>
    <s v=""/>
    <s v=""/>
    <m/>
    <m/>
    <s v=""/>
    <m/>
    <s v=""/>
    <m/>
    <s v=""/>
    <m/>
    <s v=""/>
    <m/>
    <s v=""/>
    <s v=""/>
    <s v=""/>
    <m/>
    <n v="156"/>
    <n v="5535.4342105263158"/>
    <m/>
    <m/>
    <n v="814.38157894736923"/>
  </r>
  <r>
    <n v="112"/>
    <s v="9.14.72"/>
    <s v="Program management"/>
    <s v="Grant management"/>
    <s v="RNC management costs - the Management staff salaries."/>
    <x v="25"/>
    <x v="1"/>
    <n v="3.1"/>
    <s v="RCN  (Republican Center of Narcology)"/>
    <x v="1"/>
    <s v="Government - Other"/>
    <s v="USD"/>
    <s v="Consultant fee per person per workday"/>
    <n v="3"/>
    <s v="KGS"/>
    <s v="Local"/>
    <n v="1198.4891477272724"/>
    <n v="17.521771165603397"/>
    <n v="924"/>
    <n v="16190.116557017538"/>
    <n v="13832.774451754385"/>
    <n v="924"/>
    <n v="16190.116557017538"/>
    <n v="13832.774451754385"/>
    <m/>
    <s v=""/>
    <m/>
    <s v=""/>
    <n v="1848"/>
    <n v="32380.233114035076"/>
    <n v="27665.54890350877"/>
    <m/>
    <s v=""/>
    <m/>
    <s v=""/>
    <m/>
    <s v=""/>
    <m/>
    <s v=""/>
    <m/>
    <s v=""/>
    <s v=""/>
    <s v=""/>
    <m/>
    <m/>
    <s v=""/>
    <m/>
    <s v=""/>
    <m/>
    <s v=""/>
    <m/>
    <s v=""/>
    <m/>
    <s v=""/>
    <s v=""/>
    <s v=""/>
    <m/>
    <m/>
    <s v=""/>
    <m/>
    <s v=""/>
    <m/>
    <s v=""/>
    <m/>
    <s v=""/>
    <m/>
    <s v=""/>
    <s v=""/>
    <s v=""/>
    <m/>
    <n v="1848"/>
    <n v="32380.233114035076"/>
    <m/>
    <m/>
    <n v="4714.6842105263058"/>
  </r>
  <r>
    <n v="113"/>
    <m/>
    <s v="Program management"/>
    <s v="Grant management"/>
    <s v="PR management costs - staff salaries"/>
    <x v="17"/>
    <x v="2"/>
    <n v="1.1000000000000001"/>
    <s v="United Nations Development Programme"/>
    <x v="0"/>
    <s v="Multilateral – UNDP"/>
    <s v="USD"/>
    <s v="Average gross salary per FTE (person) per quarter"/>
    <n v="1"/>
    <s v="USD"/>
    <s v="Grant"/>
    <n v="200662.65065"/>
    <n v="200662.65065"/>
    <n v="1"/>
    <n v="200662.65065"/>
    <n v="185051"/>
    <n v="1"/>
    <n v="200662.65065"/>
    <n v="185051"/>
    <m/>
    <s v=""/>
    <m/>
    <s v=""/>
    <n v="2"/>
    <n v="401325.30129999999"/>
    <n v="370102"/>
    <m/>
    <s v=""/>
    <m/>
    <s v=""/>
    <m/>
    <s v=""/>
    <m/>
    <s v=""/>
    <m/>
    <s v=""/>
    <s v=""/>
    <s v=""/>
    <m/>
    <m/>
    <s v=""/>
    <m/>
    <s v=""/>
    <m/>
    <s v=""/>
    <m/>
    <s v=""/>
    <m/>
    <s v=""/>
    <s v=""/>
    <s v=""/>
    <m/>
    <m/>
    <s v=""/>
    <m/>
    <s v=""/>
    <m/>
    <s v=""/>
    <m/>
    <s v=""/>
    <m/>
    <s v=""/>
    <s v=""/>
    <s v=""/>
    <m/>
    <n v="2"/>
    <n v="401325.30129999999"/>
    <s v="Historical cost"/>
    <s v="As per approved budget for 2016-2017"/>
    <n v="31223.301299999992"/>
  </r>
  <r>
    <n v="114"/>
    <m/>
    <s v="Program management"/>
    <s v="Grant management"/>
    <s v="PR management costs  the office related costs."/>
    <x v="18"/>
    <x v="2"/>
    <n v="11.1"/>
    <s v="United Nations Development Programme"/>
    <x v="0"/>
    <s v="Multilateral – UNDP"/>
    <s v="USD"/>
    <s v="Average office cost per office unit per quarter"/>
    <n v="11"/>
    <s v="KGS"/>
    <s v="Local"/>
    <n v="1436400.0000000002"/>
    <n v="21000"/>
    <n v="1"/>
    <n v="21000"/>
    <n v="20700"/>
    <n v="1"/>
    <n v="21000"/>
    <n v="20700"/>
    <m/>
    <s v=""/>
    <m/>
    <s v=""/>
    <n v="2"/>
    <n v="42000"/>
    <n v="41400"/>
    <m/>
    <s v=""/>
    <m/>
    <s v=""/>
    <m/>
    <s v=""/>
    <m/>
    <s v=""/>
    <m/>
    <s v=""/>
    <s v=""/>
    <s v=""/>
    <m/>
    <m/>
    <s v=""/>
    <m/>
    <s v=""/>
    <m/>
    <s v=""/>
    <m/>
    <s v=""/>
    <m/>
    <s v=""/>
    <s v=""/>
    <s v=""/>
    <m/>
    <m/>
    <s v=""/>
    <m/>
    <s v=""/>
    <m/>
    <s v=""/>
    <m/>
    <s v=""/>
    <m/>
    <s v=""/>
    <s v=""/>
    <s v=""/>
    <m/>
    <n v="2"/>
    <n v="42000"/>
    <s v="Historical cost"/>
    <s v="As per approved budget for 2016-2017"/>
    <n v="600"/>
  </r>
  <r>
    <n v="115"/>
    <m/>
    <s v="Program management"/>
    <s v="Grant management"/>
    <s v="PR management costs - the costs for M&amp;E visits for project staff. "/>
    <x v="23"/>
    <x v="2"/>
    <n v="2.2999999999999998"/>
    <s v="United Nations Development Programme"/>
    <x v="0"/>
    <s v="Multilateral – UNDP"/>
    <s v="USD"/>
    <s v="Average cost of subsistence per person per day"/>
    <n v="2"/>
    <s v="KGS"/>
    <s v="Local"/>
    <n v="9507.6"/>
    <n v="139"/>
    <n v="60"/>
    <n v="8340"/>
    <n v="0"/>
    <n v="60"/>
    <n v="8340"/>
    <n v="0"/>
    <m/>
    <s v=""/>
    <m/>
    <s v=""/>
    <n v="120"/>
    <n v="16680"/>
    <n v="0"/>
    <m/>
    <s v=""/>
    <m/>
    <s v=""/>
    <m/>
    <s v=""/>
    <m/>
    <s v=""/>
    <m/>
    <s v=""/>
    <s v=""/>
    <s v=""/>
    <m/>
    <m/>
    <s v=""/>
    <m/>
    <s v=""/>
    <m/>
    <s v=""/>
    <m/>
    <s v=""/>
    <m/>
    <s v=""/>
    <s v=""/>
    <s v=""/>
    <m/>
    <m/>
    <s v=""/>
    <m/>
    <s v=""/>
    <m/>
    <s v=""/>
    <m/>
    <s v=""/>
    <m/>
    <s v=""/>
    <s v=""/>
    <s v=""/>
    <m/>
    <n v="120"/>
    <n v="16680"/>
    <s v="Historical cost"/>
    <s v="As per approved budget for 2016-2017"/>
    <n v="16680"/>
  </r>
  <r>
    <n v="116"/>
    <m/>
    <s v="Program management"/>
    <s v="Grant management"/>
    <s v="PR management costs - Auditing services (external audit of sub-recipients), estim. 5 SRs based on historical data"/>
    <x v="30"/>
    <x v="2"/>
    <n v="3.3"/>
    <s v="United Nations Development Programme"/>
    <x v="0"/>
    <s v="Multilateral – UNDP"/>
    <s v="USD"/>
    <s v="N/A"/>
    <n v="3"/>
    <s v="USD"/>
    <s v="Grant"/>
    <n v="37000"/>
    <n v="37000"/>
    <n v="1"/>
    <n v="37000"/>
    <n v="37000"/>
    <m/>
    <s v=""/>
    <n v="0"/>
    <m/>
    <s v=""/>
    <m/>
    <s v=""/>
    <n v="1"/>
    <n v="37000"/>
    <n v="37000"/>
    <m/>
    <s v=""/>
    <m/>
    <s v=""/>
    <m/>
    <s v=""/>
    <m/>
    <s v=""/>
    <m/>
    <s v=""/>
    <s v=""/>
    <s v=""/>
    <m/>
    <m/>
    <s v=""/>
    <m/>
    <s v=""/>
    <m/>
    <s v=""/>
    <m/>
    <s v=""/>
    <m/>
    <s v=""/>
    <s v=""/>
    <s v=""/>
    <m/>
    <m/>
    <s v=""/>
    <m/>
    <s v=""/>
    <m/>
    <s v=""/>
    <m/>
    <s v=""/>
    <m/>
    <s v=""/>
    <s v=""/>
    <s v=""/>
    <m/>
    <n v="1"/>
    <n v="37000"/>
    <s v="Detailed workings"/>
    <m/>
    <n v="0"/>
  </r>
  <r>
    <n v="117"/>
    <m/>
    <s v="MDR-TB"/>
    <s v="Treatment: MDR-TB"/>
    <s v="TB Database (project HOPE) implementation:  HOPE activities costs"/>
    <x v="22"/>
    <x v="0"/>
    <n v="3.4"/>
    <s v="Project HOPE, Kyrgyzstan"/>
    <x v="1"/>
    <s v="Civil Society - International Non-Governmental Organization"/>
    <s v="USD"/>
    <s v="N/A"/>
    <n v="3"/>
    <s v="KGS"/>
    <s v="Local"/>
    <n v="7359699.7306415373"/>
    <n v="107597.94927838504"/>
    <n v="1"/>
    <n v="107597.94927838504"/>
    <n v="0"/>
    <n v="1"/>
    <n v="107597.94927838504"/>
    <n v="0"/>
    <m/>
    <s v=""/>
    <m/>
    <s v=""/>
    <n v="2"/>
    <n v="215195.89855677009"/>
    <n v="0"/>
    <m/>
    <s v=""/>
    <m/>
    <s v=""/>
    <m/>
    <s v=""/>
    <m/>
    <s v=""/>
    <m/>
    <s v=""/>
    <s v=""/>
    <s v=""/>
    <m/>
    <m/>
    <s v=""/>
    <m/>
    <s v=""/>
    <m/>
    <s v=""/>
    <m/>
    <s v=""/>
    <m/>
    <s v=""/>
    <s v=""/>
    <s v=""/>
    <m/>
    <m/>
    <s v=""/>
    <m/>
    <s v=""/>
    <m/>
    <s v=""/>
    <m/>
    <s v=""/>
    <m/>
    <s v=""/>
    <s v=""/>
    <s v=""/>
    <m/>
    <n v="2"/>
    <n v="215195.89855677009"/>
    <s v="Historical cost"/>
    <s v="Based on approved VFM for HOPE's budget for 2017"/>
    <n v="215195.89855677009"/>
  </r>
  <r>
    <n v="118"/>
    <m/>
    <s v="Program management"/>
    <s v="Grant management"/>
    <s v=" Support to NGO, which will  be tracing adherence to treatment during continuation phase of treatment in the community and distribute incentives to adhered patients on the performance based modality: Salaries for NGO administrative staff"/>
    <x v="17"/>
    <x v="0"/>
    <n v="1.1000000000000001"/>
    <s v="AFEW      (PF “AIDS Foundation East-West in KR”)"/>
    <x v="1"/>
    <s v="Civil Society - Local Non-Governmental Organization"/>
    <s v="USD"/>
    <s v="Average gross salary per FTE (person) per quarter"/>
    <n v="1"/>
    <s v="KGS"/>
    <s v="Local"/>
    <n v="103697.307"/>
    <n v="1516.0424999999998"/>
    <n v="4"/>
    <n v="6064.1699999999992"/>
    <n v="10316.5"/>
    <n v="4"/>
    <n v="6064.1699999999992"/>
    <n v="10316.5"/>
    <m/>
    <s v=""/>
    <m/>
    <s v=""/>
    <n v="8"/>
    <n v="12128.339999999998"/>
    <n v="20633"/>
    <m/>
    <s v=""/>
    <m/>
    <s v=""/>
    <m/>
    <s v=""/>
    <m/>
    <s v=""/>
    <m/>
    <s v=""/>
    <s v=""/>
    <s v=""/>
    <m/>
    <m/>
    <s v=""/>
    <m/>
    <s v=""/>
    <m/>
    <s v=""/>
    <m/>
    <s v=""/>
    <m/>
    <s v=""/>
    <s v=""/>
    <s v=""/>
    <m/>
    <m/>
    <s v=""/>
    <m/>
    <s v=""/>
    <m/>
    <s v=""/>
    <m/>
    <s v=""/>
    <m/>
    <s v=""/>
    <s v=""/>
    <s v=""/>
    <m/>
    <n v="8"/>
    <n v="12128.339999999998"/>
    <s v="Historical cost"/>
    <s v="As per SR agreement for 2017 within approved grant budget for 2016-2017"/>
    <n v="-8504.6600000000017"/>
  </r>
  <r>
    <n v="119"/>
    <m/>
    <s v="Program management"/>
    <s v="Grant management"/>
    <s v=" Support to NGO, which will  be tracing adherence to treatment during continuation phase of treatment in the community and distribute incentives to adhered patients on the performance based modality: Salaries for NGO programme staff"/>
    <x v="16"/>
    <x v="0"/>
    <n v="1.2"/>
    <s v="AFEW      (PF “AIDS Foundation East-West in KR”)"/>
    <x v="1"/>
    <s v="Civil Society - Local Non-Governmental Organization"/>
    <s v="USD"/>
    <s v="Average payment per FTE (person) per quarter"/>
    <n v="1"/>
    <s v="KGS"/>
    <s v="Local"/>
    <n v="71641.294941176471"/>
    <n v="1047.3873529411765"/>
    <n v="17"/>
    <n v="17805.584999999999"/>
    <n v="0"/>
    <n v="17"/>
    <n v="17805.584999999999"/>
    <n v="0"/>
    <m/>
    <s v=""/>
    <m/>
    <s v=""/>
    <n v="34"/>
    <n v="35611.17"/>
    <n v="0"/>
    <m/>
    <s v=""/>
    <m/>
    <s v=""/>
    <m/>
    <s v=""/>
    <m/>
    <s v=""/>
    <m/>
    <s v=""/>
    <s v=""/>
    <s v=""/>
    <m/>
    <m/>
    <s v=""/>
    <m/>
    <s v=""/>
    <m/>
    <s v=""/>
    <m/>
    <s v=""/>
    <m/>
    <s v=""/>
    <s v=""/>
    <s v=""/>
    <m/>
    <m/>
    <s v=""/>
    <m/>
    <s v=""/>
    <m/>
    <s v=""/>
    <m/>
    <s v=""/>
    <m/>
    <s v=""/>
    <s v=""/>
    <s v=""/>
    <m/>
    <n v="34"/>
    <n v="35611.17"/>
    <s v="Historical cost"/>
    <s v="As per SR agreement for 2017 within approved grant budget for 2016-2017"/>
    <n v="35611.17"/>
  </r>
  <r>
    <n v="120"/>
    <m/>
    <s v="Program management"/>
    <s v="Grant management"/>
    <s v="Support to NGO, which will  be tracing adherence to treatment during continuation phase of treatment in the community and distribute incentives to adhered patients on the performance based modality: Office expenses, utilities, rent, communication "/>
    <x v="18"/>
    <x v="0"/>
    <n v="11.1"/>
    <s v="AFEW      (PF “AIDS Foundation East-West in KR”)"/>
    <x v="1"/>
    <s v="Civil Society - Local Non-Governmental Organization"/>
    <s v="USD"/>
    <s v="Average office cost per office unit per quarter"/>
    <n v="11"/>
    <s v="KGS"/>
    <s v="Local"/>
    <n v="20109.600000000002"/>
    <n v="294"/>
    <n v="2"/>
    <n v="588"/>
    <n v="276"/>
    <n v="2"/>
    <n v="588"/>
    <n v="276"/>
    <m/>
    <s v=""/>
    <m/>
    <s v=""/>
    <n v="4"/>
    <n v="1176"/>
    <n v="552"/>
    <m/>
    <s v=""/>
    <m/>
    <s v=""/>
    <m/>
    <s v=""/>
    <m/>
    <s v=""/>
    <m/>
    <s v=""/>
    <s v=""/>
    <s v=""/>
    <m/>
    <m/>
    <s v=""/>
    <m/>
    <s v=""/>
    <m/>
    <s v=""/>
    <m/>
    <s v=""/>
    <m/>
    <s v=""/>
    <s v=""/>
    <s v=""/>
    <m/>
    <m/>
    <s v=""/>
    <m/>
    <s v=""/>
    <m/>
    <s v=""/>
    <m/>
    <s v=""/>
    <m/>
    <s v=""/>
    <s v=""/>
    <s v=""/>
    <m/>
    <n v="4"/>
    <n v="1176"/>
    <s v="Historical cost"/>
    <s v="As per SR agreement for 2017 within approved grant budget for 2016-2017"/>
    <n v="624"/>
  </r>
  <r>
    <n v="121"/>
    <m/>
    <s v="MDR-TB"/>
    <s v="Community MDR-TB care delivery"/>
    <s v=" Support to NGO, which will  be tracing adherence to treatment during continuation phase of treatment in the community and distribute incentives to adhered patients on the performance based modality: "/>
    <x v="23"/>
    <x v="0"/>
    <n v="2.2999999999999998"/>
    <s v="AFEW      (PF “AIDS Foundation East-West in KR”)"/>
    <x v="1"/>
    <s v="Civil Society - Local Non-Governmental Organization"/>
    <s v="USD"/>
    <s v="Average cost of subsistence per person per day"/>
    <n v="2"/>
    <s v="KGS"/>
    <s v="Local"/>
    <n v="11711.414634146342"/>
    <n v="171.21951219512195"/>
    <n v="42.226495726495727"/>
    <n v="7230"/>
    <n v="2892.5"/>
    <n v="39.773504273504273"/>
    <n v="6810"/>
    <n v="2892.5"/>
    <m/>
    <s v=""/>
    <m/>
    <s v=""/>
    <n v="82"/>
    <n v="14040"/>
    <n v="5785"/>
    <m/>
    <s v=""/>
    <m/>
    <s v=""/>
    <m/>
    <s v=""/>
    <m/>
    <s v=""/>
    <m/>
    <s v=""/>
    <s v=""/>
    <s v=""/>
    <m/>
    <m/>
    <s v=""/>
    <m/>
    <s v=""/>
    <m/>
    <s v=""/>
    <m/>
    <s v=""/>
    <m/>
    <s v=""/>
    <s v=""/>
    <s v=""/>
    <m/>
    <m/>
    <s v=""/>
    <m/>
    <s v=""/>
    <m/>
    <s v=""/>
    <m/>
    <s v=""/>
    <m/>
    <s v=""/>
    <s v=""/>
    <s v=""/>
    <m/>
    <n v="82"/>
    <n v="14040"/>
    <s v="Historical cost"/>
    <s v="As per SR agreement for 2017 within approved grant budget for 2016-2017"/>
    <n v="8255"/>
  </r>
  <r>
    <n v="122"/>
    <m/>
    <s v="MDR-TB"/>
    <s v="Community MDR-TB care delivery"/>
    <s v=" Support to NGO, which will  be tracing adherence to treatment during continuation phase of treatment in the community and distribute incentives to adhered patients on the performance based modality: _x000a_Working groups and meetings for TB related issues. "/>
    <x v="26"/>
    <x v="0"/>
    <n v="2.4"/>
    <s v="AFEW      (PF “AIDS Foundation East-West in KR”)"/>
    <x v="1"/>
    <s v="Civil Society - Local Non-Governmental Organization"/>
    <s v="USD"/>
    <s v="Average cost of event per participant per day"/>
    <n v="2"/>
    <s v="KGS"/>
    <s v="Local"/>
    <n v="410.40000000000003"/>
    <n v="6"/>
    <n v="40"/>
    <n v="240"/>
    <n v="120"/>
    <n v="40"/>
    <n v="240"/>
    <n v="120"/>
    <m/>
    <s v=""/>
    <m/>
    <s v=""/>
    <n v="80"/>
    <n v="480"/>
    <n v="240"/>
    <m/>
    <s v=""/>
    <m/>
    <s v=""/>
    <m/>
    <s v=""/>
    <m/>
    <s v=""/>
    <m/>
    <s v=""/>
    <s v=""/>
    <s v=""/>
    <m/>
    <m/>
    <s v=""/>
    <m/>
    <s v=""/>
    <m/>
    <s v=""/>
    <m/>
    <s v=""/>
    <m/>
    <s v=""/>
    <s v=""/>
    <s v=""/>
    <m/>
    <m/>
    <s v=""/>
    <m/>
    <s v=""/>
    <m/>
    <s v=""/>
    <m/>
    <s v=""/>
    <m/>
    <s v=""/>
    <s v=""/>
    <s v=""/>
    <m/>
    <n v="80"/>
    <n v="480"/>
    <s v="Historical cost"/>
    <s v="As per SR agreement for 2017 within approved grant budget for 2016-2017"/>
    <n v="240"/>
  </r>
  <r>
    <n v="123"/>
    <m/>
    <s v="MDR-TB"/>
    <s v="Case detection and diagnosis: MDR-TB"/>
    <s v="GX trainings:  Training of clinicians and regional TB M&amp;E specialists from TB centers and hospitals. Two 2-days trainings, one in Bishkek and one in Osh for 25 people each. Expected expenditures are:  2 trainers' fees. "/>
    <x v="25"/>
    <x v="0"/>
    <n v="3.1"/>
    <s v="United Nations Development Programme"/>
    <x v="0"/>
    <s v="Multilateral – UNDP"/>
    <s v="USD"/>
    <s v="Consultant fee per person per workday"/>
    <n v="3"/>
    <s v="KGS"/>
    <s v="Local"/>
    <n v="6156.0000000000009"/>
    <n v="90"/>
    <n v="20"/>
    <n v="1800"/>
    <n v="0"/>
    <m/>
    <s v=""/>
    <n v="0"/>
    <m/>
    <s v=""/>
    <m/>
    <s v=""/>
    <n v="20"/>
    <n v="1800"/>
    <n v="0"/>
    <m/>
    <s v=""/>
    <m/>
    <s v=""/>
    <m/>
    <s v=""/>
    <m/>
    <s v=""/>
    <m/>
    <s v=""/>
    <s v=""/>
    <s v=""/>
    <m/>
    <m/>
    <s v=""/>
    <m/>
    <s v=""/>
    <m/>
    <s v=""/>
    <m/>
    <s v=""/>
    <m/>
    <s v=""/>
    <s v=""/>
    <s v=""/>
    <m/>
    <m/>
    <s v=""/>
    <m/>
    <s v=""/>
    <m/>
    <s v=""/>
    <m/>
    <s v=""/>
    <m/>
    <s v=""/>
    <s v=""/>
    <s v=""/>
    <m/>
    <n v="20"/>
    <n v="1800"/>
    <s v="Historical cost"/>
    <s v="As per approved budget for 2016-2017"/>
    <n v="1800"/>
  </r>
  <r>
    <n v="124"/>
    <m/>
    <s v="MDR-TB"/>
    <s v="Case detection and diagnosis: MDR-TB"/>
    <s v="GX Training:  (1) Training of clinicians and regional TB M&amp;E specialists from TB centers and hospitals. Two 2-days trainings, one in Bishkek and one in Osh for 25 people each. Expected expenditures are: conference-services (hall rent, coffe-breaks, lunches), stationery, printings, transportation and per-diems for participants and trainers."/>
    <x v="29"/>
    <x v="0"/>
    <n v="2.1"/>
    <s v="United Nations Development Programme"/>
    <x v="0"/>
    <s v="Multilateral – UNDP"/>
    <s v="USD"/>
    <s v="Average cost of training per person per day"/>
    <n v="2"/>
    <s v="KGS"/>
    <s v="Local"/>
    <n v="6361.2000000000007"/>
    <n v="93"/>
    <n v="108"/>
    <n v="10044"/>
    <n v="0"/>
    <m/>
    <s v=""/>
    <n v="0"/>
    <m/>
    <s v=""/>
    <m/>
    <s v=""/>
    <n v="108"/>
    <n v="10044"/>
    <n v="0"/>
    <m/>
    <s v=""/>
    <m/>
    <s v=""/>
    <m/>
    <s v=""/>
    <m/>
    <s v=""/>
    <m/>
    <s v=""/>
    <s v=""/>
    <s v=""/>
    <m/>
    <m/>
    <s v=""/>
    <m/>
    <s v=""/>
    <m/>
    <s v=""/>
    <m/>
    <s v=""/>
    <m/>
    <s v=""/>
    <s v=""/>
    <s v=""/>
    <m/>
    <m/>
    <s v=""/>
    <m/>
    <s v=""/>
    <m/>
    <s v=""/>
    <m/>
    <s v=""/>
    <m/>
    <s v=""/>
    <s v=""/>
    <s v=""/>
    <m/>
    <n v="108"/>
    <n v="10044"/>
    <s v="Historical cost"/>
    <s v="As per approved budget for 2016-2017"/>
    <n v="10044"/>
  </r>
  <r>
    <n v="125"/>
    <m/>
    <s v="MDR-TB"/>
    <s v="Case detection and diagnosis: MDR-TB"/>
    <s v="GX trainings: One day Round table in Bishkek in 2nd quarter with participation of heads of regional TB services and Primary Health care, and Mandatory Health Insurance Fund  on advocasy on optimization of the financing mechanism for inter-territorial payments for laboratory services.  Around 40 participants. Expected expenditures are: conference-services (hall rent, catering), stationery, printings, transportation and per-diems for participants."/>
    <x v="26"/>
    <x v="0"/>
    <n v="2.4"/>
    <s v="United Nations Development Programme"/>
    <x v="0"/>
    <s v="Multilateral – UNDP"/>
    <s v="USD"/>
    <s v="Average cost of event per participant per day"/>
    <n v="2"/>
    <s v="KGS"/>
    <s v="Local"/>
    <n v="6361.2000000000007"/>
    <n v="93"/>
    <m/>
    <s v=""/>
    <n v="0"/>
    <n v="40"/>
    <n v="3720"/>
    <n v="0"/>
    <m/>
    <s v=""/>
    <m/>
    <s v=""/>
    <n v="40"/>
    <n v="3720"/>
    <n v="0"/>
    <m/>
    <s v=""/>
    <m/>
    <s v=""/>
    <m/>
    <s v=""/>
    <m/>
    <s v=""/>
    <m/>
    <s v=""/>
    <s v=""/>
    <s v=""/>
    <m/>
    <m/>
    <s v=""/>
    <m/>
    <s v=""/>
    <m/>
    <s v=""/>
    <m/>
    <s v=""/>
    <m/>
    <s v=""/>
    <s v=""/>
    <s v=""/>
    <m/>
    <m/>
    <s v=""/>
    <m/>
    <s v=""/>
    <m/>
    <s v=""/>
    <m/>
    <s v=""/>
    <m/>
    <s v=""/>
    <s v=""/>
    <s v=""/>
    <m/>
    <n v="40"/>
    <n v="3720"/>
    <s v="Historical cost"/>
    <s v="As per approved budget for 2016-2017"/>
    <n v="3720"/>
  </r>
  <r>
    <n v="126"/>
    <m/>
    <s v="MDR-TB"/>
    <s v="Case detection and diagnosis: MDR-TB"/>
    <s v="Technical assistance on the different aspects of the National TB program: 2 visits of the international experts . The potential areas of the TA- laboratory, M&amp;E, data base ( request of NTP) .  Expected expenditures are: International trainer's DSA and round trip airtick, accomodation  "/>
    <x v="31"/>
    <x v="0"/>
    <n v="2.2000000000000002"/>
    <s v="United Nations Development Programme"/>
    <x v="0"/>
    <s v="Multilateral – UNDP"/>
    <s v="USD"/>
    <s v="Average cost of subsistence per person per day"/>
    <n v="2"/>
    <s v="USD"/>
    <s v="Grant"/>
    <n v="374"/>
    <n v="374"/>
    <m/>
    <s v=""/>
    <n v="0"/>
    <n v="10"/>
    <n v="3740"/>
    <n v="0"/>
    <m/>
    <s v=""/>
    <m/>
    <s v=""/>
    <n v="10"/>
    <n v="3740"/>
    <n v="0"/>
    <m/>
    <s v=""/>
    <m/>
    <s v=""/>
    <m/>
    <s v=""/>
    <m/>
    <s v=""/>
    <m/>
    <s v=""/>
    <s v=""/>
    <s v=""/>
    <m/>
    <m/>
    <s v=""/>
    <m/>
    <s v=""/>
    <m/>
    <s v=""/>
    <m/>
    <s v=""/>
    <m/>
    <s v=""/>
    <s v=""/>
    <s v=""/>
    <m/>
    <m/>
    <s v=""/>
    <m/>
    <s v=""/>
    <m/>
    <s v=""/>
    <m/>
    <s v=""/>
    <m/>
    <s v=""/>
    <s v=""/>
    <s v=""/>
    <m/>
    <n v="10"/>
    <n v="3740"/>
    <s v="Historical cost"/>
    <s v="As per approved budget for 2016-2017"/>
    <n v="3740"/>
  </r>
  <r>
    <n v="127"/>
    <m/>
    <s v="RSSH: Health management information systems and M&amp;E"/>
    <s v="Routine reporting"/>
    <s v="The meetings,  involving the regional  MDR Coordinators, managers of the TB program , NGO representatives , responsible for implementation of agreements  between UNDP and Regional TB. one meeting will be organized in Q-2 2018 in Issyk-Kul for 35 participants"/>
    <x v="26"/>
    <x v="2"/>
    <n v="2.4"/>
    <s v="United Nations Development Programme"/>
    <x v="0"/>
    <s v="Multilateral – UNDP"/>
    <s v="USD"/>
    <s v="Average cost of event per participant per day"/>
    <n v="2"/>
    <s v="KGS"/>
    <s v="Local"/>
    <n v="6361.2000000000007"/>
    <n v="93"/>
    <m/>
    <s v=""/>
    <n v="0"/>
    <n v="70"/>
    <n v="6510"/>
    <n v="0"/>
    <m/>
    <s v=""/>
    <m/>
    <s v=""/>
    <n v="70"/>
    <n v="6510"/>
    <n v="0"/>
    <m/>
    <s v=""/>
    <m/>
    <s v=""/>
    <m/>
    <s v=""/>
    <m/>
    <s v=""/>
    <m/>
    <s v=""/>
    <s v=""/>
    <s v=""/>
    <m/>
    <m/>
    <s v=""/>
    <m/>
    <s v=""/>
    <m/>
    <s v=""/>
    <m/>
    <s v=""/>
    <m/>
    <s v=""/>
    <s v=""/>
    <s v=""/>
    <m/>
    <m/>
    <s v=""/>
    <m/>
    <s v=""/>
    <m/>
    <s v=""/>
    <m/>
    <s v=""/>
    <m/>
    <s v=""/>
    <s v=""/>
    <s v=""/>
    <m/>
    <n v="70"/>
    <n v="6510"/>
    <m/>
    <m/>
    <n v="6510"/>
  </r>
  <r>
    <n v="128"/>
    <m/>
    <s v="Program management"/>
    <s v="Grant management"/>
    <s v="NTC management costs: office related costs (sttaionery, internet)_x000a_National TB Centers in Bishkek and regions"/>
    <x v="18"/>
    <x v="0"/>
    <n v="11.1"/>
    <s v="TB Centers"/>
    <x v="1"/>
    <s v="Government - Other"/>
    <s v="USD"/>
    <s v="Average office cost per office unit per quarter"/>
    <n v="11"/>
    <s v="KGS"/>
    <s v="Local"/>
    <n v="21000.000000000004"/>
    <n v="307.01754385964915"/>
    <n v="10"/>
    <n v="3070.1754385964914"/>
    <n v="0"/>
    <n v="10"/>
    <n v="3070.1754385964914"/>
    <n v="0"/>
    <m/>
    <s v=""/>
    <m/>
    <s v=""/>
    <n v="20"/>
    <n v="6140.3508771929828"/>
    <n v="0"/>
    <m/>
    <s v=""/>
    <m/>
    <s v=""/>
    <m/>
    <s v=""/>
    <m/>
    <s v=""/>
    <m/>
    <s v=""/>
    <s v=""/>
    <s v=""/>
    <m/>
    <m/>
    <s v=""/>
    <m/>
    <s v=""/>
    <m/>
    <s v=""/>
    <m/>
    <s v=""/>
    <m/>
    <s v=""/>
    <s v=""/>
    <s v=""/>
    <m/>
    <m/>
    <s v=""/>
    <m/>
    <s v=""/>
    <m/>
    <s v=""/>
    <m/>
    <s v=""/>
    <m/>
    <s v=""/>
    <s v=""/>
    <s v=""/>
    <m/>
    <n v="20"/>
    <n v="6140.3508771929828"/>
    <s v="Historical cost"/>
    <s v="As per approved budget for 2016-2017"/>
    <n v="6140.3508771929828"/>
  </r>
  <r>
    <n v="129"/>
    <m/>
    <s v="MDR-TB"/>
    <s v="Community MDR-TB care delivery"/>
    <s v="Psychological help to patients (2 psychologists)"/>
    <x v="16"/>
    <x v="0"/>
    <n v="1.2"/>
    <s v="TB Centers"/>
    <x v="1"/>
    <s v="Government - Other"/>
    <s v="USD"/>
    <s v="Average payment per FTE (person) per quarter"/>
    <n v="1"/>
    <s v="KGS"/>
    <s v="Local"/>
    <n v="46604.061000000002"/>
    <n v="681.34592105263152"/>
    <n v="3"/>
    <n v="2044.0377631578945"/>
    <n v="0"/>
    <n v="3"/>
    <n v="2044.0377631578945"/>
    <n v="0"/>
    <m/>
    <s v=""/>
    <m/>
    <s v=""/>
    <n v="6"/>
    <n v="4088.0755263157889"/>
    <n v="0"/>
    <m/>
    <s v=""/>
    <m/>
    <s v=""/>
    <m/>
    <s v=""/>
    <m/>
    <s v=""/>
    <m/>
    <s v=""/>
    <s v=""/>
    <s v=""/>
    <m/>
    <m/>
    <s v=""/>
    <m/>
    <s v=""/>
    <m/>
    <s v=""/>
    <m/>
    <s v=""/>
    <m/>
    <s v=""/>
    <s v=""/>
    <s v=""/>
    <m/>
    <m/>
    <s v=""/>
    <m/>
    <s v=""/>
    <m/>
    <s v=""/>
    <m/>
    <s v=""/>
    <m/>
    <s v=""/>
    <s v=""/>
    <s v=""/>
    <m/>
    <n v="6"/>
    <n v="4088.0755263157889"/>
    <s v="Historical cost"/>
    <s v="As per approved budget for 2016-2017"/>
    <n v="4088.0755263157889"/>
  </r>
  <r>
    <n v="130"/>
    <m/>
    <s v="MDR-TB"/>
    <s v="Community MDR-TB care delivery"/>
    <s v="The motivation support to drug-susceptible  and REZ  Incentives   patients included in the treatment (cash incentives for adherance to treatment). 1300 SOM\PER PATIENT\PER MONTH"/>
    <x v="27"/>
    <x v="0"/>
    <n v="12.3"/>
    <s v="TB Centers"/>
    <x v="1"/>
    <s v="Government - Other"/>
    <s v="USD"/>
    <s v="Average amount of incentives per person per quarter"/>
    <n v="12"/>
    <s v="KGS"/>
    <s v="Local"/>
    <n v="1300.0000000000002"/>
    <n v="19.005847953216374"/>
    <n v="6840"/>
    <n v="130000"/>
    <n v="0"/>
    <n v="6840"/>
    <n v="130000"/>
    <n v="0"/>
    <m/>
    <s v=""/>
    <m/>
    <s v=""/>
    <n v="13680"/>
    <n v="260000"/>
    <n v="0"/>
    <m/>
    <s v=""/>
    <m/>
    <s v=""/>
    <m/>
    <s v=""/>
    <m/>
    <s v=""/>
    <m/>
    <s v=""/>
    <s v=""/>
    <s v=""/>
    <m/>
    <m/>
    <s v=""/>
    <m/>
    <s v=""/>
    <m/>
    <s v=""/>
    <m/>
    <s v=""/>
    <m/>
    <s v=""/>
    <s v=""/>
    <s v=""/>
    <m/>
    <m/>
    <s v=""/>
    <m/>
    <s v=""/>
    <m/>
    <s v=""/>
    <m/>
    <s v=""/>
    <m/>
    <s v=""/>
    <s v=""/>
    <s v=""/>
    <m/>
    <n v="13680"/>
    <n v="260000"/>
    <s v="Historical cost"/>
    <s v="As per approved budget for 2016-2017"/>
    <n v="260000"/>
  </r>
  <r>
    <n v="131"/>
    <m/>
    <s v="MDR-TB"/>
    <s v="Community MDR-TB care delivery"/>
    <s v="Incentives for drug-resistant  patients included in the treatment (cash incentives for adherance to treatment). 1800 SOM PER PATIENT PER MONTH"/>
    <x v="27"/>
    <x v="0"/>
    <n v="12.3"/>
    <s v="TB Centers"/>
    <x v="1"/>
    <s v="Government - Other"/>
    <s v="USD"/>
    <s v="Average amount of incentives per person per quarter"/>
    <n v="12"/>
    <s v="KGS"/>
    <s v="Local"/>
    <n v="1800"/>
    <n v="26.315789473684209"/>
    <n v="5985"/>
    <n v="157500"/>
    <n v="0"/>
    <n v="5985"/>
    <n v="157500"/>
    <n v="0"/>
    <m/>
    <s v=""/>
    <m/>
    <s v=""/>
    <n v="11970"/>
    <n v="315000"/>
    <n v="0"/>
    <m/>
    <s v=""/>
    <m/>
    <s v=""/>
    <m/>
    <s v=""/>
    <m/>
    <s v=""/>
    <m/>
    <s v=""/>
    <s v=""/>
    <s v=""/>
    <m/>
    <m/>
    <s v=""/>
    <m/>
    <s v=""/>
    <m/>
    <s v=""/>
    <m/>
    <s v=""/>
    <m/>
    <s v=""/>
    <s v=""/>
    <s v=""/>
    <m/>
    <m/>
    <s v=""/>
    <m/>
    <s v=""/>
    <m/>
    <s v=""/>
    <m/>
    <s v=""/>
    <m/>
    <s v=""/>
    <s v=""/>
    <s v=""/>
    <m/>
    <n v="11970"/>
    <n v="315000"/>
    <s v="Historical cost"/>
    <s v="As per approved budget for 2016-2017"/>
    <n v="315000"/>
  </r>
  <r>
    <n v="132"/>
    <m/>
    <s v="MDR-TB"/>
    <s v="Community MDR-TB care delivery"/>
    <s v="Diary products and food parcels to the  TB patients; kefir will be supplied to the DR TB patients, taking PAS in the capacity of the acidic  drink . The cash incentives to the TB ward of psychyatric hospital Chym- Corgon will be replaced with food parcels , 2 children TB hospitals will be supported with diary products , the most vulnerable TB patients of Bishkek city will be provided food parcels during the first 1-2 month of treatment, to survive the period between initiation  of treatment and beginning of payment   of cash incentives  "/>
    <x v="20"/>
    <x v="0"/>
    <n v="12.2"/>
    <s v="United Nations Development Programme"/>
    <x v="0"/>
    <s v="Multilateral – UNDP"/>
    <s v="USD"/>
    <s v="Average cost of support package per person per quarter"/>
    <n v="12"/>
    <s v="KGS"/>
    <s v="Local"/>
    <n v="497.09106666666668"/>
    <n v="7.2674132553606237"/>
    <n v="1875"/>
    <n v="13626.399853801169"/>
    <n v="8905"/>
    <n v="1875"/>
    <n v="13626.399853801169"/>
    <n v="8905"/>
    <m/>
    <s v=""/>
    <m/>
    <s v=""/>
    <n v="3750"/>
    <n v="27252.799707602338"/>
    <n v="17810"/>
    <m/>
    <s v=""/>
    <m/>
    <s v=""/>
    <m/>
    <s v=""/>
    <m/>
    <s v=""/>
    <m/>
    <s v=""/>
    <s v=""/>
    <s v=""/>
    <m/>
    <m/>
    <s v=""/>
    <m/>
    <s v=""/>
    <m/>
    <s v=""/>
    <m/>
    <s v=""/>
    <m/>
    <s v=""/>
    <s v=""/>
    <s v=""/>
    <m/>
    <m/>
    <s v=""/>
    <m/>
    <s v=""/>
    <m/>
    <s v=""/>
    <m/>
    <s v=""/>
    <m/>
    <s v=""/>
    <s v=""/>
    <s v=""/>
    <m/>
    <n v="3750"/>
    <n v="27252.799707602338"/>
    <s v="Quote from supplier"/>
    <s v="As per current contracts"/>
    <n v="9442.7997076023385"/>
  </r>
  <r>
    <n v="133"/>
    <m/>
    <s v="Treatment, care and support"/>
    <s v="Treatment monitoring - Viral load"/>
    <s v="Outsourcing services for regular lab examination of PLHIV-transportation of biological samples taken from PLHIV (blood, serum, plasma) from regional laboratories to the central laboratory of diagnostics of HIV -AIDS Center."/>
    <x v="22"/>
    <x v="1"/>
    <n v="3.4"/>
    <s v="United Nations Development Programme"/>
    <x v="0"/>
    <s v="Multilateral – UNDP"/>
    <s v="USD"/>
    <s v="N/A"/>
    <n v="3"/>
    <s v="KGS"/>
    <s v="Local"/>
    <n v="1950.0000000000002"/>
    <n v="28.508771929824562"/>
    <n v="40"/>
    <n v="1140.3508771929824"/>
    <n v="1140.3508771929824"/>
    <n v="40"/>
    <n v="1140.3508771929824"/>
    <n v="1140.3508771929824"/>
    <m/>
    <s v=""/>
    <m/>
    <s v=""/>
    <n v="80"/>
    <n v="2280.7017543859647"/>
    <n v="2280.7017543859647"/>
    <m/>
    <s v=""/>
    <m/>
    <s v=""/>
    <m/>
    <s v=""/>
    <m/>
    <s v=""/>
    <m/>
    <s v=""/>
    <s v=""/>
    <s v=""/>
    <m/>
    <m/>
    <s v=""/>
    <m/>
    <s v=""/>
    <m/>
    <s v=""/>
    <m/>
    <s v=""/>
    <m/>
    <s v=""/>
    <s v=""/>
    <s v=""/>
    <m/>
    <m/>
    <s v=""/>
    <m/>
    <s v=""/>
    <m/>
    <s v=""/>
    <m/>
    <s v=""/>
    <m/>
    <s v=""/>
    <s v=""/>
    <s v=""/>
    <m/>
    <n v="80"/>
    <n v="2280.7017543859647"/>
    <m/>
    <m/>
    <n v="0"/>
  </r>
  <r>
    <n v="134"/>
    <s v="5.9.37"/>
    <s v="Treatment, care and support"/>
    <s v="Treatment adherence"/>
    <s v="Food and hygiene packages are provided to  PLHIV adherenced to ART ( 320 prisoners among total 1700 clients)"/>
    <x v="20"/>
    <x v="1"/>
    <n v="12.2"/>
    <s v="United Nations Development Programme"/>
    <x v="1"/>
    <s v="Multilateral – UNDP"/>
    <s v="USD"/>
    <s v="Average cost of support package per person per quarter"/>
    <n v="12"/>
    <s v="KGS"/>
    <s v="Local"/>
    <n v="547.20000000000005"/>
    <n v="8"/>
    <n v="320"/>
    <n v="2560"/>
    <n v="2412.2807017543855"/>
    <n v="320"/>
    <n v="2560"/>
    <n v="2412.2807017543855"/>
    <m/>
    <s v=""/>
    <m/>
    <s v=""/>
    <n v="640"/>
    <n v="5120"/>
    <n v="4824.561403508771"/>
    <m/>
    <s v=""/>
    <m/>
    <s v=""/>
    <m/>
    <s v=""/>
    <m/>
    <s v=""/>
    <m/>
    <s v=""/>
    <s v=""/>
    <s v=""/>
    <m/>
    <m/>
    <s v=""/>
    <m/>
    <s v=""/>
    <m/>
    <s v=""/>
    <m/>
    <s v=""/>
    <m/>
    <s v=""/>
    <s v=""/>
    <s v=""/>
    <m/>
    <m/>
    <s v=""/>
    <m/>
    <s v=""/>
    <m/>
    <s v=""/>
    <m/>
    <s v=""/>
    <m/>
    <s v=""/>
    <s v=""/>
    <s v=""/>
    <m/>
    <n v="640"/>
    <n v="5120"/>
    <m/>
    <m/>
    <n v="295.43859649122896"/>
  </r>
  <r>
    <n v="135"/>
    <s v="1.1.4"/>
    <s v="Comprehensive prevention programs for people who inject drugs (PWID) and their partners"/>
    <s v="Needle and Syringe programs for PWID and their partners"/>
    <s v="Social support (for 9 NGO NEPs)"/>
    <x v="20"/>
    <x v="1"/>
    <n v="12.2"/>
    <s v="PWID SR  (RCN and NGOs)"/>
    <x v="1"/>
    <s v="Civil Society - Local Non-Governmental Organization"/>
    <s v="USD"/>
    <s v="Average cost of support package per person per quarter"/>
    <n v="12"/>
    <s v="KGS"/>
    <s v="Local"/>
    <n v="14364.000000000002"/>
    <n v="210"/>
    <n v="9"/>
    <n v="1890"/>
    <n v="0"/>
    <n v="9"/>
    <n v="1890"/>
    <n v="0"/>
    <m/>
    <s v=""/>
    <m/>
    <s v=""/>
    <n v="18"/>
    <n v="3780"/>
    <n v="0"/>
    <m/>
    <s v=""/>
    <m/>
    <s v=""/>
    <m/>
    <s v=""/>
    <m/>
    <s v=""/>
    <m/>
    <s v=""/>
    <s v=""/>
    <s v=""/>
    <m/>
    <m/>
    <s v=""/>
    <m/>
    <s v=""/>
    <m/>
    <s v=""/>
    <m/>
    <s v=""/>
    <m/>
    <s v=""/>
    <s v=""/>
    <s v=""/>
    <m/>
    <m/>
    <s v=""/>
    <m/>
    <s v=""/>
    <m/>
    <s v=""/>
    <m/>
    <s v=""/>
    <m/>
    <s v=""/>
    <s v=""/>
    <s v=""/>
    <m/>
    <n v="18"/>
    <n v="3780"/>
    <m/>
    <m/>
    <n v="3780"/>
  </r>
  <r>
    <n v="136"/>
    <s v="1.3.166"/>
    <s v="Comprehensive prevention programs for people who inject drugs (PWID) and their partners"/>
    <s v="OST and other drug dependence treatment for PWID"/>
    <s v="Motivational support for OST clients: Detox-therapy for OST clients who uses unlegal substances (5 clients per month ); Providing psychological support for OST clients;"/>
    <x v="24"/>
    <x v="1"/>
    <n v="12.5"/>
    <s v="RCN  (Republican Center of Narcology)"/>
    <x v="1"/>
    <s v="Government - Other"/>
    <s v="USD"/>
    <s v="N/A"/>
    <n v="12"/>
    <s v="KGS"/>
    <s v="Local"/>
    <n v="34506.951428571425"/>
    <n v="504.4875939849623"/>
    <n v="7"/>
    <n v="3531.4131578947363"/>
    <n v="1796.1403508771928"/>
    <n v="7"/>
    <n v="3531.4131578947363"/>
    <n v="1796.1403508771928"/>
    <m/>
    <s v=""/>
    <m/>
    <s v=""/>
    <n v="14"/>
    <n v="7062.8263157894726"/>
    <n v="3592.2807017543855"/>
    <m/>
    <s v=""/>
    <m/>
    <s v=""/>
    <m/>
    <s v=""/>
    <m/>
    <s v=""/>
    <m/>
    <s v=""/>
    <s v=""/>
    <s v=""/>
    <m/>
    <m/>
    <s v=""/>
    <m/>
    <s v=""/>
    <m/>
    <s v=""/>
    <m/>
    <s v=""/>
    <m/>
    <s v=""/>
    <s v=""/>
    <s v=""/>
    <m/>
    <m/>
    <s v=""/>
    <m/>
    <s v=""/>
    <m/>
    <s v=""/>
    <m/>
    <s v=""/>
    <m/>
    <s v=""/>
    <s v=""/>
    <s v=""/>
    <m/>
    <n v="14"/>
    <n v="7062.8263157894726"/>
    <m/>
    <m/>
    <n v="3470.5456140350871"/>
  </r>
  <r>
    <n v="137"/>
    <s v="1.3.194"/>
    <s v="Comprehensive prevention programs for people who inject drugs (PWID) and their partners"/>
    <s v="OST and other drug dependence treatment for PWID"/>
    <s v="The support of 7 OST units in penitenciary sector: Mini sessions for OST clients (once per quarter)"/>
    <x v="20"/>
    <x v="1"/>
    <n v="12.2"/>
    <s v="RCN  (Republican Center of Narcology)"/>
    <x v="1"/>
    <s v="Government - Other"/>
    <s v="USD"/>
    <s v="Average cost of support package per person per quarter"/>
    <n v="12"/>
    <s v="KGS"/>
    <s v="Local"/>
    <n v="114"/>
    <n v="1.6666666666666665"/>
    <n v="350"/>
    <n v="583.33333333333326"/>
    <n v="0"/>
    <n v="350"/>
    <n v="583.33333333333326"/>
    <n v="0"/>
    <m/>
    <s v=""/>
    <m/>
    <s v=""/>
    <n v="700"/>
    <n v="1166.6666666666665"/>
    <n v="0"/>
    <m/>
    <s v=""/>
    <m/>
    <s v=""/>
    <m/>
    <s v=""/>
    <m/>
    <s v=""/>
    <m/>
    <s v=""/>
    <s v=""/>
    <s v=""/>
    <m/>
    <m/>
    <s v=""/>
    <m/>
    <s v=""/>
    <m/>
    <s v=""/>
    <m/>
    <s v=""/>
    <m/>
    <s v=""/>
    <s v=""/>
    <s v=""/>
    <m/>
    <m/>
    <s v=""/>
    <m/>
    <s v=""/>
    <m/>
    <s v=""/>
    <m/>
    <s v=""/>
    <m/>
    <s v=""/>
    <s v=""/>
    <s v=""/>
    <m/>
    <n v="700"/>
    <n v="1166.6666666666665"/>
    <m/>
    <m/>
    <n v="1166.6666666666665"/>
  </r>
  <r>
    <n v="138"/>
    <m/>
    <s v="Program management"/>
    <s v="Grant management"/>
    <s v="The support of the central MOH unit responsible to take over the Project management- Head of the unit and Coordinators' salaries. "/>
    <x v="17"/>
    <x v="3"/>
    <n v="1.1000000000000001"/>
    <s v="MOH"/>
    <x v="1"/>
    <s v="Government - Ministry of Health"/>
    <s v="USD"/>
    <s v="Average gross salary per FTE (person) per quarter"/>
    <n v="1"/>
    <s v="KGS"/>
    <s v="Local"/>
    <n v="257950"/>
    <n v="3771.1988304093566"/>
    <n v="6"/>
    <n v="22627.192982456138"/>
    <n v="0"/>
    <n v="6"/>
    <n v="22627.192982456138"/>
    <n v="0"/>
    <m/>
    <s v=""/>
    <m/>
    <s v=""/>
    <n v="12"/>
    <n v="45254.385964912275"/>
    <n v="0"/>
    <m/>
    <s v=""/>
    <m/>
    <s v=""/>
    <m/>
    <s v=""/>
    <m/>
    <s v=""/>
    <m/>
    <s v=""/>
    <s v=""/>
    <s v=""/>
    <m/>
    <m/>
    <s v=""/>
    <m/>
    <s v=""/>
    <m/>
    <s v=""/>
    <m/>
    <s v=""/>
    <m/>
    <s v=""/>
    <s v=""/>
    <s v=""/>
    <m/>
    <m/>
    <s v=""/>
    <m/>
    <s v=""/>
    <m/>
    <s v=""/>
    <m/>
    <s v=""/>
    <m/>
    <s v=""/>
    <s v=""/>
    <s v=""/>
    <m/>
    <n v="12"/>
    <n v="45254.385964912275"/>
    <m/>
    <m/>
    <n v="45254.385964912275"/>
  </r>
  <r>
    <n v="139"/>
    <s v="9.14.58"/>
    <s v="Program management"/>
    <s v="Grant management"/>
    <s v="The support of the central MOH unit responsible to take over the Project management -  the programme and administrative staff salaries. "/>
    <x v="16"/>
    <x v="3"/>
    <n v="1.2"/>
    <s v="MOH"/>
    <x v="1"/>
    <s v="Government - Ministry of Health"/>
    <s v="USD"/>
    <s v="Average payment per FTE (person) per quarter"/>
    <n v="1"/>
    <s v="KGS"/>
    <s v="Local"/>
    <n v="211158.23076923081"/>
    <n v="3087.1086369770583"/>
    <n v="6.5"/>
    <n v="20066.206140350878"/>
    <n v="4500"/>
    <n v="6.5"/>
    <n v="20066.206140350878"/>
    <n v="4500"/>
    <m/>
    <s v=""/>
    <m/>
    <s v=""/>
    <n v="13"/>
    <n v="40132.412280701756"/>
    <n v="9000"/>
    <m/>
    <s v=""/>
    <m/>
    <s v=""/>
    <m/>
    <s v=""/>
    <m/>
    <s v=""/>
    <m/>
    <s v=""/>
    <s v=""/>
    <s v=""/>
    <m/>
    <m/>
    <s v=""/>
    <m/>
    <s v=""/>
    <m/>
    <s v=""/>
    <m/>
    <s v=""/>
    <m/>
    <s v=""/>
    <s v=""/>
    <s v=""/>
    <m/>
    <m/>
    <s v=""/>
    <m/>
    <s v=""/>
    <m/>
    <s v=""/>
    <m/>
    <s v=""/>
    <m/>
    <s v=""/>
    <s v=""/>
    <s v=""/>
    <m/>
    <n v="13"/>
    <n v="40132.412280701756"/>
    <m/>
    <m/>
    <n v="31132.412280701756"/>
  </r>
  <r>
    <n v="140"/>
    <m/>
    <s v="Program management"/>
    <s v="Grant management"/>
    <s v="The support of the central MOH unit responsible to take over the Project management - the costs for regular monitoring visits jointly with MoH staff to the regions of KR. "/>
    <x v="23"/>
    <x v="3"/>
    <n v="2.2999999999999998"/>
    <s v="MOH"/>
    <x v="1"/>
    <s v="Government - Ministry of Health"/>
    <s v="USD"/>
    <s v="Average cost of subsistence per person per day"/>
    <n v="2"/>
    <s v="KGS"/>
    <s v="Local"/>
    <n v="5182.5000000000009"/>
    <n v="75.767543859649123"/>
    <n v="10"/>
    <n v="757.67543859649118"/>
    <n v="0"/>
    <n v="10"/>
    <n v="757.67543859649118"/>
    <n v="0"/>
    <m/>
    <s v=""/>
    <m/>
    <s v=""/>
    <n v="20"/>
    <n v="1515.3508771929824"/>
    <n v="0"/>
    <m/>
    <s v=""/>
    <m/>
    <s v=""/>
    <m/>
    <s v=""/>
    <m/>
    <s v=""/>
    <m/>
    <s v=""/>
    <s v=""/>
    <s v=""/>
    <m/>
    <m/>
    <s v=""/>
    <m/>
    <s v=""/>
    <m/>
    <s v=""/>
    <m/>
    <s v=""/>
    <m/>
    <s v=""/>
    <s v=""/>
    <s v=""/>
    <m/>
    <m/>
    <s v=""/>
    <m/>
    <s v=""/>
    <m/>
    <s v=""/>
    <m/>
    <s v=""/>
    <m/>
    <s v=""/>
    <s v=""/>
    <s v=""/>
    <m/>
    <n v="20"/>
    <n v="1515.3508771929824"/>
    <m/>
    <m/>
    <n v="1515.3508771929824"/>
  </r>
  <r>
    <n v="141"/>
    <s v="9.14.65"/>
    <s v="Program management"/>
    <s v="Grant management"/>
    <s v="The support of the central MOH unit responsible to take over the Project management - the office related costs.  "/>
    <x v="18"/>
    <x v="3"/>
    <n v="11.1"/>
    <s v="MOH"/>
    <x v="1"/>
    <s v="Government - Ministry of Health"/>
    <s v="USD"/>
    <s v="Average office cost per office unit per quarter"/>
    <n v="11"/>
    <s v="KGS"/>
    <s v="Local"/>
    <n v="114345"/>
    <n v="1671.7105263157894"/>
    <n v="1"/>
    <n v="1671.7105263157894"/>
    <n v="540"/>
    <n v="1"/>
    <n v="1671.7105263157894"/>
    <n v="540"/>
    <m/>
    <s v=""/>
    <m/>
    <s v=""/>
    <n v="2"/>
    <n v="3343.4210526315787"/>
    <n v="1080"/>
    <m/>
    <s v=""/>
    <m/>
    <s v=""/>
    <m/>
    <s v=""/>
    <m/>
    <s v=""/>
    <m/>
    <s v=""/>
    <s v=""/>
    <s v=""/>
    <m/>
    <m/>
    <s v=""/>
    <m/>
    <s v=""/>
    <m/>
    <s v=""/>
    <m/>
    <s v=""/>
    <m/>
    <s v=""/>
    <s v=""/>
    <s v=""/>
    <m/>
    <m/>
    <s v=""/>
    <m/>
    <s v=""/>
    <m/>
    <s v=""/>
    <m/>
    <s v=""/>
    <m/>
    <s v=""/>
    <s v=""/>
    <s v=""/>
    <m/>
    <n v="2"/>
    <n v="3343.4210526315787"/>
    <m/>
    <m/>
    <n v="2263.4210526315787"/>
  </r>
  <r>
    <n v="142"/>
    <m/>
    <s v="Program management"/>
    <s v="Policy, planning, coordination and management of national disease control programs"/>
    <s v="Conduct a workshop for PIU and MoH KR staff on the components of the Operational Manual. One-day working meeting for 40 participants in Bishkek. "/>
    <x v="29"/>
    <x v="3"/>
    <n v="2.1"/>
    <s v="MOH"/>
    <x v="1"/>
    <s v="Government - Ministry of Health"/>
    <s v="USD"/>
    <s v="Average cost of training per person per day"/>
    <n v="2"/>
    <s v="KGS"/>
    <s v="Local"/>
    <n v="6361.2000000000007"/>
    <n v="93"/>
    <n v="40"/>
    <n v="3720"/>
    <n v="0"/>
    <n v="0"/>
    <n v="0"/>
    <n v="0"/>
    <m/>
    <s v=""/>
    <m/>
    <s v=""/>
    <n v="40"/>
    <n v="3720"/>
    <n v="0"/>
    <m/>
    <s v=""/>
    <m/>
    <s v=""/>
    <m/>
    <s v=""/>
    <m/>
    <s v=""/>
    <m/>
    <s v=""/>
    <s v=""/>
    <s v=""/>
    <m/>
    <m/>
    <s v=""/>
    <m/>
    <s v=""/>
    <m/>
    <s v=""/>
    <m/>
    <s v=""/>
    <m/>
    <s v=""/>
    <s v=""/>
    <s v=""/>
    <m/>
    <m/>
    <s v=""/>
    <m/>
    <s v=""/>
    <m/>
    <s v=""/>
    <m/>
    <s v=""/>
    <m/>
    <s v=""/>
    <s v=""/>
    <s v=""/>
    <m/>
    <n v="40"/>
    <n v="3720"/>
    <m/>
    <m/>
    <n v="3720"/>
  </r>
  <r>
    <n v="143"/>
    <m/>
    <s v="Program management"/>
    <s v="Policy, planning, coordination and management of national disease control programs"/>
    <s v="Capacity building plan to transfer PR-ship from UNDP to MOH has been developed, costed and agreed by CCM. The plan provides clear timeframes and outcomes - The costs for all training activities."/>
    <x v="26"/>
    <x v="3"/>
    <n v="2.4"/>
    <s v="MOH"/>
    <x v="1"/>
    <s v="Government - Ministry of Health"/>
    <s v="USD"/>
    <s v="Average cost of event per participant per day"/>
    <n v="2"/>
    <s v="KGS"/>
    <s v="Local"/>
    <n v="1407.9"/>
    <n v="20.583333333333332"/>
    <n v="39.109311740890689"/>
    <n v="805"/>
    <n v="0"/>
    <n v="20.890688259109314"/>
    <n v="430.00000000000006"/>
    <n v="0"/>
    <m/>
    <s v=""/>
    <m/>
    <s v=""/>
    <n v="60"/>
    <n v="1235"/>
    <n v="0"/>
    <m/>
    <s v=""/>
    <m/>
    <s v=""/>
    <m/>
    <s v=""/>
    <m/>
    <s v=""/>
    <m/>
    <s v=""/>
    <s v=""/>
    <s v=""/>
    <m/>
    <m/>
    <s v=""/>
    <m/>
    <s v=""/>
    <m/>
    <s v=""/>
    <m/>
    <s v=""/>
    <m/>
    <s v=""/>
    <s v=""/>
    <s v=""/>
    <m/>
    <m/>
    <s v=""/>
    <m/>
    <s v=""/>
    <m/>
    <s v=""/>
    <m/>
    <s v=""/>
    <m/>
    <s v=""/>
    <s v=""/>
    <s v=""/>
    <m/>
    <n v="60"/>
    <n v="1235"/>
    <m/>
    <m/>
    <n v="1235"/>
  </r>
  <r>
    <n v="144"/>
    <m/>
    <s v="RSSH: Health management information systems and M&amp;E"/>
    <s v="Routine reporting"/>
    <s v=" Technical support to the National TB program on implementationof the GF grant: 5 national level technical specialists of NTP will be paid top up salaries  for additional work, associated with the GF grant implementation:  NTP Drug management Coordinator  , NTP M&amp;E Coordinator , NTP DR-TB Coordinator, National TB program Coordinator ,  Electronic Database coordinator.  IC specialist will be contracted to UNDP PMU to conduct the technical work, associated  with entering the data on  TB patients adherence to treatment .  Oblast TB program Coordinators  will be paid top up salaries for  coordination, supervision of implementation of the  SR Argeements with UNDP  in oblast level,  contrating of the fuel supply companies, CT  diagnostic centers,  providing viechle for M&amp;E visits etc  ( TB program coordinators of Chui ,Naryn, Talas,  Issyk-Kul, Osh, Jalal-Abad, Batken  oblast TB centers,  Bishkek city TB center ) "/>
    <x v="25"/>
    <x v="0"/>
    <n v="3.1"/>
    <s v="TB Centers"/>
    <x v="1"/>
    <s v="Government - Other"/>
    <s v="USD"/>
    <s v="Consultant fee per person per workday"/>
    <n v="3"/>
    <s v="KGS"/>
    <s v="Local"/>
    <n v="747.63340909090903"/>
    <n v="10.930312998405102"/>
    <n v="924"/>
    <n v="10099.609210526314"/>
    <n v="0"/>
    <n v="924"/>
    <n v="10099.609210526314"/>
    <n v="0"/>
    <m/>
    <s v=""/>
    <m/>
    <s v=""/>
    <n v="1848"/>
    <n v="20199.218421052628"/>
    <n v="0"/>
    <m/>
    <s v=""/>
    <m/>
    <s v=""/>
    <m/>
    <s v=""/>
    <m/>
    <s v=""/>
    <m/>
    <s v=""/>
    <s v=""/>
    <s v=""/>
    <m/>
    <m/>
    <s v=""/>
    <m/>
    <s v=""/>
    <m/>
    <s v=""/>
    <m/>
    <s v=""/>
    <m/>
    <s v=""/>
    <s v=""/>
    <s v=""/>
    <m/>
    <m/>
    <s v=""/>
    <m/>
    <s v=""/>
    <m/>
    <s v=""/>
    <m/>
    <s v=""/>
    <m/>
    <s v=""/>
    <s v=""/>
    <s v=""/>
    <m/>
    <n v="1848"/>
    <n v="20199.218421052628"/>
    <s v="Historical cost"/>
    <s v="As per SR agreement for 2017 within approved grant budget for 2016-2017"/>
    <n v="20199.218421052628"/>
  </r>
  <r>
    <n v="145"/>
    <m/>
    <s v="MDR-TB"/>
    <s v="Community MDR-TB care delivery"/>
    <s v="Incentives for drug-resistant  patients included in the treatment (reimbursment of transportation cost)"/>
    <x v="27"/>
    <x v="0"/>
    <n v="12.3"/>
    <s v="TB Centers"/>
    <x v="1"/>
    <s v="Government - Other"/>
    <s v="USD"/>
    <s v="Average amount of incentives per person per quarter"/>
    <n v="12"/>
    <s v="KGS"/>
    <s v="Local"/>
    <n v="407.49999999999994"/>
    <n v="5.9576023391812853"/>
    <n v="2520"/>
    <n v="15013.15789473684"/>
    <n v="0"/>
    <n v="2520"/>
    <n v="15013.15789473684"/>
    <n v="0"/>
    <m/>
    <s v=""/>
    <m/>
    <s v=""/>
    <n v="5040"/>
    <n v="30026.31578947368"/>
    <n v="0"/>
    <m/>
    <s v=""/>
    <m/>
    <s v=""/>
    <m/>
    <s v=""/>
    <m/>
    <s v=""/>
    <m/>
    <s v=""/>
    <s v=""/>
    <s v=""/>
    <m/>
    <m/>
    <s v=""/>
    <m/>
    <s v=""/>
    <m/>
    <s v=""/>
    <m/>
    <s v=""/>
    <m/>
    <s v=""/>
    <s v=""/>
    <s v=""/>
    <m/>
    <m/>
    <s v=""/>
    <m/>
    <s v=""/>
    <m/>
    <s v=""/>
    <m/>
    <s v=""/>
    <m/>
    <s v=""/>
    <s v=""/>
    <s v=""/>
    <m/>
    <n v="5040"/>
    <n v="30026.31578947368"/>
    <s v="Historical cost"/>
    <s v="As per approved budget for 2016-2017"/>
    <n v="30026.31578947368"/>
  </r>
  <r>
    <n v="146"/>
    <m/>
    <s v="MDR-TB"/>
    <s v="Community MDR-TB care delivery"/>
    <s v="Tomography services and diagnosis for TB patients. CT for children"/>
    <x v="24"/>
    <x v="0"/>
    <n v="12.5"/>
    <s v="United Nations Development Programme"/>
    <x v="0"/>
    <s v="Multilateral – UNDP"/>
    <s v="USD"/>
    <s v="N/A"/>
    <n v="12"/>
    <s v="KGS"/>
    <s v="Local"/>
    <n v="3499.9999999999995"/>
    <n v="51.169590643274844"/>
    <n v="128"/>
    <n v="6549.7076023391801"/>
    <n v="6549.7076023391801"/>
    <n v="128"/>
    <n v="6549.7076023391801"/>
    <n v="6549.7076023391801"/>
    <m/>
    <s v=""/>
    <m/>
    <s v=""/>
    <n v="256"/>
    <n v="13099.41520467836"/>
    <n v="13099.41520467836"/>
    <m/>
    <s v=""/>
    <m/>
    <s v=""/>
    <m/>
    <s v=""/>
    <m/>
    <s v=""/>
    <m/>
    <s v=""/>
    <s v=""/>
    <s v=""/>
    <m/>
    <m/>
    <s v=""/>
    <m/>
    <s v=""/>
    <m/>
    <s v=""/>
    <m/>
    <s v=""/>
    <m/>
    <s v=""/>
    <s v=""/>
    <s v=""/>
    <m/>
    <m/>
    <s v=""/>
    <m/>
    <s v=""/>
    <m/>
    <s v=""/>
    <m/>
    <s v=""/>
    <m/>
    <s v=""/>
    <s v=""/>
    <s v=""/>
    <m/>
    <n v="256"/>
    <n v="13099.41520467836"/>
    <s v="Quote from supplier"/>
    <s v="As per current contracts"/>
    <n v="0"/>
  </r>
  <r>
    <n v="147"/>
    <m/>
    <s v="Program management"/>
    <s v="Grant management"/>
    <s v="NTC management costs: performance based payment to TB centers staff_x000a_National TB Centers in Bishkek and regions"/>
    <x v="19"/>
    <x v="0"/>
    <n v="1.3"/>
    <s v="TB Centers"/>
    <x v="1"/>
    <s v="Government - Other"/>
    <s v="USD"/>
    <s v="Average payment per FTE (person) per quarter"/>
    <n v="1"/>
    <s v="KGS"/>
    <s v="Local"/>
    <n v="17383.891795789474"/>
    <n v="254.15046485072327"/>
    <n v="285"/>
    <n v="72432.882482456131"/>
    <n v="0"/>
    <n v="285"/>
    <n v="72432.882482456131"/>
    <n v="0"/>
    <m/>
    <s v=""/>
    <m/>
    <s v=""/>
    <n v="570"/>
    <n v="144865.76496491226"/>
    <n v="0"/>
    <m/>
    <s v=""/>
    <m/>
    <s v=""/>
    <m/>
    <s v=""/>
    <m/>
    <s v=""/>
    <m/>
    <s v=""/>
    <s v=""/>
    <s v=""/>
    <m/>
    <m/>
    <s v=""/>
    <m/>
    <s v=""/>
    <m/>
    <s v=""/>
    <m/>
    <s v=""/>
    <m/>
    <s v=""/>
    <s v=""/>
    <s v=""/>
    <m/>
    <m/>
    <s v=""/>
    <m/>
    <s v=""/>
    <m/>
    <s v=""/>
    <m/>
    <s v=""/>
    <m/>
    <s v=""/>
    <s v=""/>
    <s v=""/>
    <m/>
    <n v="570"/>
    <n v="144865.76496491226"/>
    <s v="Historical cost"/>
    <s v="As per approved budget for 2016-2017"/>
    <n v="144865.76496491226"/>
  </r>
  <r>
    <n v="148"/>
    <m/>
    <s v="MDR-TB"/>
    <s v="Case detection and diagnosis: MDR-TB"/>
    <s v="Establishment of routine drug resistance surveillance: transportation of sputum samples  from PHC facilities to laboratories of rayn and oblast levels  in Naryn oblast. Servises of the transportation company .transportation of cultures  from oblast TB centers to the National\regional DST laboratories  in Osh and Bishkek._x000a_"/>
    <x v="23"/>
    <x v="0"/>
    <n v="2.2999999999999998"/>
    <s v="United Nations Development Programme"/>
    <x v="0"/>
    <s v="Multilateral – UNDP"/>
    <s v="USD"/>
    <s v="Average cost of subsistence per person per day"/>
    <n v="2"/>
    <s v="KGS"/>
    <s v="Local"/>
    <n v="38577.810606060601"/>
    <n v="564.00307903597366"/>
    <n v="33"/>
    <n v="18612.101608187131"/>
    <n v="0"/>
    <n v="33"/>
    <n v="18612.101608187131"/>
    <n v="0"/>
    <m/>
    <s v=""/>
    <m/>
    <s v=""/>
    <n v="66"/>
    <n v="37224.203216374262"/>
    <n v="0"/>
    <m/>
    <s v=""/>
    <m/>
    <s v=""/>
    <m/>
    <s v=""/>
    <m/>
    <s v=""/>
    <m/>
    <s v=""/>
    <s v=""/>
    <s v=""/>
    <m/>
    <m/>
    <s v=""/>
    <m/>
    <s v=""/>
    <m/>
    <s v=""/>
    <m/>
    <s v=""/>
    <m/>
    <s v=""/>
    <s v=""/>
    <s v=""/>
    <m/>
    <m/>
    <s v=""/>
    <m/>
    <s v=""/>
    <m/>
    <s v=""/>
    <m/>
    <s v=""/>
    <m/>
    <s v=""/>
    <s v=""/>
    <s v=""/>
    <m/>
    <n v="66"/>
    <n v="37224.203216374262"/>
    <s v="Detailed workings"/>
    <m/>
    <n v="37224.203216374262"/>
  </r>
  <r>
    <n v="149"/>
    <m/>
    <s v="RSSH: Health management information systems and M&amp;E"/>
    <s v="Routine reporting"/>
    <s v="M&amp;E visit of 10 TB SR for Strengthening monitoring of the program and reporting, recording for improved case finding and treatment."/>
    <x v="23"/>
    <x v="0"/>
    <n v="2.2999999999999998"/>
    <s v="TB Centers"/>
    <x v="1"/>
    <s v="Government - Other"/>
    <s v="USD"/>
    <s v="Average cost of subsistence per person per day"/>
    <n v="2"/>
    <s v="KGS"/>
    <s v="Local"/>
    <n v="5130"/>
    <n v="75"/>
    <n v="191"/>
    <n v="14325"/>
    <n v="0"/>
    <n v="191"/>
    <n v="14325"/>
    <n v="0"/>
    <m/>
    <s v=""/>
    <m/>
    <s v=""/>
    <n v="382"/>
    <n v="28650"/>
    <n v="0"/>
    <m/>
    <s v=""/>
    <m/>
    <s v=""/>
    <m/>
    <s v=""/>
    <m/>
    <s v=""/>
    <m/>
    <s v=""/>
    <s v=""/>
    <s v=""/>
    <m/>
    <m/>
    <s v=""/>
    <m/>
    <s v=""/>
    <m/>
    <s v=""/>
    <m/>
    <s v=""/>
    <m/>
    <s v=""/>
    <s v=""/>
    <s v=""/>
    <m/>
    <m/>
    <s v=""/>
    <m/>
    <s v=""/>
    <m/>
    <s v=""/>
    <m/>
    <s v=""/>
    <m/>
    <s v=""/>
    <s v=""/>
    <s v=""/>
    <m/>
    <n v="382"/>
    <n v="28650"/>
    <s v="Detailed workings"/>
    <m/>
    <n v="28650"/>
  </r>
  <r>
    <n v="150"/>
    <m/>
    <s v="Program management"/>
    <s v="Grant management"/>
    <s v="PR managemnet costs: In-country distribution costs: from central warehouse to final destinations (SRs, national partners)"/>
    <x v="32"/>
    <x v="2"/>
    <n v="7.4"/>
    <s v="United Nations Development Programme"/>
    <x v="0"/>
    <s v="Multilateral – UNDP"/>
    <s v="USD"/>
    <s v="N/A"/>
    <n v="7"/>
    <s v="KGS"/>
    <s v="Local"/>
    <n v="241642.8"/>
    <n v="3532.78947368421"/>
    <n v="3"/>
    <n v="10598.36842105263"/>
    <n v="10598.36842105263"/>
    <n v="3"/>
    <n v="10598.36842105263"/>
    <n v="10598.36842105263"/>
    <m/>
    <s v=""/>
    <m/>
    <s v=""/>
    <n v="6"/>
    <n v="21196.73684210526"/>
    <n v="21196.73684210526"/>
    <m/>
    <s v=""/>
    <m/>
    <s v=""/>
    <m/>
    <s v=""/>
    <m/>
    <s v=""/>
    <m/>
    <s v=""/>
    <s v=""/>
    <s v=""/>
    <m/>
    <m/>
    <s v=""/>
    <m/>
    <s v=""/>
    <m/>
    <s v=""/>
    <m/>
    <s v=""/>
    <m/>
    <s v=""/>
    <s v=""/>
    <s v=""/>
    <m/>
    <m/>
    <s v=""/>
    <m/>
    <s v=""/>
    <m/>
    <s v=""/>
    <m/>
    <s v=""/>
    <m/>
    <s v=""/>
    <s v=""/>
    <s v=""/>
    <m/>
    <n v="6"/>
    <n v="21196.73684210526"/>
    <s v="Quote from supplier"/>
    <s v="As per current contracts"/>
    <n v="0"/>
  </r>
  <r>
    <n v="151"/>
    <m/>
    <s v="Program management"/>
    <s v="Grant management"/>
    <s v="PR management costs: rent of warehouse, insurance of storage"/>
    <x v="33"/>
    <x v="2"/>
    <n v="7.3"/>
    <s v="United Nations Development Programme"/>
    <x v="0"/>
    <s v="Multilateral – UNDP"/>
    <s v="USD"/>
    <s v="N/A"/>
    <n v="7"/>
    <s v="KGS"/>
    <s v="Local"/>
    <n v="687420"/>
    <n v="10050"/>
    <n v="1"/>
    <n v="10050"/>
    <n v="10050"/>
    <n v="1"/>
    <n v="10050"/>
    <n v="10050"/>
    <m/>
    <s v=""/>
    <m/>
    <s v=""/>
    <n v="2"/>
    <n v="20100"/>
    <n v="20100"/>
    <m/>
    <s v=""/>
    <m/>
    <s v=""/>
    <m/>
    <s v=""/>
    <m/>
    <s v=""/>
    <m/>
    <s v=""/>
    <s v=""/>
    <s v=""/>
    <m/>
    <m/>
    <s v=""/>
    <m/>
    <s v=""/>
    <m/>
    <s v=""/>
    <m/>
    <s v=""/>
    <m/>
    <s v=""/>
    <s v=""/>
    <s v=""/>
    <m/>
    <m/>
    <s v=""/>
    <m/>
    <s v=""/>
    <m/>
    <s v=""/>
    <m/>
    <s v=""/>
    <m/>
    <s v=""/>
    <s v=""/>
    <s v=""/>
    <m/>
    <n v="2"/>
    <n v="20100"/>
    <s v="Quote from supplier"/>
    <s v="As per current contracts"/>
    <n v="0"/>
  </r>
  <r>
    <n v="152"/>
    <m/>
    <s v="Program management"/>
    <s v="Grant management"/>
    <s v="PR management costs: GMS 7%"/>
    <x v="34"/>
    <x v="2"/>
    <n v="11.3"/>
    <s v="United Nations Development Programme"/>
    <x v="0"/>
    <s v="Multilateral – UNDP"/>
    <s v="USD"/>
    <s v="N/A"/>
    <n v="11"/>
    <s v="USD"/>
    <s v="Grant"/>
    <n v="7.0000000000000007E-2"/>
    <n v="7.0000000000000007E-2"/>
    <n v="7818121.8558877297"/>
    <n v="547268.52991214115"/>
    <n v="148585.04402129143"/>
    <m/>
    <m/>
    <n v="81000.228851993161"/>
    <m/>
    <s v=""/>
    <m/>
    <s v=""/>
    <n v="9340884.824016979"/>
    <n v="653861.93768118857"/>
    <n v="229585.27287328459"/>
    <m/>
    <s v=""/>
    <m/>
    <s v=""/>
    <m/>
    <s v=""/>
    <m/>
    <s v=""/>
    <m/>
    <s v=""/>
    <s v=""/>
    <s v=""/>
    <m/>
    <m/>
    <s v=""/>
    <m/>
    <s v=""/>
    <m/>
    <s v=""/>
    <m/>
    <s v=""/>
    <m/>
    <s v=""/>
    <s v=""/>
    <s v=""/>
    <m/>
    <m/>
    <s v=""/>
    <m/>
    <s v=""/>
    <m/>
    <s v=""/>
    <m/>
    <s v=""/>
    <m/>
    <s v=""/>
    <s v=""/>
    <s v=""/>
    <m/>
    <n v="9340884.824016979"/>
    <n v="653861.93768118857"/>
    <m/>
    <m/>
    <n v="424276.66480790399"/>
  </r>
  <r>
    <m/>
    <m/>
    <m/>
    <m/>
    <m/>
    <x v="35"/>
    <x v="4"/>
    <m/>
    <m/>
    <x v="2"/>
    <m/>
    <m/>
    <m/>
    <m/>
    <m/>
    <m/>
    <m/>
    <m/>
    <m/>
    <n v="8365390.3857998708"/>
    <n v="2271228.5300397398"/>
    <m/>
    <n v="1522762.9681292491"/>
    <n v="1238146.3553090382"/>
    <m/>
    <m/>
    <m/>
    <m/>
    <n v="15663091.207828093"/>
    <n v="9994746.7616981622"/>
    <n v="3509374.8853487778"/>
    <m/>
    <m/>
    <m/>
    <m/>
    <m/>
    <m/>
    <m/>
    <m/>
    <m/>
    <m/>
    <m/>
    <m/>
    <m/>
    <m/>
    <m/>
    <m/>
    <m/>
    <m/>
    <m/>
    <m/>
    <m/>
    <m/>
    <m/>
    <m/>
    <m/>
    <m/>
    <m/>
    <m/>
    <m/>
    <m/>
    <m/>
    <m/>
    <m/>
    <m/>
    <m/>
    <m/>
    <m/>
    <m/>
    <m/>
    <m/>
    <n v="9994746.7616981622"/>
    <m/>
    <m/>
    <n v="6485371.87634938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СводнаяТаблица6" cacheId="0" applyNumberFormats="0" applyBorderFormats="0" applyFontFormats="0" applyPatternFormats="0" applyAlignmentFormats="0" applyWidthHeightFormats="1" dataCaption="Значения" updatedVersion="5" minRefreshableVersion="3" useAutoFormatting="1" itemPrintTitles="1" createdVersion="5" indent="0" compact="0" compactData="0" gridDropZones="1" multipleFieldFilters="0">
  <location ref="A3:F83" firstHeaderRow="1" firstDataRow="2" firstDataCol="3"/>
  <pivotFields count="75">
    <pivotField compact="0" outline="0" showAll="0"/>
    <pivotField compact="0" outline="0" showAll="0" defaultSubtotal="0"/>
    <pivotField compact="0" outline="0" showAll="0"/>
    <pivotField compact="0" outline="0" showAll="0"/>
    <pivotField compact="0" outline="0" showAll="0"/>
    <pivotField axis="axisRow" compact="0" outline="0" showAll="0">
      <items count="37">
        <item x="17"/>
        <item x="16"/>
        <item x="19"/>
        <item x="28"/>
        <item x="18"/>
        <item x="34"/>
        <item x="20"/>
        <item x="27"/>
        <item x="24"/>
        <item x="29"/>
        <item x="31"/>
        <item x="23"/>
        <item x="26"/>
        <item x="25"/>
        <item x="30"/>
        <item x="22"/>
        <item x="13"/>
        <item x="0"/>
        <item x="11"/>
        <item x="12"/>
        <item x="9"/>
        <item x="10"/>
        <item x="1"/>
        <item x="2"/>
        <item x="3"/>
        <item x="4"/>
        <item x="15"/>
        <item x="14"/>
        <item x="5"/>
        <item x="6"/>
        <item x="7"/>
        <item x="33"/>
        <item x="32"/>
        <item x="8"/>
        <item x="21"/>
        <item h="1" x="35"/>
        <item t="default"/>
      </items>
    </pivotField>
    <pivotField axis="axisRow" compact="0" outline="0" showAll="0">
      <items count="6">
        <item x="1"/>
        <item x="3"/>
        <item x="0"/>
        <item x="2"/>
        <item h="1" x="4"/>
        <item t="default"/>
      </items>
    </pivotField>
    <pivotField compact="0" outline="0" showAll="0"/>
    <pivotField compact="0" outline="0" showAll="0"/>
    <pivotField axis="axisRow" compact="0" outline="0" showAll="0">
      <items count="4">
        <item x="0"/>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71" outline="0" showAll="0"/>
    <pivotField dataField="1" compact="0" numFmtId="171"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71" outline="0" showAll="0"/>
    <pivotField compact="0" outline="0" showAll="0"/>
    <pivotField compact="0" outline="0" showAll="0"/>
    <pivotField dataField="1" compact="0" numFmtId="171" outline="0" showAll="0"/>
  </pivotFields>
  <rowFields count="3">
    <field x="6"/>
    <field x="9"/>
    <field x="5"/>
  </rowFields>
  <rowItems count="79">
    <i>
      <x/>
      <x/>
      <x v="3"/>
    </i>
    <i r="2">
      <x v="9"/>
    </i>
    <i r="2">
      <x v="15"/>
    </i>
    <i r="2">
      <x v="16"/>
    </i>
    <i r="2">
      <x v="18"/>
    </i>
    <i r="2">
      <x v="19"/>
    </i>
    <i r="2">
      <x v="20"/>
    </i>
    <i r="2">
      <x v="21"/>
    </i>
    <i r="2">
      <x v="22"/>
    </i>
    <i r="2">
      <x v="24"/>
    </i>
    <i r="2">
      <x v="25"/>
    </i>
    <i r="2">
      <x v="26"/>
    </i>
    <i r="2">
      <x v="27"/>
    </i>
    <i r="2">
      <x v="33"/>
    </i>
    <i t="default" r="1">
      <x/>
    </i>
    <i r="1">
      <x v="1"/>
      <x/>
    </i>
    <i r="2">
      <x v="1"/>
    </i>
    <i r="2">
      <x v="2"/>
    </i>
    <i r="2">
      <x v="4"/>
    </i>
    <i r="2">
      <x v="6"/>
    </i>
    <i r="2">
      <x v="7"/>
    </i>
    <i r="2">
      <x v="8"/>
    </i>
    <i r="2">
      <x v="11"/>
    </i>
    <i r="2">
      <x v="12"/>
    </i>
    <i r="2">
      <x v="13"/>
    </i>
    <i r="2">
      <x v="15"/>
    </i>
    <i r="2">
      <x v="34"/>
    </i>
    <i t="default" r="1">
      <x v="1"/>
    </i>
    <i t="default">
      <x/>
    </i>
    <i>
      <x v="1"/>
      <x v="1"/>
      <x/>
    </i>
    <i r="2">
      <x v="1"/>
    </i>
    <i r="2">
      <x v="4"/>
    </i>
    <i r="2">
      <x v="9"/>
    </i>
    <i r="2">
      <x v="11"/>
    </i>
    <i r="2">
      <x v="12"/>
    </i>
    <i t="default" r="1">
      <x v="1"/>
    </i>
    <i t="default">
      <x v="1"/>
    </i>
    <i>
      <x v="2"/>
      <x/>
      <x v="6"/>
    </i>
    <i r="2">
      <x v="8"/>
    </i>
    <i r="2">
      <x v="9"/>
    </i>
    <i r="2">
      <x v="10"/>
    </i>
    <i r="2">
      <x v="11"/>
    </i>
    <i r="2">
      <x v="12"/>
    </i>
    <i r="2">
      <x v="13"/>
    </i>
    <i r="2">
      <x v="17"/>
    </i>
    <i r="2">
      <x v="22"/>
    </i>
    <i r="2">
      <x v="23"/>
    </i>
    <i r="2">
      <x v="24"/>
    </i>
    <i r="2">
      <x v="25"/>
    </i>
    <i r="2">
      <x v="28"/>
    </i>
    <i r="2">
      <x v="29"/>
    </i>
    <i r="2">
      <x v="30"/>
    </i>
    <i r="2">
      <x v="33"/>
    </i>
    <i t="default" r="1">
      <x/>
    </i>
    <i r="1">
      <x v="1"/>
      <x/>
    </i>
    <i r="2">
      <x v="1"/>
    </i>
    <i r="2">
      <x v="2"/>
    </i>
    <i r="2">
      <x v="4"/>
    </i>
    <i r="2">
      <x v="7"/>
    </i>
    <i r="2">
      <x v="11"/>
    </i>
    <i r="2">
      <x v="12"/>
    </i>
    <i r="2">
      <x v="13"/>
    </i>
    <i r="2">
      <x v="15"/>
    </i>
    <i t="default" r="1">
      <x v="1"/>
    </i>
    <i t="default">
      <x v="2"/>
    </i>
    <i>
      <x v="3"/>
      <x/>
      <x/>
    </i>
    <i r="2">
      <x v="3"/>
    </i>
    <i r="2">
      <x v="4"/>
    </i>
    <i r="2">
      <x v="5"/>
    </i>
    <i r="2">
      <x v="11"/>
    </i>
    <i r="2">
      <x v="12"/>
    </i>
    <i r="2">
      <x v="14"/>
    </i>
    <i r="2">
      <x v="19"/>
    </i>
    <i r="2">
      <x v="31"/>
    </i>
    <i r="2">
      <x v="32"/>
    </i>
    <i r="2">
      <x v="33"/>
    </i>
    <i t="default" r="1">
      <x/>
    </i>
    <i t="default">
      <x v="3"/>
    </i>
    <i t="grand">
      <x/>
    </i>
  </rowItems>
  <colFields count="1">
    <field x="-2"/>
  </colFields>
  <colItems count="3">
    <i>
      <x/>
    </i>
    <i i="1">
      <x v="1"/>
    </i>
    <i i="2">
      <x v="2"/>
    </i>
  </colItems>
  <dataFields count="3">
    <dataField name="Сумма по полю Y1 Total Cash Outflow" fld="29" baseField="0" baseItem="0"/>
    <dataField name="Сумма по полю Y1 Revised 1-4" fld="30" baseField="0" baseItem="0"/>
    <dataField name="Сумма по полю Changes" fld="74" baseField="0" baseItem="0"/>
  </dataFields>
  <formats count="31">
    <format dxfId="61">
      <pivotArea outline="0" collapsedLevelsAreSubtotals="1" fieldPosition="0"/>
    </format>
    <format dxfId="60">
      <pivotArea outline="0" collapsedLevelsAreSubtotals="1" fieldPosition="0">
        <references count="1">
          <reference field="6" count="1" selected="0" defaultSubtotal="1">
            <x v="0"/>
          </reference>
        </references>
      </pivotArea>
    </format>
    <format dxfId="59">
      <pivotArea dataOnly="0" labelOnly="1" outline="0" fieldPosition="0">
        <references count="1">
          <reference field="6" count="1" defaultSubtotal="1">
            <x v="0"/>
          </reference>
        </references>
      </pivotArea>
    </format>
    <format dxfId="58">
      <pivotArea outline="0" collapsedLevelsAreSubtotals="1" fieldPosition="0">
        <references count="1">
          <reference field="6" count="1" selected="0" defaultSubtotal="1">
            <x v="1"/>
          </reference>
        </references>
      </pivotArea>
    </format>
    <format dxfId="57">
      <pivotArea dataOnly="0" labelOnly="1" outline="0" fieldPosition="0">
        <references count="1">
          <reference field="6" count="1" defaultSubtotal="1">
            <x v="1"/>
          </reference>
        </references>
      </pivotArea>
    </format>
    <format dxfId="56">
      <pivotArea outline="0" collapsedLevelsAreSubtotals="1" fieldPosition="0">
        <references count="1">
          <reference field="6" count="1" selected="0" defaultSubtotal="1">
            <x v="3"/>
          </reference>
        </references>
      </pivotArea>
    </format>
    <format dxfId="55">
      <pivotArea dataOnly="0" labelOnly="1" outline="0" fieldPosition="0">
        <references count="1">
          <reference field="6" count="1" defaultSubtotal="1">
            <x v="3"/>
          </reference>
        </references>
      </pivotArea>
    </format>
    <format dxfId="54">
      <pivotArea outline="0" collapsedLevelsAreSubtotals="1" fieldPosition="0">
        <references count="1">
          <reference field="6" count="1" selected="0" defaultSubtotal="1">
            <x v="2"/>
          </reference>
        </references>
      </pivotArea>
    </format>
    <format dxfId="53">
      <pivotArea dataOnly="0" labelOnly="1" outline="0" fieldPosition="0">
        <references count="1">
          <reference field="6" count="1" defaultSubtotal="1">
            <x v="2"/>
          </reference>
        </references>
      </pivotArea>
    </format>
    <format dxfId="52">
      <pivotArea outline="0" collapsedLevelsAreSubtotals="1" fieldPosition="0">
        <references count="2">
          <reference field="6" count="1" selected="0">
            <x v="2"/>
          </reference>
          <reference field="9" count="1" selected="0" defaultSubtotal="1">
            <x v="1"/>
          </reference>
        </references>
      </pivotArea>
    </format>
    <format dxfId="51">
      <pivotArea dataOnly="0" labelOnly="1" outline="0" offset="IV256" fieldPosition="0">
        <references count="1">
          <reference field="6" count="1">
            <x v="2"/>
          </reference>
        </references>
      </pivotArea>
    </format>
    <format dxfId="50">
      <pivotArea dataOnly="0" labelOnly="1" outline="0" fieldPosition="0">
        <references count="2">
          <reference field="6" count="1" selected="0">
            <x v="2"/>
          </reference>
          <reference field="9" count="1" defaultSubtotal="1">
            <x v="1"/>
          </reference>
        </references>
      </pivotArea>
    </format>
    <format dxfId="49">
      <pivotArea outline="0" collapsedLevelsAreSubtotals="1" fieldPosition="0">
        <references count="2">
          <reference field="6" count="1" selected="0">
            <x v="0"/>
          </reference>
          <reference field="9" count="1" selected="0" defaultSubtotal="1">
            <x v="0"/>
          </reference>
        </references>
      </pivotArea>
    </format>
    <format dxfId="48">
      <pivotArea dataOnly="0" labelOnly="1" outline="0" fieldPosition="0">
        <references count="2">
          <reference field="6" count="1" selected="0">
            <x v="0"/>
          </reference>
          <reference field="9" count="1" defaultSubtotal="1">
            <x v="0"/>
          </reference>
        </references>
      </pivotArea>
    </format>
    <format dxfId="47">
      <pivotArea outline="0" collapsedLevelsAreSubtotals="1" fieldPosition="0">
        <references count="2">
          <reference field="6" count="1" selected="0">
            <x v="0"/>
          </reference>
          <reference field="9" count="1" selected="0" defaultSubtotal="1">
            <x v="1"/>
          </reference>
        </references>
      </pivotArea>
    </format>
    <format dxfId="46">
      <pivotArea dataOnly="0" labelOnly="1" outline="0" fieldPosition="0">
        <references count="2">
          <reference field="6" count="1" selected="0">
            <x v="0"/>
          </reference>
          <reference field="9" count="1" defaultSubtotal="1">
            <x v="1"/>
          </reference>
        </references>
      </pivotArea>
    </format>
    <format dxfId="45">
      <pivotArea outline="0" collapsedLevelsAreSubtotals="1" fieldPosition="0">
        <references count="2">
          <reference field="6" count="1" selected="0">
            <x v="1"/>
          </reference>
          <reference field="9" count="1" selected="0" defaultSubtotal="1">
            <x v="1"/>
          </reference>
        </references>
      </pivotArea>
    </format>
    <format dxfId="44">
      <pivotArea dataOnly="0" labelOnly="1" outline="0" fieldPosition="0">
        <references count="2">
          <reference field="6" count="1" selected="0">
            <x v="1"/>
          </reference>
          <reference field="9" count="1" defaultSubtotal="1">
            <x v="1"/>
          </reference>
        </references>
      </pivotArea>
    </format>
    <format dxfId="43">
      <pivotArea outline="0" collapsedLevelsAreSubtotals="1" fieldPosition="0">
        <references count="2">
          <reference field="6" count="1" selected="0">
            <x v="2"/>
          </reference>
          <reference field="9" count="1" selected="0" defaultSubtotal="1">
            <x v="0"/>
          </reference>
        </references>
      </pivotArea>
    </format>
    <format dxfId="42">
      <pivotArea dataOnly="0" labelOnly="1" outline="0" fieldPosition="0">
        <references count="2">
          <reference field="6" count="1" selected="0">
            <x v="2"/>
          </reference>
          <reference field="9" count="1" defaultSubtotal="1">
            <x v="0"/>
          </reference>
        </references>
      </pivotArea>
    </format>
    <format dxfId="41">
      <pivotArea outline="0" collapsedLevelsAreSubtotals="1" fieldPosition="0">
        <references count="2">
          <reference field="6" count="1" selected="0">
            <x v="2"/>
          </reference>
          <reference field="9" count="1" selected="0" defaultSubtotal="1">
            <x v="1"/>
          </reference>
        </references>
      </pivotArea>
    </format>
    <format dxfId="40">
      <pivotArea dataOnly="0" labelOnly="1" outline="0" fieldPosition="0">
        <references count="2">
          <reference field="6" count="1" selected="0">
            <x v="2"/>
          </reference>
          <reference field="9" count="1" defaultSubtotal="1">
            <x v="1"/>
          </reference>
        </references>
      </pivotArea>
    </format>
    <format dxfId="39">
      <pivotArea outline="0" collapsedLevelsAreSubtotals="1" fieldPosition="0">
        <references count="2">
          <reference field="6" count="1" selected="0">
            <x v="3"/>
          </reference>
          <reference field="9" count="1" selected="0" defaultSubtotal="1">
            <x v="0"/>
          </reference>
        </references>
      </pivotArea>
    </format>
    <format dxfId="38">
      <pivotArea dataOnly="0" labelOnly="1" outline="0" fieldPosition="0">
        <references count="2">
          <reference field="6" count="1" selected="0">
            <x v="3"/>
          </reference>
          <reference field="9" count="1" defaultSubtotal="1">
            <x v="0"/>
          </reference>
        </references>
      </pivotArea>
    </format>
    <format dxfId="37">
      <pivotArea outline="0" collapsedLevelsAreSubtotals="1" fieldPosition="0">
        <references count="4">
          <reference field="4294967294" count="1" selected="0">
            <x v="1"/>
          </reference>
          <reference field="5" count="13" selected="0">
            <x v="3"/>
            <x v="15"/>
            <x v="16"/>
            <x v="18"/>
            <x v="19"/>
            <x v="20"/>
            <x v="21"/>
            <x v="22"/>
            <x v="24"/>
            <x v="25"/>
            <x v="26"/>
            <x v="27"/>
            <x v="33"/>
          </reference>
          <reference field="6" count="1" selected="0">
            <x v="0"/>
          </reference>
          <reference field="9" count="1" selected="0">
            <x v="0"/>
          </reference>
        </references>
      </pivotArea>
    </format>
    <format dxfId="36">
      <pivotArea outline="0" collapsedLevelsAreSubtotals="1" fieldPosition="0">
        <references count="4">
          <reference field="4294967294" count="1" selected="0">
            <x v="1"/>
          </reference>
          <reference field="5" count="12" selected="0">
            <x v="0"/>
            <x v="1"/>
            <x v="2"/>
            <x v="4"/>
            <x v="6"/>
            <x v="7"/>
            <x v="8"/>
            <x v="11"/>
            <x v="12"/>
            <x v="13"/>
            <x v="15"/>
            <x v="34"/>
          </reference>
          <reference field="6" count="1" selected="0">
            <x v="0"/>
          </reference>
          <reference field="9" count="1" selected="0">
            <x v="1"/>
          </reference>
        </references>
      </pivotArea>
    </format>
    <format dxfId="35">
      <pivotArea outline="0" collapsedLevelsAreSubtotals="1" fieldPosition="0">
        <references count="4">
          <reference field="4294967294" count="1" selected="0">
            <x v="1"/>
          </reference>
          <reference field="5" count="6" selected="0">
            <x v="0"/>
            <x v="1"/>
            <x v="4"/>
            <x v="9"/>
            <x v="11"/>
            <x v="12"/>
          </reference>
          <reference field="6" count="1" selected="0">
            <x v="1"/>
          </reference>
          <reference field="9" count="1" selected="0">
            <x v="1"/>
          </reference>
        </references>
      </pivotArea>
    </format>
    <format dxfId="34">
      <pivotArea outline="0" collapsedLevelsAreSubtotals="1" fieldPosition="0">
        <references count="4">
          <reference field="4294967294" count="1" selected="0">
            <x v="1"/>
          </reference>
          <reference field="5" count="16" selected="0">
            <x v="6"/>
            <x v="8"/>
            <x v="9"/>
            <x v="10"/>
            <x v="11"/>
            <x v="12"/>
            <x v="13"/>
            <x v="17"/>
            <x v="22"/>
            <x v="23"/>
            <x v="24"/>
            <x v="25"/>
            <x v="28"/>
            <x v="29"/>
            <x v="30"/>
            <x v="33"/>
          </reference>
          <reference field="6" count="1" selected="0">
            <x v="2"/>
          </reference>
          <reference field="9" count="1" selected="0">
            <x v="0"/>
          </reference>
        </references>
      </pivotArea>
    </format>
    <format dxfId="33">
      <pivotArea outline="0" collapsedLevelsAreSubtotals="1" fieldPosition="0">
        <references count="4">
          <reference field="4294967294" count="1" selected="0">
            <x v="1"/>
          </reference>
          <reference field="5" count="7" selected="0">
            <x v="0"/>
            <x v="1"/>
            <x v="2"/>
            <x v="4"/>
            <x v="7"/>
            <x v="11"/>
            <x v="12"/>
          </reference>
          <reference field="6" count="1" selected="0">
            <x v="2"/>
          </reference>
          <reference field="9" count="1" selected="0">
            <x v="1"/>
          </reference>
        </references>
      </pivotArea>
    </format>
    <format dxfId="32">
      <pivotArea outline="0" collapsedLevelsAreSubtotals="1" fieldPosition="0">
        <references count="4">
          <reference field="4294967294" count="1" selected="0">
            <x v="1"/>
          </reference>
          <reference field="5" count="1" selected="0">
            <x v="9"/>
          </reference>
          <reference field="6" count="1" selected="0">
            <x v="0"/>
          </reference>
          <reference field="9" count="1" selected="0">
            <x v="0"/>
          </reference>
        </references>
      </pivotArea>
    </format>
    <format dxfId="31">
      <pivotArea outline="0" fieldPosition="0">
        <references count="4">
          <reference field="4294967294" count="1" selected="0">
            <x v="1"/>
          </reference>
          <reference field="5" count="7" selected="0">
            <x v="22"/>
            <x v="23"/>
            <x v="24"/>
            <x v="25"/>
            <x v="28"/>
            <x v="29"/>
            <x v="30"/>
          </reference>
          <reference field="6" count="1" selected="0">
            <x v="2"/>
          </reference>
          <reference field="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Таблица1" cacheId="1" applyNumberFormats="0" applyBorderFormats="0" applyFontFormats="0" applyPatternFormats="0" applyAlignmentFormats="0" applyWidthHeightFormats="1" dataCaption="Значения" updatedVersion="5" minRefreshableVersion="3" useAutoFormatting="1" itemPrintTitles="1" createdVersion="5" indent="0" compact="0" compactData="0" gridDropZones="1" multipleFieldFilters="0">
  <location ref="A3:F83" firstHeaderRow="1" firstDataRow="2" firstDataCol="3"/>
  <pivotFields count="75">
    <pivotField compact="0" outline="0" showAll="0"/>
    <pivotField compact="0" outline="0" showAll="0" defaultSubtotal="0"/>
    <pivotField compact="0" outline="0" showAll="0"/>
    <pivotField compact="0" outline="0" showAll="0"/>
    <pivotField compact="0" outline="0" showAll="0"/>
    <pivotField axis="axisRow" compact="0" outline="0" showAll="0">
      <items count="37">
        <item x="17"/>
        <item x="16"/>
        <item x="19"/>
        <item x="28"/>
        <item x="18"/>
        <item x="34"/>
        <item x="20"/>
        <item x="27"/>
        <item x="24"/>
        <item x="29"/>
        <item x="31"/>
        <item x="23"/>
        <item x="26"/>
        <item x="25"/>
        <item x="30"/>
        <item x="22"/>
        <item x="13"/>
        <item x="0"/>
        <item x="11"/>
        <item x="12"/>
        <item x="9"/>
        <item x="10"/>
        <item x="1"/>
        <item x="2"/>
        <item x="3"/>
        <item x="4"/>
        <item x="15"/>
        <item x="14"/>
        <item x="5"/>
        <item x="6"/>
        <item x="7"/>
        <item x="33"/>
        <item x="32"/>
        <item x="8"/>
        <item x="21"/>
        <item h="1" x="35"/>
        <item t="default"/>
      </items>
    </pivotField>
    <pivotField axis="axisRow" compact="0" outline="0" showAll="0">
      <items count="6">
        <item x="1"/>
        <item x="3"/>
        <item x="0"/>
        <item x="2"/>
        <item h="1" x="4"/>
        <item t="default"/>
      </items>
    </pivotField>
    <pivotField compact="0" outline="0" showAll="0"/>
    <pivotField compact="0" outline="0" showAll="0"/>
    <pivotField axis="axisRow" compact="0" outline="0" showAll="0">
      <items count="4">
        <item x="0"/>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71" outline="0" showAll="0"/>
    <pivotField dataField="1" compact="0" numFmtId="171"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71" outline="0" showAll="0"/>
    <pivotField compact="0" outline="0" showAll="0"/>
    <pivotField compact="0" outline="0" showAll="0"/>
    <pivotField dataField="1" compact="0" numFmtId="171" outline="0" showAll="0"/>
  </pivotFields>
  <rowFields count="3">
    <field x="6"/>
    <field x="9"/>
    <field x="5"/>
  </rowFields>
  <rowItems count="79">
    <i>
      <x/>
      <x/>
      <x v="3"/>
    </i>
    <i r="2">
      <x v="9"/>
    </i>
    <i r="2">
      <x v="15"/>
    </i>
    <i r="2">
      <x v="16"/>
    </i>
    <i r="2">
      <x v="18"/>
    </i>
    <i r="2">
      <x v="19"/>
    </i>
    <i r="2">
      <x v="20"/>
    </i>
    <i r="2">
      <x v="21"/>
    </i>
    <i r="2">
      <x v="22"/>
    </i>
    <i r="2">
      <x v="24"/>
    </i>
    <i r="2">
      <x v="25"/>
    </i>
    <i r="2">
      <x v="26"/>
    </i>
    <i r="2">
      <x v="27"/>
    </i>
    <i r="2">
      <x v="33"/>
    </i>
    <i t="default" r="1">
      <x/>
    </i>
    <i r="1">
      <x v="1"/>
      <x/>
    </i>
    <i r="2">
      <x v="1"/>
    </i>
    <i r="2">
      <x v="2"/>
    </i>
    <i r="2">
      <x v="4"/>
    </i>
    <i r="2">
      <x v="6"/>
    </i>
    <i r="2">
      <x v="7"/>
    </i>
    <i r="2">
      <x v="8"/>
    </i>
    <i r="2">
      <x v="11"/>
    </i>
    <i r="2">
      <x v="12"/>
    </i>
    <i r="2">
      <x v="13"/>
    </i>
    <i r="2">
      <x v="15"/>
    </i>
    <i r="2">
      <x v="34"/>
    </i>
    <i t="default" r="1">
      <x v="1"/>
    </i>
    <i t="default">
      <x/>
    </i>
    <i>
      <x v="1"/>
      <x v="1"/>
      <x/>
    </i>
    <i r="2">
      <x v="1"/>
    </i>
    <i r="2">
      <x v="4"/>
    </i>
    <i r="2">
      <x v="9"/>
    </i>
    <i r="2">
      <x v="11"/>
    </i>
    <i r="2">
      <x v="12"/>
    </i>
    <i t="default" r="1">
      <x v="1"/>
    </i>
    <i t="default">
      <x v="1"/>
    </i>
    <i>
      <x v="2"/>
      <x/>
      <x v="6"/>
    </i>
    <i r="2">
      <x v="8"/>
    </i>
    <i r="2">
      <x v="9"/>
    </i>
    <i r="2">
      <x v="10"/>
    </i>
    <i r="2">
      <x v="11"/>
    </i>
    <i r="2">
      <x v="12"/>
    </i>
    <i r="2">
      <x v="13"/>
    </i>
    <i r="2">
      <x v="17"/>
    </i>
    <i r="2">
      <x v="22"/>
    </i>
    <i r="2">
      <x v="23"/>
    </i>
    <i r="2">
      <x v="24"/>
    </i>
    <i r="2">
      <x v="25"/>
    </i>
    <i r="2">
      <x v="28"/>
    </i>
    <i r="2">
      <x v="29"/>
    </i>
    <i r="2">
      <x v="30"/>
    </i>
    <i r="2">
      <x v="33"/>
    </i>
    <i t="default" r="1">
      <x/>
    </i>
    <i r="1">
      <x v="1"/>
      <x/>
    </i>
    <i r="2">
      <x v="1"/>
    </i>
    <i r="2">
      <x v="2"/>
    </i>
    <i r="2">
      <x v="4"/>
    </i>
    <i r="2">
      <x v="7"/>
    </i>
    <i r="2">
      <x v="11"/>
    </i>
    <i r="2">
      <x v="12"/>
    </i>
    <i r="2">
      <x v="13"/>
    </i>
    <i r="2">
      <x v="15"/>
    </i>
    <i t="default" r="1">
      <x v="1"/>
    </i>
    <i t="default">
      <x v="2"/>
    </i>
    <i>
      <x v="3"/>
      <x/>
      <x/>
    </i>
    <i r="2">
      <x v="3"/>
    </i>
    <i r="2">
      <x v="4"/>
    </i>
    <i r="2">
      <x v="5"/>
    </i>
    <i r="2">
      <x v="11"/>
    </i>
    <i r="2">
      <x v="12"/>
    </i>
    <i r="2">
      <x v="14"/>
    </i>
    <i r="2">
      <x v="19"/>
    </i>
    <i r="2">
      <x v="31"/>
    </i>
    <i r="2">
      <x v="32"/>
    </i>
    <i r="2">
      <x v="33"/>
    </i>
    <i t="default" r="1">
      <x/>
    </i>
    <i t="default">
      <x v="3"/>
    </i>
    <i t="grand">
      <x/>
    </i>
  </rowItems>
  <colFields count="1">
    <field x="-2"/>
  </colFields>
  <colItems count="3">
    <i>
      <x/>
    </i>
    <i i="1">
      <x v="1"/>
    </i>
    <i i="2">
      <x v="2"/>
    </i>
  </colItems>
  <dataFields count="3">
    <dataField name="Сумма по полю Y1 Total Cash Outflow" fld="29" baseField="0" baseItem="0"/>
    <dataField name="Сумма по полю Y1 Revised 1-4" fld="30" baseField="0" baseItem="0"/>
    <dataField name="Сумма по полю Changes" fld="74" baseField="0" baseItem="0"/>
  </dataFields>
  <formats count="31">
    <format dxfId="30">
      <pivotArea outline="0" collapsedLevelsAreSubtotals="1" fieldPosition="0"/>
    </format>
    <format dxfId="29">
      <pivotArea outline="0" collapsedLevelsAreSubtotals="1" fieldPosition="0">
        <references count="1">
          <reference field="6" count="1" selected="0" defaultSubtotal="1">
            <x v="0"/>
          </reference>
        </references>
      </pivotArea>
    </format>
    <format dxfId="28">
      <pivotArea dataOnly="0" labelOnly="1" outline="0" fieldPosition="0">
        <references count="1">
          <reference field="6" count="1" defaultSubtotal="1">
            <x v="0"/>
          </reference>
        </references>
      </pivotArea>
    </format>
    <format dxfId="27">
      <pivotArea outline="0" collapsedLevelsAreSubtotals="1" fieldPosition="0">
        <references count="1">
          <reference field="6" count="1" selected="0" defaultSubtotal="1">
            <x v="1"/>
          </reference>
        </references>
      </pivotArea>
    </format>
    <format dxfId="26">
      <pivotArea dataOnly="0" labelOnly="1" outline="0" fieldPosition="0">
        <references count="1">
          <reference field="6" count="1" defaultSubtotal="1">
            <x v="1"/>
          </reference>
        </references>
      </pivotArea>
    </format>
    <format dxfId="25">
      <pivotArea outline="0" collapsedLevelsAreSubtotals="1" fieldPosition="0">
        <references count="1">
          <reference field="6" count="1" selected="0" defaultSubtotal="1">
            <x v="3"/>
          </reference>
        </references>
      </pivotArea>
    </format>
    <format dxfId="24">
      <pivotArea dataOnly="0" labelOnly="1" outline="0" fieldPosition="0">
        <references count="1">
          <reference field="6" count="1" defaultSubtotal="1">
            <x v="3"/>
          </reference>
        </references>
      </pivotArea>
    </format>
    <format dxfId="23">
      <pivotArea outline="0" collapsedLevelsAreSubtotals="1" fieldPosition="0">
        <references count="1">
          <reference field="6" count="1" selected="0" defaultSubtotal="1">
            <x v="2"/>
          </reference>
        </references>
      </pivotArea>
    </format>
    <format dxfId="22">
      <pivotArea dataOnly="0" labelOnly="1" outline="0" fieldPosition="0">
        <references count="1">
          <reference field="6" count="1" defaultSubtotal="1">
            <x v="2"/>
          </reference>
        </references>
      </pivotArea>
    </format>
    <format dxfId="21">
      <pivotArea outline="0" collapsedLevelsAreSubtotals="1" fieldPosition="0">
        <references count="2">
          <reference field="6" count="1" selected="0">
            <x v="2"/>
          </reference>
          <reference field="9" count="1" selected="0" defaultSubtotal="1">
            <x v="1"/>
          </reference>
        </references>
      </pivotArea>
    </format>
    <format dxfId="20">
      <pivotArea dataOnly="0" labelOnly="1" outline="0" offset="IV256" fieldPosition="0">
        <references count="1">
          <reference field="6" count="1">
            <x v="2"/>
          </reference>
        </references>
      </pivotArea>
    </format>
    <format dxfId="19">
      <pivotArea dataOnly="0" labelOnly="1" outline="0" fieldPosition="0">
        <references count="2">
          <reference field="6" count="1" selected="0">
            <x v="2"/>
          </reference>
          <reference field="9" count="1" defaultSubtotal="1">
            <x v="1"/>
          </reference>
        </references>
      </pivotArea>
    </format>
    <format dxfId="18">
      <pivotArea outline="0" collapsedLevelsAreSubtotals="1" fieldPosition="0">
        <references count="2">
          <reference field="6" count="1" selected="0">
            <x v="0"/>
          </reference>
          <reference field="9" count="1" selected="0" defaultSubtotal="1">
            <x v="0"/>
          </reference>
        </references>
      </pivotArea>
    </format>
    <format dxfId="17">
      <pivotArea dataOnly="0" labelOnly="1" outline="0" fieldPosition="0">
        <references count="2">
          <reference field="6" count="1" selected="0">
            <x v="0"/>
          </reference>
          <reference field="9" count="1" defaultSubtotal="1">
            <x v="0"/>
          </reference>
        </references>
      </pivotArea>
    </format>
    <format dxfId="16">
      <pivotArea outline="0" collapsedLevelsAreSubtotals="1" fieldPosition="0">
        <references count="2">
          <reference field="6" count="1" selected="0">
            <x v="0"/>
          </reference>
          <reference field="9" count="1" selected="0" defaultSubtotal="1">
            <x v="1"/>
          </reference>
        </references>
      </pivotArea>
    </format>
    <format dxfId="15">
      <pivotArea dataOnly="0" labelOnly="1" outline="0" fieldPosition="0">
        <references count="2">
          <reference field="6" count="1" selected="0">
            <x v="0"/>
          </reference>
          <reference field="9" count="1" defaultSubtotal="1">
            <x v="1"/>
          </reference>
        </references>
      </pivotArea>
    </format>
    <format dxfId="14">
      <pivotArea outline="0" collapsedLevelsAreSubtotals="1" fieldPosition="0">
        <references count="2">
          <reference field="6" count="1" selected="0">
            <x v="1"/>
          </reference>
          <reference field="9" count="1" selected="0" defaultSubtotal="1">
            <x v="1"/>
          </reference>
        </references>
      </pivotArea>
    </format>
    <format dxfId="13">
      <pivotArea dataOnly="0" labelOnly="1" outline="0" fieldPosition="0">
        <references count="2">
          <reference field="6" count="1" selected="0">
            <x v="1"/>
          </reference>
          <reference field="9" count="1" defaultSubtotal="1">
            <x v="1"/>
          </reference>
        </references>
      </pivotArea>
    </format>
    <format dxfId="12">
      <pivotArea outline="0" collapsedLevelsAreSubtotals="1" fieldPosition="0">
        <references count="2">
          <reference field="6" count="1" selected="0">
            <x v="2"/>
          </reference>
          <reference field="9" count="1" selected="0" defaultSubtotal="1">
            <x v="0"/>
          </reference>
        </references>
      </pivotArea>
    </format>
    <format dxfId="11">
      <pivotArea dataOnly="0" labelOnly="1" outline="0" fieldPosition="0">
        <references count="2">
          <reference field="6" count="1" selected="0">
            <x v="2"/>
          </reference>
          <reference field="9" count="1" defaultSubtotal="1">
            <x v="0"/>
          </reference>
        </references>
      </pivotArea>
    </format>
    <format dxfId="10">
      <pivotArea outline="0" collapsedLevelsAreSubtotals="1" fieldPosition="0">
        <references count="2">
          <reference field="6" count="1" selected="0">
            <x v="2"/>
          </reference>
          <reference field="9" count="1" selected="0" defaultSubtotal="1">
            <x v="1"/>
          </reference>
        </references>
      </pivotArea>
    </format>
    <format dxfId="9">
      <pivotArea dataOnly="0" labelOnly="1" outline="0" fieldPosition="0">
        <references count="2">
          <reference field="6" count="1" selected="0">
            <x v="2"/>
          </reference>
          <reference field="9" count="1" defaultSubtotal="1">
            <x v="1"/>
          </reference>
        </references>
      </pivotArea>
    </format>
    <format dxfId="8">
      <pivotArea outline="0" collapsedLevelsAreSubtotals="1" fieldPosition="0">
        <references count="2">
          <reference field="6" count="1" selected="0">
            <x v="3"/>
          </reference>
          <reference field="9" count="1" selected="0" defaultSubtotal="1">
            <x v="0"/>
          </reference>
        </references>
      </pivotArea>
    </format>
    <format dxfId="7">
      <pivotArea dataOnly="0" labelOnly="1" outline="0" fieldPosition="0">
        <references count="2">
          <reference field="6" count="1" selected="0">
            <x v="3"/>
          </reference>
          <reference field="9" count="1" defaultSubtotal="1">
            <x v="0"/>
          </reference>
        </references>
      </pivotArea>
    </format>
    <format dxfId="6">
      <pivotArea outline="0" collapsedLevelsAreSubtotals="1" fieldPosition="0">
        <references count="4">
          <reference field="4294967294" count="1" selected="0">
            <x v="1"/>
          </reference>
          <reference field="5" count="13" selected="0">
            <x v="3"/>
            <x v="15"/>
            <x v="16"/>
            <x v="18"/>
            <x v="19"/>
            <x v="20"/>
            <x v="21"/>
            <x v="22"/>
            <x v="24"/>
            <x v="25"/>
            <x v="26"/>
            <x v="27"/>
            <x v="33"/>
          </reference>
          <reference field="6" count="1" selected="0">
            <x v="0"/>
          </reference>
          <reference field="9" count="1" selected="0">
            <x v="0"/>
          </reference>
        </references>
      </pivotArea>
    </format>
    <format dxfId="5">
      <pivotArea outline="0" collapsedLevelsAreSubtotals="1" fieldPosition="0">
        <references count="4">
          <reference field="4294967294" count="1" selected="0">
            <x v="1"/>
          </reference>
          <reference field="5" count="12" selected="0">
            <x v="0"/>
            <x v="1"/>
            <x v="2"/>
            <x v="4"/>
            <x v="6"/>
            <x v="7"/>
            <x v="8"/>
            <x v="11"/>
            <x v="12"/>
            <x v="13"/>
            <x v="15"/>
            <x v="34"/>
          </reference>
          <reference field="6" count="1" selected="0">
            <x v="0"/>
          </reference>
          <reference field="9" count="1" selected="0">
            <x v="1"/>
          </reference>
        </references>
      </pivotArea>
    </format>
    <format dxfId="4">
      <pivotArea outline="0" collapsedLevelsAreSubtotals="1" fieldPosition="0">
        <references count="4">
          <reference field="4294967294" count="1" selected="0">
            <x v="1"/>
          </reference>
          <reference field="5" count="6" selected="0">
            <x v="0"/>
            <x v="1"/>
            <x v="4"/>
            <x v="9"/>
            <x v="11"/>
            <x v="12"/>
          </reference>
          <reference field="6" count="1" selected="0">
            <x v="1"/>
          </reference>
          <reference field="9" count="1" selected="0">
            <x v="1"/>
          </reference>
        </references>
      </pivotArea>
    </format>
    <format dxfId="3">
      <pivotArea outline="0" collapsedLevelsAreSubtotals="1" fieldPosition="0">
        <references count="4">
          <reference field="4294967294" count="1" selected="0">
            <x v="1"/>
          </reference>
          <reference field="5" count="16" selected="0">
            <x v="6"/>
            <x v="8"/>
            <x v="9"/>
            <x v="10"/>
            <x v="11"/>
            <x v="12"/>
            <x v="13"/>
            <x v="17"/>
            <x v="22"/>
            <x v="23"/>
            <x v="24"/>
            <x v="25"/>
            <x v="28"/>
            <x v="29"/>
            <x v="30"/>
            <x v="33"/>
          </reference>
          <reference field="6" count="1" selected="0">
            <x v="2"/>
          </reference>
          <reference field="9" count="1" selected="0">
            <x v="0"/>
          </reference>
        </references>
      </pivotArea>
    </format>
    <format dxfId="2">
      <pivotArea outline="0" collapsedLevelsAreSubtotals="1" fieldPosition="0">
        <references count="4">
          <reference field="4294967294" count="1" selected="0">
            <x v="1"/>
          </reference>
          <reference field="5" count="7" selected="0">
            <x v="0"/>
            <x v="1"/>
            <x v="2"/>
            <x v="4"/>
            <x v="7"/>
            <x v="11"/>
            <x v="12"/>
          </reference>
          <reference field="6" count="1" selected="0">
            <x v="2"/>
          </reference>
          <reference field="9" count="1" selected="0">
            <x v="1"/>
          </reference>
        </references>
      </pivotArea>
    </format>
    <format dxfId="1">
      <pivotArea outline="0" collapsedLevelsAreSubtotals="1" fieldPosition="0">
        <references count="4">
          <reference field="4294967294" count="1" selected="0">
            <x v="1"/>
          </reference>
          <reference field="5" count="1" selected="0">
            <x v="9"/>
          </reference>
          <reference field="6" count="1" selected="0">
            <x v="0"/>
          </reference>
          <reference field="9" count="1" selected="0">
            <x v="0"/>
          </reference>
        </references>
      </pivotArea>
    </format>
    <format dxfId="0">
      <pivotArea outline="0" fieldPosition="0">
        <references count="4">
          <reference field="4294967294" count="1" selected="0">
            <x v="1"/>
          </reference>
          <reference field="5" count="1" selected="0">
            <x v="3"/>
          </reference>
          <reference field="6" count="1" selected="0">
            <x v="0"/>
          </reference>
          <reference field="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6"/>
  <sheetViews>
    <sheetView topLeftCell="A62" zoomScale="80" zoomScaleNormal="80" workbookViewId="0">
      <selection activeCell="O80" sqref="O80"/>
    </sheetView>
  </sheetViews>
  <sheetFormatPr defaultRowHeight="15" x14ac:dyDescent="0.25"/>
  <cols>
    <col min="1" max="1" width="25.140625" style="4" customWidth="1"/>
    <col min="2" max="2" width="16.85546875" style="11" customWidth="1"/>
    <col min="3" max="3" width="12.7109375" style="4" customWidth="1"/>
    <col min="4" max="4" width="12" style="4" customWidth="1"/>
    <col min="5" max="5" width="13.5703125" style="4" customWidth="1"/>
    <col min="6" max="6" width="20" style="4" customWidth="1"/>
    <col min="7" max="7" width="29.42578125" style="4" customWidth="1"/>
    <col min="8" max="8" width="48.7109375" style="4" customWidth="1"/>
    <col min="9" max="9" width="28.7109375" style="4" customWidth="1"/>
    <col min="10" max="10" width="9.140625" style="4" customWidth="1"/>
    <col min="11" max="16384" width="9.140625" style="4"/>
  </cols>
  <sheetData>
    <row r="1" spans="1:31" ht="23.25" x14ac:dyDescent="0.25">
      <c r="A1" s="497" t="s">
        <v>15</v>
      </c>
      <c r="B1" s="497"/>
      <c r="C1" s="497"/>
      <c r="D1" s="497"/>
      <c r="E1" s="497"/>
      <c r="F1" s="497"/>
      <c r="G1" s="497"/>
      <c r="H1" s="497"/>
      <c r="I1" s="497"/>
      <c r="J1" s="2"/>
      <c r="K1" s="2"/>
      <c r="L1" s="2"/>
      <c r="M1" s="2"/>
      <c r="N1" s="2"/>
      <c r="O1" s="2"/>
      <c r="P1" s="2"/>
      <c r="Q1" s="2"/>
      <c r="R1" s="2"/>
      <c r="S1" s="2"/>
      <c r="T1" s="2"/>
      <c r="U1" s="2"/>
      <c r="V1" s="2"/>
      <c r="W1" s="2"/>
      <c r="X1" s="2"/>
      <c r="Y1" s="2"/>
      <c r="Z1" s="2"/>
      <c r="AA1" s="2"/>
      <c r="AB1" s="2"/>
      <c r="AC1" s="2"/>
      <c r="AD1" s="2"/>
      <c r="AE1" s="2"/>
    </row>
    <row r="2" spans="1:31" x14ac:dyDescent="0.25">
      <c r="A2" s="499" t="s">
        <v>19</v>
      </c>
      <c r="B2" s="502" t="s">
        <v>20</v>
      </c>
      <c r="C2" s="502" t="s">
        <v>149</v>
      </c>
      <c r="D2" s="502" t="s">
        <v>17</v>
      </c>
      <c r="E2" s="502" t="s">
        <v>78</v>
      </c>
      <c r="F2" s="502" t="s">
        <v>28</v>
      </c>
      <c r="G2" s="499" t="s">
        <v>16</v>
      </c>
      <c r="H2" s="499" t="s">
        <v>79</v>
      </c>
      <c r="I2" s="499" t="s">
        <v>61</v>
      </c>
      <c r="J2" s="2"/>
      <c r="K2" s="2"/>
      <c r="L2" s="2"/>
      <c r="M2" s="2"/>
      <c r="N2" s="2"/>
      <c r="O2" s="2"/>
      <c r="P2" s="2"/>
      <c r="Q2" s="2"/>
      <c r="R2" s="2"/>
      <c r="S2" s="2"/>
      <c r="T2" s="2"/>
      <c r="U2" s="2"/>
      <c r="V2" s="2"/>
      <c r="W2" s="2"/>
      <c r="X2" s="2"/>
      <c r="Y2" s="2"/>
      <c r="Z2" s="2"/>
      <c r="AA2" s="2"/>
      <c r="AB2" s="2"/>
      <c r="AC2" s="2"/>
      <c r="AD2" s="2"/>
      <c r="AE2" s="2"/>
    </row>
    <row r="3" spans="1:31" ht="56.25" customHeight="1" x14ac:dyDescent="0.25">
      <c r="A3" s="499"/>
      <c r="B3" s="502"/>
      <c r="C3" s="502"/>
      <c r="D3" s="502"/>
      <c r="E3" s="502"/>
      <c r="F3" s="502"/>
      <c r="G3" s="499"/>
      <c r="H3" s="499"/>
      <c r="I3" s="499"/>
      <c r="J3" s="2"/>
      <c r="K3" s="2"/>
      <c r="L3" s="2"/>
      <c r="M3" s="2"/>
      <c r="N3" s="2"/>
      <c r="O3" s="2"/>
      <c r="P3" s="2"/>
      <c r="Q3" s="2"/>
      <c r="R3" s="2"/>
      <c r="S3" s="2"/>
      <c r="T3" s="2"/>
      <c r="U3" s="2"/>
      <c r="V3" s="2"/>
      <c r="W3" s="2"/>
      <c r="X3" s="2"/>
      <c r="Y3" s="2"/>
      <c r="Z3" s="2"/>
      <c r="AA3" s="2"/>
      <c r="AB3" s="2"/>
      <c r="AC3" s="2"/>
      <c r="AD3" s="2"/>
      <c r="AE3" s="2"/>
    </row>
    <row r="4" spans="1:31" ht="15.75" x14ac:dyDescent="0.25">
      <c r="A4" s="27" t="s">
        <v>0</v>
      </c>
      <c r="B4" s="27"/>
      <c r="C4" s="27"/>
      <c r="D4" s="27"/>
      <c r="E4" s="27"/>
      <c r="F4" s="27"/>
      <c r="G4" s="27"/>
      <c r="H4" s="28"/>
      <c r="I4" s="29"/>
      <c r="J4" s="2"/>
      <c r="K4" s="2"/>
      <c r="L4" s="2"/>
      <c r="M4" s="2"/>
      <c r="N4" s="2"/>
      <c r="O4" s="2"/>
      <c r="P4" s="2"/>
      <c r="Q4" s="2"/>
      <c r="R4" s="2"/>
      <c r="S4" s="2"/>
      <c r="T4" s="2"/>
      <c r="U4" s="2"/>
      <c r="V4" s="2"/>
      <c r="W4" s="2"/>
      <c r="X4" s="2"/>
      <c r="Y4" s="2"/>
      <c r="Z4" s="2"/>
      <c r="AA4" s="2"/>
      <c r="AB4" s="2"/>
      <c r="AC4" s="2"/>
      <c r="AD4" s="2"/>
      <c r="AE4" s="2"/>
    </row>
    <row r="5" spans="1:31" x14ac:dyDescent="0.25">
      <c r="A5" s="4" t="s">
        <v>60</v>
      </c>
      <c r="B5" s="9">
        <v>15000</v>
      </c>
      <c r="C5" s="4">
        <f>(D5-B5)/2+B5</f>
        <v>15625</v>
      </c>
      <c r="D5" s="8">
        <v>16250</v>
      </c>
      <c r="J5" s="2"/>
      <c r="K5" s="2"/>
      <c r="L5" s="2"/>
      <c r="M5" s="2"/>
      <c r="N5" s="2"/>
      <c r="O5" s="2"/>
      <c r="P5" s="2"/>
      <c r="Q5" s="2"/>
      <c r="R5" s="2"/>
      <c r="S5" s="2"/>
      <c r="T5" s="2"/>
      <c r="U5" s="2"/>
      <c r="V5" s="2"/>
      <c r="W5" s="2"/>
      <c r="X5" s="2"/>
      <c r="Y5" s="2"/>
      <c r="Z5" s="2"/>
      <c r="AA5" s="2"/>
      <c r="AB5" s="2"/>
      <c r="AC5" s="2"/>
      <c r="AD5" s="2"/>
      <c r="AE5" s="2"/>
    </row>
    <row r="6" spans="1:31" ht="45" x14ac:dyDescent="0.25">
      <c r="A6" s="8" t="s">
        <v>25</v>
      </c>
      <c r="B6" s="9"/>
      <c r="D6" s="8"/>
      <c r="E6" s="4">
        <f>D5*5*52</f>
        <v>4225000</v>
      </c>
      <c r="F6" s="4" t="s">
        <v>29</v>
      </c>
      <c r="G6" s="4" t="s">
        <v>27</v>
      </c>
      <c r="H6" s="7" t="s">
        <v>102</v>
      </c>
      <c r="I6" s="8" t="s">
        <v>115</v>
      </c>
      <c r="J6" s="2"/>
      <c r="K6" s="2"/>
      <c r="L6" s="2"/>
      <c r="M6" s="2"/>
      <c r="N6" s="2"/>
      <c r="O6" s="2"/>
      <c r="P6" s="2"/>
      <c r="Q6" s="2"/>
      <c r="R6" s="2"/>
      <c r="S6" s="2"/>
      <c r="T6" s="2"/>
      <c r="U6" s="2"/>
      <c r="V6" s="2"/>
      <c r="W6" s="2"/>
      <c r="X6" s="2"/>
      <c r="Y6" s="2"/>
      <c r="Z6" s="2"/>
      <c r="AA6" s="2"/>
      <c r="AB6" s="2"/>
      <c r="AC6" s="2"/>
      <c r="AD6" s="2"/>
      <c r="AE6" s="2"/>
    </row>
    <row r="7" spans="1:31" ht="30" x14ac:dyDescent="0.25">
      <c r="A7" s="8" t="s">
        <v>26</v>
      </c>
      <c r="B7" s="9"/>
      <c r="D7" s="8"/>
      <c r="E7" s="4">
        <f>D5*5*52</f>
        <v>4225000</v>
      </c>
      <c r="F7" s="4" t="s">
        <v>29</v>
      </c>
      <c r="G7" s="4" t="s">
        <v>27</v>
      </c>
      <c r="H7" s="7" t="s">
        <v>102</v>
      </c>
      <c r="J7" s="2"/>
      <c r="K7" s="2"/>
      <c r="L7" s="2"/>
      <c r="M7" s="2"/>
      <c r="N7" s="2"/>
      <c r="O7" s="2"/>
      <c r="P7" s="2"/>
      <c r="Q7" s="2"/>
      <c r="R7" s="2"/>
      <c r="S7" s="2"/>
      <c r="T7" s="2"/>
      <c r="U7" s="2"/>
      <c r="V7" s="2"/>
      <c r="W7" s="2"/>
      <c r="X7" s="2"/>
      <c r="Y7" s="2"/>
      <c r="Z7" s="2"/>
      <c r="AA7" s="2"/>
      <c r="AB7" s="2"/>
      <c r="AC7" s="2"/>
      <c r="AD7" s="2"/>
      <c r="AE7" s="2"/>
    </row>
    <row r="8" spans="1:31" ht="30" x14ac:dyDescent="0.25">
      <c r="A8" s="8" t="s">
        <v>18</v>
      </c>
      <c r="E8" s="4">
        <f>D5*1*52</f>
        <v>845000</v>
      </c>
      <c r="F8" s="4" t="s">
        <v>30</v>
      </c>
      <c r="G8" s="4" t="s">
        <v>30</v>
      </c>
      <c r="H8" s="7" t="s">
        <v>101</v>
      </c>
      <c r="J8" s="2"/>
      <c r="K8" s="2"/>
      <c r="L8" s="2"/>
      <c r="M8" s="2"/>
      <c r="N8" s="2"/>
      <c r="O8" s="2"/>
      <c r="P8" s="2"/>
      <c r="Q8" s="2"/>
      <c r="R8" s="2"/>
      <c r="S8" s="2"/>
      <c r="T8" s="2"/>
      <c r="U8" s="2"/>
      <c r="V8" s="2"/>
      <c r="W8" s="2"/>
      <c r="X8" s="2"/>
      <c r="Y8" s="2"/>
      <c r="Z8" s="2"/>
      <c r="AA8" s="2"/>
      <c r="AB8" s="2"/>
      <c r="AC8" s="2"/>
      <c r="AD8" s="2"/>
      <c r="AE8" s="2"/>
    </row>
    <row r="9" spans="1:31" ht="30" x14ac:dyDescent="0.25">
      <c r="A9" s="12" t="s">
        <v>31</v>
      </c>
      <c r="B9" s="9">
        <v>12000</v>
      </c>
      <c r="C9" s="3">
        <f>(D9-B9)/2+B9</f>
        <v>13312.5</v>
      </c>
      <c r="D9" s="8">
        <f>D5/100*90</f>
        <v>14625</v>
      </c>
      <c r="J9" s="2"/>
      <c r="K9" s="2"/>
      <c r="L9" s="2"/>
      <c r="M9" s="2"/>
      <c r="N9" s="2"/>
      <c r="O9" s="2"/>
      <c r="P9" s="2"/>
      <c r="Q9" s="2"/>
      <c r="R9" s="2"/>
      <c r="S9" s="2"/>
      <c r="T9" s="2"/>
      <c r="U9" s="2"/>
      <c r="V9" s="2"/>
      <c r="W9" s="2"/>
      <c r="X9" s="2"/>
      <c r="Y9" s="2"/>
      <c r="Z9" s="2"/>
      <c r="AA9" s="2"/>
      <c r="AB9" s="2"/>
      <c r="AC9" s="2"/>
      <c r="AD9" s="2"/>
      <c r="AE9" s="2"/>
    </row>
    <row r="10" spans="1:31" ht="30" x14ac:dyDescent="0.25">
      <c r="A10" s="4" t="s">
        <v>32</v>
      </c>
      <c r="E10" s="4">
        <f>D9/100*80</f>
        <v>11700</v>
      </c>
      <c r="G10" s="3" t="s">
        <v>33</v>
      </c>
      <c r="H10" s="7" t="s">
        <v>104</v>
      </c>
      <c r="J10" s="2"/>
      <c r="K10" s="2"/>
      <c r="L10" s="2"/>
      <c r="M10" s="2"/>
      <c r="N10" s="2"/>
      <c r="O10" s="2"/>
      <c r="P10" s="2"/>
      <c r="Q10" s="2"/>
      <c r="R10" s="2"/>
      <c r="S10" s="2"/>
      <c r="T10" s="2"/>
      <c r="U10" s="2"/>
      <c r="V10" s="2"/>
      <c r="W10" s="2"/>
      <c r="X10" s="2"/>
      <c r="Y10" s="2"/>
      <c r="Z10" s="2"/>
      <c r="AA10" s="2"/>
      <c r="AB10" s="2"/>
      <c r="AC10" s="2"/>
      <c r="AD10" s="2"/>
      <c r="AE10" s="2"/>
    </row>
    <row r="11" spans="1:31" ht="30" x14ac:dyDescent="0.25">
      <c r="A11" s="8" t="s">
        <v>36</v>
      </c>
      <c r="B11" s="9"/>
      <c r="D11" s="8"/>
      <c r="E11" s="4">
        <f>D9/100*20</f>
        <v>2925</v>
      </c>
      <c r="G11" s="3" t="s">
        <v>34</v>
      </c>
      <c r="H11" s="7" t="s">
        <v>105</v>
      </c>
      <c r="I11" s="503" t="s">
        <v>62</v>
      </c>
      <c r="J11" s="2"/>
      <c r="K11" s="2"/>
      <c r="L11" s="2"/>
      <c r="M11" s="2"/>
      <c r="N11" s="2"/>
      <c r="O11" s="2"/>
      <c r="P11" s="2"/>
      <c r="Q11" s="2"/>
      <c r="R11" s="2"/>
      <c r="S11" s="2"/>
      <c r="T11" s="2"/>
      <c r="U11" s="2"/>
      <c r="V11" s="2"/>
      <c r="W11" s="2"/>
      <c r="X11" s="2"/>
      <c r="Y11" s="2"/>
      <c r="Z11" s="2"/>
      <c r="AA11" s="2"/>
      <c r="AB11" s="2"/>
      <c r="AC11" s="2"/>
      <c r="AD11" s="2"/>
      <c r="AE11" s="2"/>
    </row>
    <row r="12" spans="1:31" ht="75" x14ac:dyDescent="0.25">
      <c r="A12" s="15" t="s">
        <v>55</v>
      </c>
      <c r="B12" s="9"/>
      <c r="D12" s="8"/>
      <c r="E12" s="3">
        <f>E11+E10*14.3%</f>
        <v>4598.1000000000004</v>
      </c>
      <c r="G12" s="7" t="s">
        <v>59</v>
      </c>
      <c r="H12" s="7" t="s">
        <v>106</v>
      </c>
      <c r="I12" s="503"/>
      <c r="J12" s="2"/>
      <c r="K12" s="2"/>
      <c r="L12" s="2"/>
      <c r="M12" s="2"/>
      <c r="N12" s="2"/>
      <c r="O12" s="2"/>
      <c r="P12" s="2"/>
      <c r="Q12" s="2"/>
      <c r="R12" s="2"/>
      <c r="S12" s="2"/>
      <c r="T12" s="2"/>
      <c r="U12" s="2"/>
      <c r="V12" s="2"/>
      <c r="W12" s="2"/>
      <c r="X12" s="2"/>
      <c r="Y12" s="2"/>
      <c r="Z12" s="2"/>
      <c r="AA12" s="2"/>
      <c r="AB12" s="2"/>
      <c r="AC12" s="2"/>
      <c r="AD12" s="2"/>
      <c r="AE12" s="2"/>
    </row>
    <row r="13" spans="1:31" ht="45" x14ac:dyDescent="0.25">
      <c r="A13" s="8" t="s">
        <v>37</v>
      </c>
      <c r="B13" s="9"/>
      <c r="D13" s="8"/>
      <c r="E13" s="3">
        <f>E11*15%</f>
        <v>438.75</v>
      </c>
      <c r="G13" s="7" t="s">
        <v>58</v>
      </c>
      <c r="H13" s="7" t="s">
        <v>107</v>
      </c>
      <c r="I13" s="503"/>
      <c r="J13" s="2"/>
      <c r="K13" s="2"/>
      <c r="L13" s="2"/>
      <c r="M13" s="2"/>
      <c r="N13" s="2"/>
      <c r="O13" s="2"/>
      <c r="P13" s="2"/>
      <c r="Q13" s="2"/>
      <c r="R13" s="2"/>
      <c r="S13" s="2"/>
      <c r="T13" s="2"/>
      <c r="U13" s="2"/>
      <c r="V13" s="2"/>
      <c r="W13" s="2"/>
      <c r="X13" s="2"/>
      <c r="Y13" s="2"/>
      <c r="Z13" s="2"/>
      <c r="AA13" s="2"/>
      <c r="AB13" s="2"/>
      <c r="AC13" s="2"/>
      <c r="AD13" s="2"/>
      <c r="AE13" s="2"/>
    </row>
    <row r="14" spans="1:31" ht="90" x14ac:dyDescent="0.25">
      <c r="A14" s="15" t="s">
        <v>56</v>
      </c>
      <c r="B14" s="9"/>
      <c r="D14" s="8"/>
      <c r="E14" s="3">
        <f>E13+E10*14.3%</f>
        <v>2111.8500000000004</v>
      </c>
      <c r="G14" s="7" t="s">
        <v>59</v>
      </c>
      <c r="H14" s="7" t="s">
        <v>108</v>
      </c>
      <c r="I14" s="503"/>
      <c r="J14" s="2"/>
      <c r="K14" s="2"/>
      <c r="L14" s="2"/>
      <c r="M14" s="2"/>
      <c r="N14" s="2"/>
      <c r="O14" s="2"/>
      <c r="P14" s="2"/>
      <c r="Q14" s="2"/>
      <c r="R14" s="2"/>
      <c r="S14" s="2"/>
      <c r="T14" s="2"/>
      <c r="U14" s="2"/>
      <c r="V14" s="2"/>
      <c r="W14" s="2"/>
      <c r="X14" s="2"/>
      <c r="Y14" s="2"/>
      <c r="Z14" s="2"/>
      <c r="AA14" s="2"/>
      <c r="AB14" s="2"/>
      <c r="AC14" s="2"/>
      <c r="AD14" s="2"/>
      <c r="AE14" s="2"/>
    </row>
    <row r="15" spans="1:31" ht="45" x14ac:dyDescent="0.25">
      <c r="A15" s="8" t="s">
        <v>38</v>
      </c>
      <c r="B15" s="9"/>
      <c r="D15" s="8"/>
      <c r="E15" s="3">
        <f>E11*14.3%</f>
        <v>418.27500000000003</v>
      </c>
      <c r="G15" s="7" t="s">
        <v>54</v>
      </c>
      <c r="H15" s="7" t="s">
        <v>109</v>
      </c>
      <c r="I15" s="503"/>
      <c r="J15" s="2"/>
      <c r="K15" s="2"/>
      <c r="L15" s="2"/>
      <c r="M15" s="2"/>
      <c r="N15" s="2"/>
      <c r="O15" s="2"/>
      <c r="P15" s="2"/>
      <c r="Q15" s="2"/>
      <c r="R15" s="2"/>
      <c r="S15" s="2"/>
      <c r="T15" s="2"/>
      <c r="U15" s="2"/>
      <c r="V15" s="2"/>
      <c r="W15" s="2"/>
      <c r="X15" s="2"/>
      <c r="Y15" s="2"/>
      <c r="Z15" s="2"/>
      <c r="AA15" s="2"/>
      <c r="AB15" s="2"/>
      <c r="AC15" s="2"/>
      <c r="AD15" s="2"/>
      <c r="AE15" s="2"/>
    </row>
    <row r="16" spans="1:31" ht="90" x14ac:dyDescent="0.25">
      <c r="A16" s="15" t="s">
        <v>57</v>
      </c>
      <c r="B16" s="9"/>
      <c r="D16" s="8"/>
      <c r="E16" s="3">
        <f>E15+E10*14.3%</f>
        <v>2091.375</v>
      </c>
      <c r="G16" s="7" t="s">
        <v>59</v>
      </c>
      <c r="H16" s="7" t="s">
        <v>110</v>
      </c>
      <c r="I16" s="10"/>
      <c r="J16" s="2"/>
      <c r="K16" s="2"/>
      <c r="L16" s="2"/>
      <c r="M16" s="2"/>
      <c r="N16" s="2"/>
      <c r="O16" s="2"/>
      <c r="P16" s="2"/>
      <c r="Q16" s="2"/>
      <c r="R16" s="2"/>
      <c r="S16" s="2"/>
      <c r="T16" s="2"/>
      <c r="U16" s="2"/>
      <c r="V16" s="2"/>
      <c r="W16" s="2"/>
      <c r="X16" s="2"/>
      <c r="Y16" s="2"/>
      <c r="Z16" s="2"/>
      <c r="AA16" s="2"/>
      <c r="AB16" s="2"/>
      <c r="AC16" s="2"/>
      <c r="AD16" s="2"/>
      <c r="AE16" s="2"/>
    </row>
    <row r="17" spans="1:31" ht="30" x14ac:dyDescent="0.25">
      <c r="A17" s="8" t="s">
        <v>44</v>
      </c>
      <c r="B17" s="9"/>
      <c r="C17" s="3"/>
      <c r="D17" s="8"/>
      <c r="E17" s="3">
        <f>D5/100*60*2</f>
        <v>19500</v>
      </c>
      <c r="F17" s="3"/>
      <c r="G17" s="7" t="s">
        <v>80</v>
      </c>
      <c r="H17" s="7" t="s">
        <v>111</v>
      </c>
      <c r="J17" s="2"/>
      <c r="K17" s="2"/>
      <c r="L17" s="2"/>
      <c r="M17" s="2"/>
      <c r="N17" s="2"/>
      <c r="O17" s="2"/>
      <c r="P17" s="2"/>
      <c r="Q17" s="2"/>
      <c r="R17" s="2"/>
      <c r="S17" s="2"/>
      <c r="T17" s="2"/>
      <c r="U17" s="2"/>
      <c r="V17" s="2"/>
      <c r="W17" s="2"/>
      <c r="X17" s="2"/>
      <c r="Y17" s="2"/>
      <c r="Z17" s="2"/>
      <c r="AA17" s="2"/>
      <c r="AB17" s="2"/>
      <c r="AC17" s="2"/>
      <c r="AD17" s="2"/>
      <c r="AE17" s="2"/>
    </row>
    <row r="18" spans="1:31" ht="18.75" x14ac:dyDescent="0.3">
      <c r="A18" s="22" t="s">
        <v>47</v>
      </c>
      <c r="B18" s="22"/>
      <c r="C18" s="22"/>
      <c r="D18" s="22"/>
      <c r="E18" s="22"/>
      <c r="F18" s="22"/>
      <c r="G18" s="22"/>
      <c r="H18" s="22"/>
      <c r="I18" s="22"/>
      <c r="J18" s="2"/>
      <c r="K18" s="2"/>
      <c r="L18" s="2"/>
      <c r="M18" s="2"/>
      <c r="N18" s="2"/>
      <c r="O18" s="2"/>
      <c r="P18" s="2"/>
      <c r="Q18" s="2"/>
      <c r="R18" s="2"/>
      <c r="S18" s="2"/>
      <c r="T18" s="2"/>
      <c r="U18" s="2"/>
      <c r="V18" s="2"/>
      <c r="W18" s="2"/>
      <c r="X18" s="2"/>
      <c r="Y18" s="2"/>
      <c r="Z18" s="2"/>
      <c r="AA18" s="2"/>
      <c r="AB18" s="2"/>
      <c r="AC18" s="2"/>
      <c r="AD18" s="2"/>
      <c r="AE18" s="2"/>
    </row>
    <row r="19" spans="1:31" x14ac:dyDescent="0.25">
      <c r="A19" s="4" t="s">
        <v>23</v>
      </c>
      <c r="B19" s="13"/>
      <c r="C19" s="4">
        <v>2561</v>
      </c>
      <c r="D19" s="4">
        <v>2846</v>
      </c>
      <c r="J19" s="2"/>
      <c r="K19" s="2"/>
      <c r="L19" s="2"/>
      <c r="M19" s="2"/>
      <c r="N19" s="2"/>
      <c r="O19" s="2"/>
      <c r="P19" s="2"/>
      <c r="Q19" s="2"/>
      <c r="R19" s="2"/>
      <c r="S19" s="2"/>
      <c r="T19" s="2"/>
      <c r="U19" s="2"/>
      <c r="V19" s="2"/>
      <c r="W19" s="2"/>
      <c r="X19" s="2"/>
      <c r="Y19" s="2"/>
      <c r="Z19" s="2"/>
      <c r="AA19" s="2"/>
      <c r="AB19" s="2"/>
      <c r="AC19" s="2"/>
      <c r="AD19" s="2"/>
      <c r="AE19" s="2"/>
    </row>
    <row r="20" spans="1:31" x14ac:dyDescent="0.25">
      <c r="A20" s="4" t="s">
        <v>24</v>
      </c>
      <c r="B20" s="13">
        <v>0.7</v>
      </c>
      <c r="C20" s="13">
        <v>0.7</v>
      </c>
      <c r="J20" s="2"/>
      <c r="K20" s="2"/>
      <c r="L20" s="2"/>
      <c r="M20" s="2"/>
      <c r="N20" s="2"/>
      <c r="O20" s="2"/>
      <c r="P20" s="2"/>
      <c r="Q20" s="2"/>
      <c r="R20" s="2"/>
      <c r="S20" s="2"/>
      <c r="T20" s="2"/>
      <c r="U20" s="2"/>
      <c r="V20" s="2"/>
      <c r="W20" s="2"/>
      <c r="X20" s="2"/>
      <c r="Y20" s="2"/>
      <c r="Z20" s="2"/>
      <c r="AA20" s="2"/>
      <c r="AB20" s="2"/>
      <c r="AC20" s="2"/>
      <c r="AD20" s="2"/>
      <c r="AE20" s="2"/>
    </row>
    <row r="21" spans="1:31" ht="37.5" x14ac:dyDescent="0.25">
      <c r="A21" s="8" t="s">
        <v>2</v>
      </c>
      <c r="B21" s="9"/>
      <c r="D21" s="8"/>
      <c r="E21" s="4">
        <v>30</v>
      </c>
      <c r="G21" s="3"/>
      <c r="H21" s="3" t="s">
        <v>112</v>
      </c>
      <c r="I21" s="44" t="s">
        <v>81</v>
      </c>
      <c r="J21" s="2"/>
      <c r="K21" s="2"/>
      <c r="L21" s="2"/>
      <c r="M21" s="2"/>
      <c r="N21" s="2"/>
      <c r="O21" s="2"/>
      <c r="P21" s="2"/>
      <c r="Q21" s="2"/>
      <c r="R21" s="2"/>
      <c r="S21" s="2"/>
      <c r="T21" s="2"/>
      <c r="U21" s="2"/>
      <c r="V21" s="2"/>
      <c r="W21" s="2"/>
      <c r="X21" s="2"/>
      <c r="Y21" s="2"/>
      <c r="Z21" s="2"/>
      <c r="AA21" s="2"/>
      <c r="AB21" s="2"/>
      <c r="AC21" s="2"/>
      <c r="AD21" s="2"/>
      <c r="AE21" s="2"/>
    </row>
    <row r="22" spans="1:31" ht="45" x14ac:dyDescent="0.25">
      <c r="A22" s="8" t="s">
        <v>3</v>
      </c>
      <c r="B22" s="9"/>
      <c r="E22" s="8">
        <f>D19*365+D19*1*12</f>
        <v>1072942</v>
      </c>
      <c r="G22" s="7" t="s">
        <v>82</v>
      </c>
      <c r="H22" s="7" t="s">
        <v>116</v>
      </c>
      <c r="J22" s="2"/>
      <c r="K22" s="2"/>
      <c r="L22" s="2"/>
      <c r="M22" s="2"/>
      <c r="N22" s="2"/>
      <c r="O22" s="2"/>
      <c r="P22" s="2"/>
      <c r="Q22" s="2"/>
      <c r="R22" s="2"/>
      <c r="S22" s="2"/>
      <c r="T22" s="2"/>
      <c r="U22" s="2"/>
      <c r="V22" s="2"/>
      <c r="W22" s="2"/>
      <c r="X22" s="2"/>
      <c r="Y22" s="2"/>
      <c r="Z22" s="2"/>
      <c r="AA22" s="2"/>
      <c r="AB22" s="2"/>
      <c r="AC22" s="2"/>
      <c r="AD22" s="2"/>
      <c r="AE22" s="2"/>
    </row>
    <row r="23" spans="1:31" ht="60" x14ac:dyDescent="0.25">
      <c r="A23" s="8" t="s">
        <v>4</v>
      </c>
      <c r="B23" s="9"/>
      <c r="D23" s="8"/>
      <c r="E23" s="4">
        <f>18000/100*25+18000</f>
        <v>22500</v>
      </c>
      <c r="G23" s="7" t="s">
        <v>94</v>
      </c>
      <c r="H23" s="7" t="s">
        <v>113</v>
      </c>
      <c r="J23" s="2"/>
      <c r="K23" s="2"/>
      <c r="L23" s="2"/>
      <c r="M23" s="2"/>
      <c r="N23" s="2"/>
      <c r="O23" s="2"/>
      <c r="P23" s="2"/>
      <c r="Q23" s="2"/>
      <c r="R23" s="2"/>
      <c r="S23" s="2"/>
      <c r="T23" s="2"/>
      <c r="U23" s="2"/>
      <c r="V23" s="2"/>
      <c r="W23" s="2"/>
      <c r="X23" s="2"/>
      <c r="Y23" s="2"/>
      <c r="Z23" s="2"/>
      <c r="AA23" s="2"/>
      <c r="AB23" s="2"/>
      <c r="AC23" s="2"/>
      <c r="AD23" s="2"/>
      <c r="AE23" s="2"/>
    </row>
    <row r="24" spans="1:31" ht="60" x14ac:dyDescent="0.25">
      <c r="A24" s="8" t="s">
        <v>5</v>
      </c>
      <c r="B24" s="9"/>
      <c r="D24" s="8"/>
      <c r="E24" s="4">
        <f>7500/100*25+7500</f>
        <v>9375</v>
      </c>
      <c r="G24" s="7" t="s">
        <v>95</v>
      </c>
      <c r="H24" s="7" t="s">
        <v>114</v>
      </c>
      <c r="J24" s="2"/>
      <c r="K24" s="2"/>
      <c r="L24" s="2"/>
      <c r="M24" s="2"/>
      <c r="N24" s="2"/>
      <c r="O24" s="2"/>
      <c r="P24" s="2"/>
      <c r="Q24" s="2"/>
      <c r="R24" s="2"/>
      <c r="S24" s="2"/>
      <c r="T24" s="2"/>
      <c r="U24" s="2"/>
      <c r="V24" s="2"/>
      <c r="W24" s="2"/>
      <c r="X24" s="2"/>
      <c r="Y24" s="2"/>
      <c r="Z24" s="2"/>
      <c r="AA24" s="2"/>
      <c r="AB24" s="2"/>
      <c r="AC24" s="2"/>
      <c r="AD24" s="2"/>
      <c r="AE24" s="2"/>
    </row>
    <row r="25" spans="1:31" ht="60" x14ac:dyDescent="0.25">
      <c r="A25" s="8" t="s">
        <v>7</v>
      </c>
      <c r="B25" s="9"/>
      <c r="D25" s="8"/>
      <c r="E25" s="3">
        <f>(E10+E35+E48+E59+6000)/100*5+29770</f>
        <v>31258.48</v>
      </c>
      <c r="G25" s="7" t="s">
        <v>98</v>
      </c>
      <c r="H25" s="7" t="s">
        <v>118</v>
      </c>
      <c r="J25" s="2"/>
      <c r="K25" s="2"/>
      <c r="L25" s="2"/>
      <c r="M25" s="2"/>
      <c r="N25" s="2"/>
      <c r="O25" s="2"/>
      <c r="P25" s="2"/>
      <c r="Q25" s="2"/>
      <c r="R25" s="2"/>
      <c r="S25" s="2"/>
      <c r="T25" s="2"/>
      <c r="U25" s="2"/>
      <c r="V25" s="2"/>
      <c r="W25" s="2"/>
      <c r="X25" s="2"/>
      <c r="Y25" s="2"/>
      <c r="Z25" s="2"/>
      <c r="AA25" s="2"/>
      <c r="AB25" s="2"/>
      <c r="AC25" s="2"/>
      <c r="AD25" s="2"/>
      <c r="AE25" s="2"/>
    </row>
    <row r="26" spans="1:31" ht="45" x14ac:dyDescent="0.25">
      <c r="A26" s="8" t="s">
        <v>96</v>
      </c>
      <c r="B26" s="9"/>
      <c r="D26" s="8"/>
      <c r="E26" s="3">
        <f>40*4*12</f>
        <v>1920</v>
      </c>
      <c r="G26" s="7" t="s">
        <v>99</v>
      </c>
      <c r="H26" s="7" t="s">
        <v>117</v>
      </c>
      <c r="I26" s="500" t="s">
        <v>147</v>
      </c>
      <c r="J26" s="2"/>
      <c r="K26" s="2"/>
      <c r="L26" s="2"/>
      <c r="M26" s="2"/>
      <c r="N26" s="2"/>
      <c r="O26" s="2"/>
      <c r="P26" s="2"/>
      <c r="Q26" s="2"/>
      <c r="R26" s="2"/>
      <c r="S26" s="2"/>
      <c r="T26" s="2"/>
      <c r="U26" s="2"/>
      <c r="V26" s="2"/>
      <c r="W26" s="2"/>
      <c r="X26" s="2"/>
      <c r="Y26" s="2"/>
      <c r="Z26" s="2"/>
      <c r="AA26" s="2"/>
      <c r="AB26" s="2"/>
      <c r="AC26" s="2"/>
      <c r="AD26" s="2"/>
      <c r="AE26" s="2"/>
    </row>
    <row r="27" spans="1:31" ht="45" x14ac:dyDescent="0.25">
      <c r="A27" s="8" t="s">
        <v>97</v>
      </c>
      <c r="B27" s="9"/>
      <c r="D27" s="8"/>
      <c r="E27" s="3">
        <f>5000*5</f>
        <v>25000</v>
      </c>
      <c r="G27" s="7" t="s">
        <v>100</v>
      </c>
      <c r="H27" s="7" t="s">
        <v>119</v>
      </c>
      <c r="I27" s="500"/>
      <c r="J27" s="2"/>
      <c r="K27" s="2"/>
      <c r="L27" s="2"/>
      <c r="M27" s="2"/>
      <c r="N27" s="2"/>
      <c r="O27" s="2"/>
      <c r="P27" s="2"/>
      <c r="Q27" s="2"/>
      <c r="R27" s="2"/>
      <c r="S27" s="2"/>
      <c r="T27" s="2"/>
      <c r="U27" s="2"/>
      <c r="V27" s="2"/>
      <c r="W27" s="2"/>
      <c r="X27" s="2"/>
      <c r="Y27" s="2"/>
      <c r="Z27" s="2"/>
      <c r="AA27" s="2"/>
      <c r="AB27" s="2"/>
      <c r="AC27" s="2"/>
      <c r="AD27" s="2"/>
      <c r="AE27" s="2"/>
    </row>
    <row r="28" spans="1:31" x14ac:dyDescent="0.25">
      <c r="A28" s="18" t="s">
        <v>65</v>
      </c>
      <c r="B28" s="30"/>
      <c r="C28" s="14"/>
      <c r="D28" s="18"/>
      <c r="E28" s="31">
        <f>E10*5</f>
        <v>58500</v>
      </c>
      <c r="F28" s="14"/>
      <c r="G28" s="19"/>
      <c r="H28" s="19" t="s">
        <v>150</v>
      </c>
      <c r="I28" s="32"/>
      <c r="J28" s="2"/>
      <c r="K28" s="2"/>
      <c r="L28" s="2"/>
      <c r="M28" s="2"/>
      <c r="N28" s="2"/>
      <c r="O28" s="2"/>
      <c r="P28" s="2"/>
      <c r="Q28" s="2"/>
      <c r="R28" s="2"/>
      <c r="S28" s="2"/>
      <c r="T28" s="2"/>
      <c r="U28" s="2"/>
      <c r="V28" s="2"/>
      <c r="W28" s="2"/>
      <c r="X28" s="2"/>
      <c r="Y28" s="2"/>
      <c r="Z28" s="2"/>
      <c r="AA28" s="2"/>
      <c r="AB28" s="2"/>
      <c r="AC28" s="2"/>
      <c r="AD28" s="2"/>
      <c r="AE28" s="2"/>
    </row>
    <row r="29" spans="1:31" ht="21" x14ac:dyDescent="0.35">
      <c r="A29" s="20" t="s">
        <v>9</v>
      </c>
      <c r="B29" s="20"/>
      <c r="C29" s="20"/>
      <c r="D29" s="20"/>
      <c r="E29" s="20"/>
      <c r="F29" s="20"/>
      <c r="G29" s="20"/>
      <c r="H29" s="23"/>
      <c r="I29" s="16"/>
      <c r="J29" s="2"/>
      <c r="K29" s="2"/>
      <c r="L29" s="2"/>
      <c r="M29" s="2"/>
      <c r="N29" s="2"/>
      <c r="O29" s="2"/>
      <c r="P29" s="2"/>
      <c r="Q29" s="2"/>
      <c r="R29" s="2"/>
      <c r="S29" s="2"/>
      <c r="T29" s="2"/>
      <c r="U29" s="2"/>
      <c r="V29" s="2"/>
      <c r="W29" s="2"/>
      <c r="X29" s="2"/>
      <c r="Y29" s="2"/>
      <c r="Z29" s="2"/>
      <c r="AA29" s="2"/>
      <c r="AB29" s="2"/>
      <c r="AC29" s="2"/>
      <c r="AD29" s="2"/>
      <c r="AE29" s="2"/>
    </row>
    <row r="30" spans="1:31" x14ac:dyDescent="0.25">
      <c r="A30" s="4" t="s">
        <v>60</v>
      </c>
      <c r="B30" s="11">
        <v>4615</v>
      </c>
      <c r="C30" s="3">
        <f>(D30-B30)/2+B30</f>
        <v>4792.5</v>
      </c>
      <c r="D30" s="4">
        <v>4970</v>
      </c>
      <c r="G30" s="3"/>
      <c r="H30" s="3"/>
      <c r="J30" s="2"/>
      <c r="K30" s="2"/>
      <c r="L30" s="2"/>
      <c r="M30" s="2"/>
      <c r="N30" s="2"/>
      <c r="O30" s="2"/>
      <c r="P30" s="2"/>
      <c r="Q30" s="2"/>
      <c r="R30" s="2"/>
      <c r="S30" s="2"/>
      <c r="T30" s="2"/>
      <c r="U30" s="2"/>
      <c r="V30" s="2"/>
      <c r="W30" s="2"/>
      <c r="X30" s="2"/>
      <c r="Y30" s="2"/>
      <c r="Z30" s="2"/>
      <c r="AA30" s="2"/>
      <c r="AB30" s="2"/>
      <c r="AC30" s="2"/>
      <c r="AD30" s="2"/>
      <c r="AE30" s="2"/>
    </row>
    <row r="31" spans="1:31" ht="30" x14ac:dyDescent="0.25">
      <c r="A31" s="8" t="s">
        <v>10</v>
      </c>
      <c r="B31" s="9"/>
      <c r="C31" s="3"/>
      <c r="D31" s="8"/>
      <c r="E31" s="4">
        <f>D30*6*52</f>
        <v>1550640</v>
      </c>
      <c r="F31" s="7" t="s">
        <v>39</v>
      </c>
      <c r="G31" s="3" t="s">
        <v>35</v>
      </c>
      <c r="H31" s="7" t="s">
        <v>120</v>
      </c>
      <c r="J31" s="2"/>
      <c r="K31" s="2"/>
      <c r="L31" s="2"/>
      <c r="M31" s="2"/>
      <c r="N31" s="2"/>
      <c r="O31" s="2"/>
      <c r="P31" s="2"/>
      <c r="Q31" s="2"/>
      <c r="R31" s="2"/>
      <c r="S31" s="2"/>
      <c r="T31" s="2"/>
      <c r="U31" s="2"/>
      <c r="V31" s="2"/>
      <c r="W31" s="2"/>
      <c r="X31" s="2"/>
      <c r="Y31" s="2"/>
      <c r="Z31" s="2"/>
      <c r="AA31" s="2"/>
      <c r="AB31" s="2"/>
      <c r="AC31" s="2"/>
      <c r="AD31" s="2"/>
      <c r="AE31" s="2"/>
    </row>
    <row r="32" spans="1:31" ht="30" x14ac:dyDescent="0.25">
      <c r="A32" s="8" t="s">
        <v>11</v>
      </c>
      <c r="B32" s="9"/>
      <c r="C32" s="3"/>
      <c r="D32" s="8"/>
      <c r="E32" s="4">
        <f>D30*1*52</f>
        <v>258440</v>
      </c>
      <c r="G32" s="4" t="s">
        <v>30</v>
      </c>
      <c r="H32" s="7" t="s">
        <v>121</v>
      </c>
      <c r="J32" s="2"/>
      <c r="K32" s="2"/>
      <c r="L32" s="2"/>
      <c r="M32" s="2"/>
      <c r="N32" s="2"/>
      <c r="O32" s="2"/>
      <c r="P32" s="2"/>
      <c r="Q32" s="2"/>
      <c r="R32" s="2"/>
      <c r="S32" s="2"/>
      <c r="T32" s="2"/>
      <c r="U32" s="2"/>
      <c r="V32" s="2"/>
      <c r="W32" s="2"/>
      <c r="X32" s="2"/>
      <c r="Y32" s="2"/>
      <c r="Z32" s="2"/>
      <c r="AA32" s="2"/>
      <c r="AB32" s="2"/>
      <c r="AC32" s="2"/>
      <c r="AD32" s="2"/>
      <c r="AE32" s="2"/>
    </row>
    <row r="33" spans="1:31" ht="45" x14ac:dyDescent="0.25">
      <c r="A33" s="8" t="s">
        <v>12</v>
      </c>
      <c r="B33" s="9"/>
      <c r="C33" s="3"/>
      <c r="D33" s="8"/>
      <c r="E33" s="4">
        <f>E31/100*20</f>
        <v>310128</v>
      </c>
      <c r="F33" s="7" t="s">
        <v>43</v>
      </c>
      <c r="G33" s="7" t="s">
        <v>43</v>
      </c>
      <c r="H33" s="7" t="s">
        <v>130</v>
      </c>
      <c r="J33" s="2"/>
      <c r="K33" s="2"/>
      <c r="L33" s="2"/>
      <c r="M33" s="2"/>
      <c r="N33" s="2"/>
      <c r="O33" s="2"/>
      <c r="P33" s="2"/>
      <c r="Q33" s="2"/>
      <c r="R33" s="2"/>
      <c r="S33" s="2"/>
      <c r="T33" s="2"/>
      <c r="U33" s="2"/>
      <c r="V33" s="2"/>
      <c r="W33" s="2"/>
      <c r="X33" s="2"/>
      <c r="Y33" s="2"/>
      <c r="Z33" s="2"/>
      <c r="AA33" s="2"/>
      <c r="AB33" s="2"/>
      <c r="AC33" s="2"/>
      <c r="AD33" s="2"/>
      <c r="AE33" s="2"/>
    </row>
    <row r="34" spans="1:31" ht="30" x14ac:dyDescent="0.25">
      <c r="A34" s="8" t="s">
        <v>31</v>
      </c>
      <c r="B34" s="9">
        <v>3692</v>
      </c>
      <c r="C34" s="3">
        <f>(D34-B34)/2+B34</f>
        <v>4082.5</v>
      </c>
      <c r="D34" s="8">
        <v>4473</v>
      </c>
      <c r="J34" s="2"/>
      <c r="K34" s="2"/>
      <c r="L34" s="2"/>
      <c r="M34" s="2"/>
      <c r="N34" s="2"/>
      <c r="O34" s="2"/>
      <c r="P34" s="2"/>
      <c r="Q34" s="2"/>
      <c r="R34" s="2"/>
      <c r="S34" s="2"/>
      <c r="T34" s="2"/>
      <c r="U34" s="2"/>
      <c r="V34" s="2"/>
      <c r="W34" s="2"/>
      <c r="X34" s="2"/>
      <c r="Y34" s="2"/>
      <c r="Z34" s="2"/>
      <c r="AA34" s="2"/>
      <c r="AB34" s="2"/>
      <c r="AC34" s="2"/>
      <c r="AD34" s="2"/>
      <c r="AE34" s="2"/>
    </row>
    <row r="35" spans="1:31" ht="30" x14ac:dyDescent="0.25">
      <c r="A35" s="4" t="s">
        <v>1</v>
      </c>
      <c r="C35" s="3"/>
      <c r="E35" s="3">
        <f>D34/100*80</f>
        <v>3578.3999999999996</v>
      </c>
      <c r="F35" s="3"/>
      <c r="G35" s="3" t="s">
        <v>33</v>
      </c>
      <c r="H35" s="7" t="s">
        <v>122</v>
      </c>
      <c r="J35" s="2"/>
      <c r="K35" s="2"/>
      <c r="L35" s="2"/>
      <c r="M35" s="2"/>
      <c r="N35" s="2"/>
      <c r="O35" s="2"/>
      <c r="P35" s="2"/>
      <c r="Q35" s="2"/>
      <c r="R35" s="2"/>
      <c r="S35" s="2"/>
      <c r="T35" s="2"/>
      <c r="U35" s="2"/>
      <c r="V35" s="2"/>
      <c r="W35" s="2"/>
      <c r="X35" s="2"/>
      <c r="Y35" s="2"/>
      <c r="Z35" s="2"/>
      <c r="AA35" s="2"/>
      <c r="AB35" s="2"/>
      <c r="AC35" s="2"/>
      <c r="AD35" s="2"/>
      <c r="AE35" s="2"/>
    </row>
    <row r="36" spans="1:31" ht="30" x14ac:dyDescent="0.25">
      <c r="A36" s="8" t="s">
        <v>36</v>
      </c>
      <c r="B36" s="9"/>
      <c r="C36" s="3"/>
      <c r="D36" s="8"/>
      <c r="E36" s="3">
        <f>D34/100*20</f>
        <v>894.59999999999991</v>
      </c>
      <c r="F36" s="3"/>
      <c r="G36" s="3" t="s">
        <v>34</v>
      </c>
      <c r="H36" s="7" t="s">
        <v>123</v>
      </c>
      <c r="J36" s="2"/>
      <c r="K36" s="2"/>
      <c r="L36" s="2"/>
      <c r="M36" s="2"/>
      <c r="N36" s="2"/>
      <c r="O36" s="2"/>
      <c r="P36" s="2"/>
      <c r="Q36" s="2"/>
      <c r="R36" s="2"/>
      <c r="S36" s="2"/>
      <c r="T36" s="2"/>
      <c r="U36" s="2"/>
      <c r="V36" s="2"/>
      <c r="W36" s="2"/>
      <c r="X36" s="2"/>
      <c r="Y36" s="2"/>
      <c r="Z36" s="2"/>
      <c r="AA36" s="2"/>
      <c r="AB36" s="2"/>
      <c r="AC36" s="2"/>
      <c r="AD36" s="2"/>
      <c r="AE36" s="2"/>
    </row>
    <row r="37" spans="1:31" ht="75" x14ac:dyDescent="0.25">
      <c r="A37" s="15" t="s">
        <v>55</v>
      </c>
      <c r="B37" s="9"/>
      <c r="C37" s="3"/>
      <c r="D37" s="8"/>
      <c r="E37" s="3">
        <f>E36+E35*2.2%</f>
        <v>973.32479999999987</v>
      </c>
      <c r="F37" s="3"/>
      <c r="G37" s="7" t="s">
        <v>59</v>
      </c>
      <c r="H37" s="7" t="s">
        <v>124</v>
      </c>
      <c r="J37" s="2"/>
      <c r="K37" s="2"/>
      <c r="L37" s="2"/>
      <c r="M37" s="2"/>
      <c r="N37" s="2"/>
      <c r="O37" s="2"/>
      <c r="P37" s="2"/>
      <c r="Q37" s="2"/>
      <c r="R37" s="2"/>
      <c r="S37" s="2"/>
      <c r="T37" s="2"/>
      <c r="U37" s="2"/>
      <c r="V37" s="2"/>
      <c r="W37" s="2"/>
      <c r="X37" s="2"/>
      <c r="Y37" s="2"/>
      <c r="Z37" s="2"/>
      <c r="AA37" s="2"/>
      <c r="AB37" s="2"/>
      <c r="AC37" s="2"/>
      <c r="AD37" s="2"/>
      <c r="AE37" s="2"/>
    </row>
    <row r="38" spans="1:31" ht="45" x14ac:dyDescent="0.25">
      <c r="A38" s="8" t="s">
        <v>37</v>
      </c>
      <c r="B38" s="9"/>
      <c r="C38" s="3"/>
      <c r="D38" s="8"/>
      <c r="E38" s="3">
        <f>E36*2.1%</f>
        <v>18.7866</v>
      </c>
      <c r="G38" s="7" t="s">
        <v>53</v>
      </c>
      <c r="H38" s="7" t="s">
        <v>125</v>
      </c>
      <c r="J38" s="2"/>
      <c r="K38" s="2"/>
      <c r="L38" s="2"/>
      <c r="M38" s="2"/>
      <c r="N38" s="2"/>
      <c r="O38" s="2"/>
      <c r="P38" s="2"/>
      <c r="Q38" s="2"/>
      <c r="R38" s="2"/>
      <c r="S38" s="2"/>
      <c r="T38" s="2"/>
      <c r="U38" s="2"/>
      <c r="V38" s="2"/>
      <c r="W38" s="2"/>
      <c r="X38" s="2"/>
      <c r="Y38" s="2"/>
      <c r="Z38" s="2"/>
      <c r="AA38" s="2"/>
      <c r="AB38" s="2"/>
      <c r="AC38" s="2"/>
      <c r="AD38" s="2"/>
      <c r="AE38" s="2"/>
    </row>
    <row r="39" spans="1:31" ht="90" x14ac:dyDescent="0.25">
      <c r="A39" s="15" t="s">
        <v>56</v>
      </c>
      <c r="B39" s="9"/>
      <c r="C39" s="3"/>
      <c r="D39" s="8"/>
      <c r="E39" s="3">
        <f>E38+E35*2.2%</f>
        <v>97.511400000000009</v>
      </c>
      <c r="G39" s="7" t="s">
        <v>59</v>
      </c>
      <c r="H39" s="7" t="s">
        <v>126</v>
      </c>
      <c r="J39" s="2"/>
      <c r="K39" s="2"/>
      <c r="L39" s="2"/>
      <c r="M39" s="2"/>
      <c r="N39" s="2"/>
      <c r="O39" s="2"/>
      <c r="P39" s="2"/>
      <c r="Q39" s="2"/>
      <c r="R39" s="2"/>
      <c r="S39" s="2"/>
      <c r="T39" s="2"/>
      <c r="U39" s="2"/>
      <c r="V39" s="2"/>
      <c r="W39" s="2"/>
      <c r="X39" s="2"/>
      <c r="Y39" s="2"/>
      <c r="Z39" s="2"/>
      <c r="AA39" s="2"/>
      <c r="AB39" s="2"/>
      <c r="AC39" s="2"/>
      <c r="AD39" s="2"/>
      <c r="AE39" s="2"/>
    </row>
    <row r="40" spans="1:31" ht="45" x14ac:dyDescent="0.25">
      <c r="A40" s="8" t="s">
        <v>38</v>
      </c>
      <c r="B40" s="9"/>
      <c r="C40" s="3"/>
      <c r="D40" s="8"/>
      <c r="E40" s="3">
        <f>E36*2%</f>
        <v>17.891999999999999</v>
      </c>
      <c r="G40" s="7" t="s">
        <v>54</v>
      </c>
      <c r="H40" s="7" t="s">
        <v>127</v>
      </c>
      <c r="J40" s="2"/>
      <c r="K40" s="2"/>
      <c r="L40" s="2"/>
      <c r="M40" s="2"/>
      <c r="N40" s="2"/>
      <c r="O40" s="2"/>
      <c r="P40" s="2"/>
      <c r="Q40" s="2"/>
      <c r="R40" s="2"/>
      <c r="S40" s="2"/>
      <c r="T40" s="2"/>
      <c r="U40" s="2"/>
      <c r="V40" s="2"/>
      <c r="W40" s="2"/>
      <c r="X40" s="2"/>
      <c r="Y40" s="2"/>
      <c r="Z40" s="2"/>
      <c r="AA40" s="2"/>
      <c r="AB40" s="2"/>
      <c r="AC40" s="2"/>
      <c r="AD40" s="2"/>
      <c r="AE40" s="2"/>
    </row>
    <row r="41" spans="1:31" ht="90" x14ac:dyDescent="0.25">
      <c r="A41" s="15" t="s">
        <v>57</v>
      </c>
      <c r="B41" s="9"/>
      <c r="C41" s="3"/>
      <c r="D41" s="8"/>
      <c r="E41" s="3">
        <f>E40+E35*2.2%</f>
        <v>96.616799999999998</v>
      </c>
      <c r="G41" s="7" t="s">
        <v>59</v>
      </c>
      <c r="H41" s="7" t="s">
        <v>128</v>
      </c>
      <c r="J41" s="2"/>
      <c r="K41" s="2"/>
      <c r="L41" s="2"/>
      <c r="M41" s="2"/>
      <c r="N41" s="2"/>
      <c r="O41" s="2"/>
      <c r="P41" s="2"/>
      <c r="Q41" s="2"/>
      <c r="R41" s="2"/>
      <c r="S41" s="2"/>
      <c r="T41" s="2"/>
      <c r="U41" s="2"/>
      <c r="V41" s="2"/>
      <c r="W41" s="2"/>
      <c r="X41" s="2"/>
      <c r="Y41" s="2"/>
      <c r="Z41" s="2"/>
      <c r="AA41" s="2"/>
      <c r="AB41" s="2"/>
      <c r="AC41" s="2"/>
      <c r="AD41" s="2"/>
      <c r="AE41" s="2"/>
    </row>
    <row r="42" spans="1:31" x14ac:dyDescent="0.25">
      <c r="A42" s="18" t="s">
        <v>65</v>
      </c>
      <c r="B42" s="30"/>
      <c r="C42" s="31"/>
      <c r="D42" s="18"/>
      <c r="E42" s="31">
        <f>E35*5</f>
        <v>17892</v>
      </c>
      <c r="F42" s="14"/>
      <c r="G42" s="19"/>
      <c r="H42" s="19" t="s">
        <v>150</v>
      </c>
      <c r="I42" s="32"/>
      <c r="J42" s="2"/>
      <c r="K42" s="2"/>
      <c r="L42" s="2"/>
      <c r="M42" s="2"/>
      <c r="N42" s="2"/>
      <c r="O42" s="2"/>
      <c r="P42" s="2"/>
      <c r="Q42" s="2"/>
      <c r="R42" s="2"/>
      <c r="S42" s="2"/>
      <c r="T42" s="2"/>
      <c r="U42" s="2"/>
      <c r="V42" s="2"/>
      <c r="W42" s="2"/>
      <c r="X42" s="2"/>
      <c r="Y42" s="2"/>
      <c r="Z42" s="2"/>
      <c r="AA42" s="2"/>
      <c r="AB42" s="2"/>
      <c r="AC42" s="2"/>
      <c r="AD42" s="2"/>
      <c r="AE42" s="2"/>
    </row>
    <row r="43" spans="1:31" ht="21" x14ac:dyDescent="0.35">
      <c r="A43" s="498" t="s">
        <v>13</v>
      </c>
      <c r="B43" s="498"/>
      <c r="C43" s="498"/>
      <c r="D43" s="498"/>
      <c r="E43" s="498"/>
      <c r="F43" s="498"/>
      <c r="G43" s="498"/>
      <c r="H43" s="498"/>
      <c r="I43" s="498"/>
      <c r="J43" s="2"/>
      <c r="K43" s="2"/>
      <c r="L43" s="2"/>
      <c r="M43" s="2"/>
      <c r="N43" s="2"/>
      <c r="O43" s="2"/>
      <c r="P43" s="2"/>
      <c r="Q43" s="2"/>
      <c r="R43" s="2"/>
      <c r="S43" s="2"/>
      <c r="T43" s="2"/>
      <c r="U43" s="2"/>
      <c r="V43" s="2"/>
      <c r="W43" s="2"/>
      <c r="X43" s="2"/>
      <c r="Y43" s="2"/>
      <c r="Z43" s="2"/>
      <c r="AA43" s="2"/>
      <c r="AB43" s="2"/>
      <c r="AC43" s="2"/>
      <c r="AD43" s="2"/>
      <c r="AE43" s="2"/>
    </row>
    <row r="44" spans="1:31" x14ac:dyDescent="0.25">
      <c r="A44" s="1" t="s">
        <v>60</v>
      </c>
      <c r="B44" s="11">
        <v>4360</v>
      </c>
      <c r="C44" s="3">
        <f>(D44-B44)/2+B44</f>
        <v>5387</v>
      </c>
      <c r="D44" s="11">
        <v>6414</v>
      </c>
      <c r="E44" s="1"/>
      <c r="F44" s="1"/>
      <c r="G44" s="1"/>
      <c r="H44" s="1"/>
      <c r="I44" s="4" t="s">
        <v>83</v>
      </c>
      <c r="J44" s="2"/>
      <c r="K44" s="2"/>
      <c r="L44" s="2"/>
      <c r="M44" s="2"/>
      <c r="N44" s="2"/>
      <c r="O44" s="2"/>
      <c r="P44" s="2"/>
      <c r="Q44" s="2"/>
      <c r="R44" s="2"/>
      <c r="S44" s="2"/>
      <c r="T44" s="2"/>
      <c r="U44" s="2"/>
      <c r="V44" s="2"/>
      <c r="W44" s="2"/>
      <c r="X44" s="2"/>
      <c r="Y44" s="2"/>
      <c r="Z44" s="2"/>
      <c r="AA44" s="2"/>
      <c r="AB44" s="2"/>
      <c r="AC44" s="2"/>
      <c r="AD44" s="2"/>
      <c r="AE44" s="2"/>
    </row>
    <row r="45" spans="1:31" ht="30" x14ac:dyDescent="0.25">
      <c r="A45" s="8" t="s">
        <v>10</v>
      </c>
      <c r="B45" s="9"/>
      <c r="D45" s="8"/>
      <c r="E45" s="4">
        <f>D44*10*12</f>
        <v>769680</v>
      </c>
      <c r="F45" s="21" t="s">
        <v>40</v>
      </c>
      <c r="G45" s="3" t="s">
        <v>41</v>
      </c>
      <c r="H45" s="7" t="s">
        <v>129</v>
      </c>
      <c r="J45" s="2"/>
      <c r="K45" s="2"/>
      <c r="L45" s="2"/>
      <c r="M45" s="2"/>
      <c r="N45" s="2"/>
      <c r="O45" s="2"/>
      <c r="P45" s="2"/>
      <c r="Q45" s="2"/>
      <c r="R45" s="2"/>
      <c r="S45" s="2"/>
      <c r="T45" s="2"/>
      <c r="U45" s="2"/>
      <c r="V45" s="2"/>
      <c r="W45" s="2"/>
      <c r="X45" s="2"/>
      <c r="Y45" s="2"/>
      <c r="Z45" s="2"/>
      <c r="AA45" s="2"/>
      <c r="AB45" s="2"/>
      <c r="AC45" s="2"/>
      <c r="AD45" s="2"/>
      <c r="AE45" s="2"/>
    </row>
    <row r="46" spans="1:31" ht="30" x14ac:dyDescent="0.25">
      <c r="A46" s="8" t="s">
        <v>12</v>
      </c>
      <c r="B46" s="9"/>
      <c r="D46" s="8"/>
      <c r="E46" s="4">
        <f>E45/100*20</f>
        <v>153936</v>
      </c>
      <c r="F46" s="8" t="s">
        <v>42</v>
      </c>
      <c r="G46" s="7" t="s">
        <v>43</v>
      </c>
      <c r="H46" s="7" t="s">
        <v>130</v>
      </c>
      <c r="J46" s="2"/>
      <c r="K46" s="2"/>
      <c r="L46" s="2"/>
      <c r="M46" s="2"/>
      <c r="N46" s="2"/>
      <c r="O46" s="2"/>
      <c r="P46" s="2"/>
      <c r="Q46" s="2"/>
      <c r="R46" s="2"/>
      <c r="S46" s="2"/>
      <c r="T46" s="2"/>
      <c r="U46" s="2"/>
      <c r="V46" s="2"/>
      <c r="W46" s="2"/>
      <c r="X46" s="2"/>
      <c r="Y46" s="2"/>
      <c r="Z46" s="2"/>
      <c r="AA46" s="2"/>
      <c r="AB46" s="2"/>
      <c r="AC46" s="2"/>
      <c r="AD46" s="2"/>
      <c r="AE46" s="2"/>
    </row>
    <row r="47" spans="1:31" ht="30" x14ac:dyDescent="0.25">
      <c r="A47" s="8" t="s">
        <v>31</v>
      </c>
      <c r="B47" s="9">
        <v>3924</v>
      </c>
      <c r="D47" s="8">
        <f>D44</f>
        <v>6414</v>
      </c>
      <c r="F47" s="3"/>
      <c r="G47" s="3"/>
      <c r="H47" s="3"/>
      <c r="J47" s="2"/>
      <c r="K47" s="2"/>
      <c r="L47" s="2"/>
      <c r="M47" s="2"/>
      <c r="N47" s="2"/>
      <c r="O47" s="2"/>
      <c r="P47" s="2"/>
      <c r="Q47" s="2"/>
      <c r="R47" s="2"/>
      <c r="S47" s="2"/>
      <c r="T47" s="2"/>
      <c r="U47" s="2"/>
      <c r="V47" s="2"/>
      <c r="W47" s="2"/>
      <c r="X47" s="2"/>
      <c r="Y47" s="2"/>
      <c r="Z47" s="2"/>
      <c r="AA47" s="2"/>
      <c r="AB47" s="2"/>
      <c r="AC47" s="2"/>
      <c r="AD47" s="2"/>
      <c r="AE47" s="2"/>
    </row>
    <row r="48" spans="1:31" ht="30" x14ac:dyDescent="0.25">
      <c r="A48" s="4" t="s">
        <v>1</v>
      </c>
      <c r="C48" s="3"/>
      <c r="E48" s="3">
        <f>D47/100*80</f>
        <v>5131.2</v>
      </c>
      <c r="G48" s="3" t="s">
        <v>33</v>
      </c>
      <c r="H48" s="7" t="s">
        <v>131</v>
      </c>
      <c r="J48" s="2"/>
      <c r="K48" s="2"/>
      <c r="L48" s="2"/>
      <c r="M48" s="2"/>
      <c r="N48" s="2"/>
      <c r="O48" s="2"/>
      <c r="P48" s="2"/>
      <c r="Q48" s="2"/>
      <c r="R48" s="2"/>
      <c r="S48" s="2"/>
      <c r="T48" s="2"/>
      <c r="U48" s="2"/>
      <c r="V48" s="2"/>
      <c r="W48" s="2"/>
      <c r="X48" s="2"/>
      <c r="Y48" s="2"/>
      <c r="Z48" s="2"/>
      <c r="AA48" s="2"/>
      <c r="AB48" s="2"/>
      <c r="AC48" s="2"/>
      <c r="AD48" s="2"/>
      <c r="AE48" s="2"/>
    </row>
    <row r="49" spans="1:31" ht="30" x14ac:dyDescent="0.25">
      <c r="A49" s="8" t="s">
        <v>36</v>
      </c>
      <c r="B49" s="9"/>
      <c r="C49" s="3"/>
      <c r="D49" s="8"/>
      <c r="E49" s="3">
        <f>D47/100*20</f>
        <v>1282.8</v>
      </c>
      <c r="G49" s="3" t="s">
        <v>34</v>
      </c>
      <c r="H49" s="7" t="s">
        <v>132</v>
      </c>
      <c r="J49" s="2"/>
      <c r="K49" s="2"/>
      <c r="L49" s="2"/>
      <c r="M49" s="2"/>
      <c r="N49" s="2"/>
      <c r="O49" s="2"/>
      <c r="P49" s="2"/>
      <c r="Q49" s="2"/>
      <c r="R49" s="2"/>
      <c r="S49" s="2"/>
      <c r="T49" s="2"/>
      <c r="U49" s="2"/>
      <c r="V49" s="2"/>
      <c r="W49" s="2"/>
      <c r="X49" s="2"/>
      <c r="Y49" s="2"/>
      <c r="Z49" s="2"/>
      <c r="AA49" s="2"/>
      <c r="AB49" s="2"/>
      <c r="AC49" s="2"/>
      <c r="AD49" s="2"/>
      <c r="AE49" s="2"/>
    </row>
    <row r="50" spans="1:31" ht="75" x14ac:dyDescent="0.25">
      <c r="A50" s="15" t="s">
        <v>55</v>
      </c>
      <c r="B50" s="9"/>
      <c r="C50" s="3"/>
      <c r="D50" s="8"/>
      <c r="E50" s="3">
        <f>E49+E48*6.6%</f>
        <v>1621.4592</v>
      </c>
      <c r="G50" s="7" t="s">
        <v>59</v>
      </c>
      <c r="H50" s="7" t="s">
        <v>133</v>
      </c>
      <c r="J50" s="2"/>
      <c r="K50" s="2"/>
      <c r="L50" s="2"/>
      <c r="M50" s="2"/>
      <c r="N50" s="2"/>
      <c r="O50" s="2"/>
      <c r="P50" s="2"/>
      <c r="Q50" s="2"/>
      <c r="R50" s="2"/>
      <c r="S50" s="2"/>
      <c r="T50" s="2"/>
      <c r="U50" s="2"/>
      <c r="V50" s="2"/>
      <c r="W50" s="2"/>
      <c r="X50" s="2"/>
      <c r="Y50" s="2"/>
      <c r="Z50" s="2"/>
      <c r="AA50" s="2"/>
      <c r="AB50" s="2"/>
      <c r="AC50" s="2"/>
      <c r="AD50" s="2"/>
      <c r="AE50" s="2"/>
    </row>
    <row r="51" spans="1:31" ht="45" x14ac:dyDescent="0.25">
      <c r="A51" s="8" t="s">
        <v>37</v>
      </c>
      <c r="B51" s="9"/>
      <c r="D51" s="8"/>
      <c r="E51" s="3">
        <f>E49*6.9%</f>
        <v>88.513199999999998</v>
      </c>
      <c r="G51" s="7" t="s">
        <v>53</v>
      </c>
      <c r="H51" s="7" t="s">
        <v>134</v>
      </c>
      <c r="J51" s="2"/>
      <c r="K51" s="2"/>
      <c r="L51" s="2"/>
      <c r="M51" s="2"/>
      <c r="N51" s="2"/>
      <c r="O51" s="2"/>
      <c r="P51" s="2"/>
      <c r="Q51" s="2"/>
      <c r="R51" s="2"/>
      <c r="S51" s="2"/>
      <c r="T51" s="2"/>
      <c r="U51" s="2"/>
      <c r="V51" s="2"/>
      <c r="W51" s="2"/>
      <c r="X51" s="2"/>
      <c r="Y51" s="2"/>
      <c r="Z51" s="2"/>
      <c r="AA51" s="2"/>
      <c r="AB51" s="2"/>
      <c r="AC51" s="2"/>
      <c r="AD51" s="2"/>
      <c r="AE51" s="2"/>
    </row>
    <row r="52" spans="1:31" ht="90" x14ac:dyDescent="0.25">
      <c r="A52" s="15" t="s">
        <v>56</v>
      </c>
      <c r="B52" s="9"/>
      <c r="D52" s="8"/>
      <c r="E52" s="3">
        <f>E51+E48*6.6%</f>
        <v>427.17239999999998</v>
      </c>
      <c r="G52" s="7" t="s">
        <v>59</v>
      </c>
      <c r="H52" s="7" t="s">
        <v>135</v>
      </c>
      <c r="J52" s="2"/>
      <c r="K52" s="2"/>
      <c r="L52" s="2"/>
      <c r="M52" s="2"/>
      <c r="N52" s="2"/>
      <c r="O52" s="2"/>
      <c r="P52" s="2"/>
      <c r="Q52" s="2"/>
      <c r="R52" s="2"/>
      <c r="S52" s="2"/>
      <c r="T52" s="2"/>
      <c r="U52" s="2"/>
      <c r="V52" s="2"/>
      <c r="W52" s="2"/>
      <c r="X52" s="2"/>
      <c r="Y52" s="2"/>
      <c r="Z52" s="2"/>
      <c r="AA52" s="2"/>
      <c r="AB52" s="2"/>
      <c r="AC52" s="2"/>
      <c r="AD52" s="2"/>
      <c r="AE52" s="2"/>
    </row>
    <row r="53" spans="1:31" ht="45" x14ac:dyDescent="0.25">
      <c r="A53" s="8" t="s">
        <v>38</v>
      </c>
      <c r="B53" s="9"/>
      <c r="D53" s="8"/>
      <c r="E53" s="3">
        <f>E49*6.6%</f>
        <v>84.6648</v>
      </c>
      <c r="G53" s="7" t="s">
        <v>54</v>
      </c>
      <c r="H53" s="7" t="s">
        <v>136</v>
      </c>
      <c r="J53" s="2"/>
      <c r="K53" s="2"/>
      <c r="L53" s="2"/>
      <c r="M53" s="2"/>
      <c r="N53" s="2"/>
      <c r="O53" s="2"/>
      <c r="P53" s="2"/>
      <c r="Q53" s="2"/>
      <c r="R53" s="2"/>
      <c r="S53" s="2"/>
      <c r="T53" s="2"/>
      <c r="U53" s="2"/>
      <c r="V53" s="2"/>
      <c r="W53" s="2"/>
      <c r="X53" s="2"/>
      <c r="Y53" s="2"/>
      <c r="Z53" s="2"/>
      <c r="AA53" s="2"/>
      <c r="AB53" s="2"/>
      <c r="AC53" s="2"/>
      <c r="AD53" s="2"/>
      <c r="AE53" s="2"/>
    </row>
    <row r="54" spans="1:31" ht="90" x14ac:dyDescent="0.25">
      <c r="A54" s="15" t="s">
        <v>57</v>
      </c>
      <c r="B54" s="9"/>
      <c r="D54" s="8"/>
      <c r="E54" s="3">
        <f>E53+E48*6.6%</f>
        <v>423.32400000000001</v>
      </c>
      <c r="G54" s="7" t="s">
        <v>59</v>
      </c>
      <c r="H54" s="7" t="s">
        <v>137</v>
      </c>
      <c r="J54" s="2"/>
      <c r="K54" s="2"/>
      <c r="L54" s="2"/>
      <c r="M54" s="2"/>
      <c r="N54" s="2"/>
      <c r="O54" s="2"/>
      <c r="P54" s="2"/>
      <c r="Q54" s="2"/>
      <c r="R54" s="2"/>
      <c r="S54" s="2"/>
      <c r="T54" s="2"/>
      <c r="U54" s="2"/>
      <c r="V54" s="2"/>
      <c r="W54" s="2"/>
      <c r="X54" s="2"/>
      <c r="Y54" s="2"/>
      <c r="Z54" s="2"/>
      <c r="AA54" s="2"/>
      <c r="AB54" s="2"/>
      <c r="AC54" s="2"/>
      <c r="AD54" s="2"/>
      <c r="AE54" s="2"/>
    </row>
    <row r="55" spans="1:31" x14ac:dyDescent="0.25">
      <c r="A55" s="18" t="s">
        <v>65</v>
      </c>
      <c r="B55" s="30"/>
      <c r="C55" s="14"/>
      <c r="D55" s="18"/>
      <c r="E55" s="31">
        <f>E48*5</f>
        <v>25656</v>
      </c>
      <c r="F55" s="14"/>
      <c r="G55" s="19"/>
      <c r="H55" s="19" t="s">
        <v>150</v>
      </c>
      <c r="I55" s="32"/>
      <c r="J55" s="2"/>
      <c r="K55" s="2"/>
      <c r="L55" s="2"/>
      <c r="M55" s="2"/>
      <c r="N55" s="2"/>
      <c r="O55" s="2"/>
      <c r="P55" s="2"/>
      <c r="Q55" s="2"/>
      <c r="R55" s="2"/>
      <c r="S55" s="2"/>
      <c r="T55" s="2"/>
      <c r="U55" s="2"/>
      <c r="V55" s="2"/>
      <c r="W55" s="2"/>
      <c r="X55" s="2"/>
      <c r="Y55" s="2"/>
      <c r="Z55" s="2"/>
      <c r="AA55" s="2"/>
      <c r="AB55" s="2"/>
      <c r="AC55" s="2"/>
      <c r="AD55" s="2"/>
      <c r="AE55" s="2"/>
    </row>
    <row r="56" spans="1:31" ht="21" x14ac:dyDescent="0.35">
      <c r="A56" s="501" t="s">
        <v>14</v>
      </c>
      <c r="B56" s="501"/>
      <c r="C56" s="501"/>
      <c r="D56" s="501"/>
      <c r="E56" s="501"/>
      <c r="F56" s="501"/>
      <c r="G56" s="501"/>
      <c r="H56" s="501"/>
      <c r="I56" s="501"/>
      <c r="J56" s="2"/>
      <c r="K56" s="2"/>
      <c r="L56" s="2"/>
      <c r="M56" s="2"/>
      <c r="N56" s="2"/>
      <c r="O56" s="2"/>
      <c r="P56" s="2"/>
      <c r="Q56" s="2"/>
      <c r="R56" s="2"/>
      <c r="S56" s="2"/>
      <c r="T56" s="2"/>
      <c r="U56" s="2"/>
      <c r="V56" s="2"/>
      <c r="W56" s="2"/>
      <c r="X56" s="2"/>
      <c r="Y56" s="2"/>
      <c r="Z56" s="2"/>
      <c r="AA56" s="2"/>
      <c r="AB56" s="2"/>
      <c r="AC56" s="2"/>
      <c r="AD56" s="2"/>
      <c r="AE56" s="2"/>
    </row>
    <row r="57" spans="1:31" x14ac:dyDescent="0.25">
      <c r="A57" s="5" t="s">
        <v>52</v>
      </c>
      <c r="B57" s="6">
        <v>1550</v>
      </c>
      <c r="C57" s="5"/>
      <c r="D57" s="5">
        <v>1600</v>
      </c>
      <c r="E57" s="5"/>
      <c r="F57" s="5"/>
      <c r="G57" s="5"/>
      <c r="H57" s="5"/>
      <c r="J57" s="2"/>
      <c r="K57" s="2"/>
      <c r="L57" s="2"/>
      <c r="M57" s="2"/>
      <c r="N57" s="2"/>
      <c r="O57" s="2"/>
      <c r="P57" s="2"/>
      <c r="Q57" s="2"/>
      <c r="R57" s="2"/>
      <c r="S57" s="2"/>
      <c r="T57" s="2"/>
      <c r="U57" s="2"/>
      <c r="V57" s="2"/>
      <c r="W57" s="2"/>
      <c r="X57" s="2"/>
      <c r="Y57" s="2"/>
      <c r="Z57" s="2"/>
      <c r="AA57" s="2"/>
      <c r="AB57" s="2"/>
      <c r="AC57" s="2"/>
      <c r="AD57" s="2"/>
      <c r="AE57" s="2"/>
    </row>
    <row r="58" spans="1:31" ht="30" x14ac:dyDescent="0.25">
      <c r="A58" s="8" t="s">
        <v>31</v>
      </c>
      <c r="B58" s="6">
        <v>4800</v>
      </c>
      <c r="C58" s="5">
        <f>(D58-B58)/2+B58</f>
        <v>5200</v>
      </c>
      <c r="D58" s="5">
        <v>5600</v>
      </c>
      <c r="E58" s="5"/>
      <c r="F58" s="5"/>
      <c r="G58" s="5"/>
      <c r="H58" s="5"/>
      <c r="J58" s="2"/>
      <c r="K58" s="2"/>
      <c r="L58" s="2"/>
      <c r="M58" s="2"/>
      <c r="N58" s="2"/>
      <c r="O58" s="2"/>
      <c r="P58" s="2"/>
      <c r="Q58" s="2"/>
      <c r="R58" s="2"/>
      <c r="S58" s="2"/>
      <c r="T58" s="2"/>
      <c r="U58" s="2"/>
      <c r="V58" s="2"/>
      <c r="W58" s="2"/>
      <c r="X58" s="2"/>
      <c r="Y58" s="2"/>
      <c r="Z58" s="2"/>
      <c r="AA58" s="2"/>
      <c r="AB58" s="2"/>
      <c r="AC58" s="2"/>
      <c r="AD58" s="2"/>
      <c r="AE58" s="2"/>
    </row>
    <row r="59" spans="1:31" ht="30" x14ac:dyDescent="0.25">
      <c r="A59" s="8" t="s">
        <v>1</v>
      </c>
      <c r="B59" s="6"/>
      <c r="C59" s="5"/>
      <c r="D59" s="5"/>
      <c r="E59" s="5">
        <f>D58/100*60</f>
        <v>3360</v>
      </c>
      <c r="F59" s="5"/>
      <c r="G59" s="3" t="s">
        <v>84</v>
      </c>
      <c r="H59" s="7" t="s">
        <v>138</v>
      </c>
      <c r="J59" s="2"/>
      <c r="K59" s="2"/>
      <c r="L59" s="2"/>
      <c r="M59" s="2"/>
      <c r="N59" s="2"/>
      <c r="O59" s="2"/>
      <c r="P59" s="2"/>
      <c r="Q59" s="2"/>
      <c r="R59" s="2"/>
      <c r="S59" s="2"/>
      <c r="T59" s="2"/>
      <c r="U59" s="2"/>
      <c r="V59" s="2"/>
      <c r="W59" s="2"/>
      <c r="X59" s="2"/>
      <c r="Y59" s="2"/>
      <c r="Z59" s="2"/>
      <c r="AA59" s="2"/>
      <c r="AB59" s="2"/>
      <c r="AC59" s="2"/>
      <c r="AD59" s="2"/>
      <c r="AE59" s="2"/>
    </row>
    <row r="60" spans="1:31" ht="30" x14ac:dyDescent="0.25">
      <c r="A60" s="8" t="s">
        <v>36</v>
      </c>
      <c r="B60" s="9"/>
      <c r="C60" s="3"/>
      <c r="D60" s="8"/>
      <c r="E60" s="4">
        <f>D58/100*40</f>
        <v>2240</v>
      </c>
      <c r="G60" s="3" t="s">
        <v>85</v>
      </c>
      <c r="H60" s="7" t="s">
        <v>139</v>
      </c>
      <c r="J60" s="2"/>
      <c r="K60" s="2"/>
      <c r="L60" s="2"/>
      <c r="M60" s="2"/>
      <c r="N60" s="2"/>
      <c r="O60" s="2"/>
      <c r="P60" s="2"/>
      <c r="Q60" s="2"/>
      <c r="R60" s="2"/>
      <c r="S60" s="2"/>
      <c r="T60" s="2"/>
      <c r="U60" s="2"/>
      <c r="V60" s="2"/>
      <c r="W60" s="2"/>
      <c r="X60" s="2"/>
      <c r="Y60" s="2"/>
      <c r="Z60" s="2"/>
      <c r="AA60" s="2"/>
      <c r="AB60" s="2"/>
      <c r="AC60" s="2"/>
      <c r="AD60" s="2"/>
      <c r="AE60" s="2"/>
    </row>
    <row r="61" spans="1:31" ht="75" x14ac:dyDescent="0.25">
      <c r="A61" s="15" t="s">
        <v>55</v>
      </c>
      <c r="B61" s="9"/>
      <c r="C61" s="3"/>
      <c r="D61" s="8"/>
      <c r="E61" s="3">
        <f>E60+E59*11.3%</f>
        <v>2619.6799999999998</v>
      </c>
      <c r="G61" s="7" t="s">
        <v>59</v>
      </c>
      <c r="H61" s="7" t="s">
        <v>140</v>
      </c>
      <c r="J61" s="2"/>
      <c r="K61" s="2"/>
      <c r="L61" s="2"/>
      <c r="M61" s="2"/>
      <c r="N61" s="2"/>
      <c r="O61" s="2"/>
      <c r="P61" s="2"/>
      <c r="Q61" s="2"/>
      <c r="R61" s="2"/>
      <c r="S61" s="2"/>
      <c r="T61" s="2"/>
      <c r="U61" s="2"/>
      <c r="V61" s="2"/>
      <c r="W61" s="2"/>
      <c r="X61" s="2"/>
      <c r="Y61" s="2"/>
      <c r="Z61" s="2"/>
      <c r="AA61" s="2"/>
      <c r="AB61" s="2"/>
      <c r="AC61" s="2"/>
      <c r="AD61" s="2"/>
      <c r="AE61" s="2"/>
    </row>
    <row r="62" spans="1:31" ht="45" x14ac:dyDescent="0.25">
      <c r="A62" s="8" t="s">
        <v>37</v>
      </c>
      <c r="B62" s="9"/>
      <c r="D62" s="8"/>
      <c r="E62" s="3">
        <f>E60*11.8%</f>
        <v>264.32</v>
      </c>
      <c r="G62" s="7" t="s">
        <v>86</v>
      </c>
      <c r="H62" s="7" t="s">
        <v>141</v>
      </c>
      <c r="J62" s="2"/>
      <c r="K62" s="2"/>
      <c r="L62" s="2"/>
      <c r="M62" s="2"/>
      <c r="N62" s="2"/>
      <c r="O62" s="2"/>
      <c r="P62" s="2"/>
      <c r="Q62" s="2"/>
      <c r="R62" s="2"/>
      <c r="S62" s="2"/>
      <c r="T62" s="2"/>
      <c r="U62" s="2"/>
      <c r="V62" s="2"/>
      <c r="W62" s="2"/>
      <c r="X62" s="2"/>
      <c r="Y62" s="2"/>
      <c r="Z62" s="2"/>
      <c r="AA62" s="2"/>
      <c r="AB62" s="2"/>
      <c r="AC62" s="2"/>
      <c r="AD62" s="2"/>
      <c r="AE62" s="2"/>
    </row>
    <row r="63" spans="1:31" ht="90" x14ac:dyDescent="0.25">
      <c r="A63" s="15" t="s">
        <v>56</v>
      </c>
      <c r="B63" s="9"/>
      <c r="D63" s="8"/>
      <c r="E63" s="3">
        <f>E62+E59*11.3%</f>
        <v>644</v>
      </c>
      <c r="G63" s="7" t="s">
        <v>59</v>
      </c>
      <c r="H63" s="7" t="s">
        <v>142</v>
      </c>
      <c r="J63" s="2"/>
      <c r="K63" s="2"/>
      <c r="L63" s="2"/>
      <c r="M63" s="2"/>
      <c r="N63" s="2"/>
      <c r="O63" s="2"/>
      <c r="P63" s="2"/>
      <c r="Q63" s="2"/>
      <c r="R63" s="2"/>
      <c r="S63" s="2"/>
      <c r="T63" s="2"/>
      <c r="U63" s="2"/>
      <c r="V63" s="2"/>
      <c r="W63" s="2"/>
      <c r="X63" s="2"/>
      <c r="Y63" s="2"/>
      <c r="Z63" s="2"/>
      <c r="AA63" s="2"/>
      <c r="AB63" s="2"/>
      <c r="AC63" s="2"/>
      <c r="AD63" s="2"/>
      <c r="AE63" s="2"/>
    </row>
    <row r="64" spans="1:31" ht="45" x14ac:dyDescent="0.25">
      <c r="A64" s="8" t="s">
        <v>38</v>
      </c>
      <c r="B64" s="9"/>
      <c r="D64" s="8"/>
      <c r="E64" s="3">
        <f>E60*11.3%</f>
        <v>253.12</v>
      </c>
      <c r="G64" s="7" t="s">
        <v>87</v>
      </c>
      <c r="H64" s="7" t="s">
        <v>143</v>
      </c>
      <c r="J64" s="2"/>
      <c r="K64" s="2"/>
      <c r="L64" s="2"/>
      <c r="M64" s="2"/>
      <c r="N64" s="2"/>
      <c r="O64" s="2"/>
      <c r="P64" s="2"/>
      <c r="Q64" s="2"/>
      <c r="R64" s="2"/>
      <c r="S64" s="2"/>
      <c r="T64" s="2"/>
      <c r="U64" s="2"/>
      <c r="V64" s="2"/>
      <c r="W64" s="2"/>
      <c r="X64" s="2"/>
      <c r="Y64" s="2"/>
      <c r="Z64" s="2"/>
      <c r="AA64" s="2"/>
      <c r="AB64" s="2"/>
      <c r="AC64" s="2"/>
      <c r="AD64" s="2"/>
      <c r="AE64" s="2"/>
    </row>
    <row r="65" spans="1:40" ht="90" x14ac:dyDescent="0.25">
      <c r="A65" s="15" t="s">
        <v>57</v>
      </c>
      <c r="B65" s="9"/>
      <c r="D65" s="8"/>
      <c r="E65" s="3">
        <f>E64+E59*11.3%</f>
        <v>632.79999999999995</v>
      </c>
      <c r="G65" s="7" t="s">
        <v>59</v>
      </c>
      <c r="H65" s="7" t="s">
        <v>144</v>
      </c>
      <c r="J65" s="2"/>
      <c r="K65" s="2"/>
      <c r="L65" s="2"/>
      <c r="M65" s="2"/>
      <c r="N65" s="2"/>
      <c r="O65" s="2"/>
      <c r="P65" s="2"/>
      <c r="Q65" s="2"/>
      <c r="R65" s="2"/>
      <c r="S65" s="2"/>
      <c r="T65" s="2"/>
      <c r="U65" s="2"/>
      <c r="V65" s="2"/>
      <c r="W65" s="2"/>
      <c r="X65" s="2"/>
      <c r="Y65" s="2"/>
      <c r="Z65" s="2"/>
      <c r="AA65" s="2"/>
      <c r="AB65" s="2"/>
      <c r="AC65" s="2"/>
      <c r="AD65" s="2"/>
      <c r="AE65" s="2"/>
    </row>
    <row r="66" spans="1:40" x14ac:dyDescent="0.25">
      <c r="A66" s="18" t="s">
        <v>65</v>
      </c>
      <c r="B66" s="30"/>
      <c r="C66" s="14"/>
      <c r="D66" s="18"/>
      <c r="E66" s="31">
        <f>E59*5</f>
        <v>16800</v>
      </c>
      <c r="F66" s="14"/>
      <c r="G66" s="19"/>
      <c r="H66" s="19" t="s">
        <v>150</v>
      </c>
      <c r="I66" s="32"/>
      <c r="J66" s="2"/>
      <c r="K66" s="2"/>
      <c r="L66" s="2"/>
      <c r="M66" s="2"/>
      <c r="N66" s="2"/>
      <c r="O66" s="2"/>
      <c r="P66" s="2"/>
      <c r="Q66" s="2"/>
      <c r="R66" s="2"/>
      <c r="S66" s="2"/>
      <c r="T66" s="2"/>
      <c r="U66" s="2"/>
      <c r="V66" s="2"/>
      <c r="W66" s="2"/>
      <c r="X66" s="2"/>
      <c r="Y66" s="2"/>
      <c r="Z66" s="2"/>
      <c r="AA66" s="2"/>
      <c r="AB66" s="2"/>
      <c r="AC66" s="2"/>
      <c r="AD66" s="2"/>
      <c r="AE66" s="2"/>
    </row>
    <row r="67" spans="1:40" ht="21" x14ac:dyDescent="0.35">
      <c r="A67" s="501" t="s">
        <v>45</v>
      </c>
      <c r="B67" s="501"/>
      <c r="C67" s="501"/>
      <c r="D67" s="501"/>
      <c r="E67" s="501"/>
      <c r="F67" s="501"/>
      <c r="G67" s="501"/>
      <c r="H67" s="501"/>
      <c r="I67" s="501"/>
      <c r="J67" s="2"/>
      <c r="K67" s="2"/>
      <c r="L67" s="2"/>
      <c r="M67" s="2"/>
      <c r="N67" s="2"/>
      <c r="O67" s="2"/>
      <c r="P67" s="2"/>
      <c r="Q67" s="2"/>
      <c r="R67" s="2"/>
      <c r="S67" s="2"/>
      <c r="T67" s="2"/>
      <c r="U67" s="2"/>
      <c r="V67" s="2"/>
      <c r="W67" s="2"/>
      <c r="X67" s="2"/>
      <c r="Y67" s="2"/>
      <c r="Z67" s="2"/>
      <c r="AA67" s="2"/>
      <c r="AB67" s="2"/>
      <c r="AC67" s="2"/>
      <c r="AD67" s="2"/>
      <c r="AE67" s="2"/>
    </row>
    <row r="68" spans="1:40" ht="30" x14ac:dyDescent="0.25">
      <c r="A68" s="4" t="s">
        <v>46</v>
      </c>
      <c r="B68" s="9" t="s">
        <v>21</v>
      </c>
      <c r="J68" s="2"/>
      <c r="K68" s="2"/>
      <c r="L68" s="2"/>
      <c r="M68" s="2"/>
      <c r="N68" s="2"/>
      <c r="O68" s="2"/>
      <c r="P68" s="2"/>
      <c r="Q68" s="2"/>
      <c r="R68" s="2"/>
      <c r="S68" s="2"/>
      <c r="T68" s="2"/>
      <c r="U68" s="2"/>
      <c r="V68" s="2"/>
      <c r="W68" s="2"/>
      <c r="X68" s="2"/>
      <c r="Y68" s="2"/>
      <c r="Z68" s="2"/>
      <c r="AA68" s="2"/>
      <c r="AB68" s="2"/>
      <c r="AC68" s="2"/>
      <c r="AD68" s="2"/>
      <c r="AE68" s="2"/>
    </row>
    <row r="69" spans="1:40" x14ac:dyDescent="0.25">
      <c r="A69" s="4" t="s">
        <v>22</v>
      </c>
      <c r="B69" s="11">
        <v>3478</v>
      </c>
      <c r="C69" s="3">
        <f>(D69-B69)/2+B69</f>
        <v>3925.5</v>
      </c>
      <c r="D69" s="4">
        <v>4373</v>
      </c>
      <c r="E69" s="4" t="s">
        <v>90</v>
      </c>
      <c r="I69" s="4" t="s">
        <v>88</v>
      </c>
      <c r="J69" s="2"/>
      <c r="K69" s="2"/>
      <c r="L69" s="2"/>
      <c r="M69" s="2"/>
      <c r="N69" s="2"/>
      <c r="O69" s="2"/>
      <c r="P69" s="2"/>
      <c r="Q69" s="2"/>
      <c r="R69" s="2"/>
      <c r="S69" s="2"/>
      <c r="T69" s="2"/>
      <c r="U69" s="2"/>
      <c r="V69" s="2"/>
      <c r="W69" s="2"/>
      <c r="X69" s="2"/>
      <c r="Y69" s="2"/>
      <c r="Z69" s="2"/>
      <c r="AA69" s="2"/>
      <c r="AB69" s="2"/>
      <c r="AC69" s="2"/>
      <c r="AD69" s="2"/>
      <c r="AE69" s="2"/>
    </row>
    <row r="70" spans="1:40" ht="45" x14ac:dyDescent="0.25">
      <c r="A70" s="24" t="s">
        <v>146</v>
      </c>
      <c r="D70" s="4">
        <v>5225</v>
      </c>
      <c r="E70" s="4">
        <f>D70</f>
        <v>5225</v>
      </c>
      <c r="G70" s="8" t="s">
        <v>48</v>
      </c>
      <c r="H70" s="8" t="s">
        <v>145</v>
      </c>
      <c r="J70" s="2"/>
      <c r="K70" s="2"/>
      <c r="L70" s="2"/>
      <c r="M70" s="2"/>
      <c r="N70" s="2"/>
      <c r="O70" s="2"/>
      <c r="P70" s="2"/>
      <c r="Q70" s="2"/>
      <c r="R70" s="2"/>
      <c r="S70" s="2"/>
      <c r="T70" s="2"/>
      <c r="U70" s="2"/>
      <c r="V70" s="2"/>
      <c r="W70" s="2"/>
      <c r="X70" s="2"/>
      <c r="Y70" s="2"/>
      <c r="Z70" s="2"/>
      <c r="AA70" s="2"/>
      <c r="AB70" s="2"/>
      <c r="AC70" s="2"/>
      <c r="AD70" s="2"/>
      <c r="AE70" s="2"/>
    </row>
    <row r="71" spans="1:40" ht="21" x14ac:dyDescent="0.35">
      <c r="A71" s="498" t="s">
        <v>148</v>
      </c>
      <c r="B71" s="498"/>
      <c r="C71" s="498"/>
      <c r="D71" s="498"/>
      <c r="E71" s="498"/>
      <c r="F71" s="498"/>
      <c r="G71" s="498"/>
      <c r="H71" s="498"/>
      <c r="I71" s="498"/>
      <c r="J71" s="2"/>
      <c r="K71" s="2"/>
      <c r="L71" s="2"/>
      <c r="M71" s="2"/>
      <c r="N71" s="2"/>
      <c r="O71" s="2"/>
      <c r="P71" s="2"/>
      <c r="Q71" s="2"/>
      <c r="R71" s="2"/>
      <c r="S71" s="2"/>
      <c r="T71" s="2"/>
      <c r="U71" s="2"/>
      <c r="V71" s="2"/>
      <c r="W71" s="2"/>
      <c r="X71" s="2"/>
      <c r="Y71" s="2"/>
      <c r="Z71" s="2"/>
      <c r="AA71" s="2"/>
      <c r="AB71" s="2"/>
      <c r="AC71" s="2"/>
      <c r="AD71" s="2"/>
      <c r="AE71" s="2"/>
    </row>
    <row r="72" spans="1:40" ht="30" x14ac:dyDescent="0.25">
      <c r="A72" s="14" t="s">
        <v>49</v>
      </c>
      <c r="B72" s="17"/>
      <c r="C72" s="14"/>
      <c r="D72" s="14"/>
      <c r="E72" s="14">
        <v>10714</v>
      </c>
      <c r="F72" s="14"/>
      <c r="G72" s="14"/>
      <c r="H72" s="18" t="s">
        <v>156</v>
      </c>
      <c r="I72" s="1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30" x14ac:dyDescent="0.25">
      <c r="A73" s="14" t="s">
        <v>50</v>
      </c>
      <c r="B73" s="17"/>
      <c r="C73" s="14"/>
      <c r="D73" s="14"/>
      <c r="E73" s="14">
        <v>11326</v>
      </c>
      <c r="F73" s="14"/>
      <c r="G73" s="14"/>
      <c r="H73" s="18" t="s">
        <v>151</v>
      </c>
      <c r="I73" s="18" t="s">
        <v>91</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45" x14ac:dyDescent="0.25">
      <c r="A74" s="14" t="s">
        <v>152</v>
      </c>
      <c r="B74" s="17"/>
      <c r="C74" s="14"/>
      <c r="D74" s="14"/>
      <c r="E74" s="14">
        <v>70000</v>
      </c>
      <c r="F74" s="18"/>
      <c r="G74" s="14"/>
      <c r="H74" s="18" t="s">
        <v>153</v>
      </c>
      <c r="I74" s="19" t="s">
        <v>92</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30" x14ac:dyDescent="0.25">
      <c r="A75" s="14" t="s">
        <v>51</v>
      </c>
      <c r="B75" s="17"/>
      <c r="C75" s="14"/>
      <c r="D75" s="14"/>
      <c r="E75" s="14">
        <v>400</v>
      </c>
      <c r="F75" s="14"/>
      <c r="G75" s="14"/>
      <c r="H75" s="18" t="s">
        <v>154</v>
      </c>
      <c r="I75" s="19" t="s">
        <v>155</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idden="1" x14ac:dyDescent="0.25">
      <c r="A76" s="34" t="s">
        <v>63</v>
      </c>
      <c r="B76" s="35"/>
      <c r="C76" s="36"/>
      <c r="D76" s="36"/>
      <c r="E76" s="36"/>
      <c r="F76" s="36"/>
      <c r="G76" s="36"/>
      <c r="H76" s="36"/>
      <c r="I76" s="36" t="s">
        <v>93</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30" x14ac:dyDescent="0.25">
      <c r="A77" s="37" t="s">
        <v>64</v>
      </c>
      <c r="B77" s="17"/>
      <c r="C77" s="14"/>
      <c r="D77" s="14"/>
      <c r="E77" s="14">
        <v>74700</v>
      </c>
      <c r="F77" s="14"/>
      <c r="G77" s="14"/>
      <c r="H77" s="18" t="s">
        <v>157</v>
      </c>
      <c r="I77" s="14"/>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idden="1" x14ac:dyDescent="0.25">
      <c r="A78" s="4" t="s">
        <v>6</v>
      </c>
      <c r="I78" s="4" t="s">
        <v>66</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idden="1" x14ac:dyDescent="0.25">
      <c r="A79" s="4" t="s">
        <v>8</v>
      </c>
      <c r="I79" s="4" t="s">
        <v>66</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x14ac:dyDescent="0.25">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75" x14ac:dyDescent="0.25">
      <c r="A81" s="24" t="s">
        <v>89</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x14ac:dyDescent="0.25">
      <c r="A82" s="25" t="s">
        <v>67</v>
      </c>
      <c r="B82" s="4"/>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x14ac:dyDescent="0.25">
      <c r="A83" s="25"/>
      <c r="B83" s="4"/>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x14ac:dyDescent="0.25">
      <c r="A84" s="25" t="s">
        <v>158</v>
      </c>
      <c r="B84" s="4"/>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x14ac:dyDescent="0.25">
      <c r="A85" s="25" t="s">
        <v>68</v>
      </c>
      <c r="B85" s="4"/>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x14ac:dyDescent="0.25">
      <c r="A86" s="25" t="s">
        <v>67</v>
      </c>
      <c r="B86" s="4"/>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x14ac:dyDescent="0.25">
      <c r="A87" s="25"/>
      <c r="B87" s="4"/>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x14ac:dyDescent="0.25">
      <c r="A88" s="25" t="s">
        <v>158</v>
      </c>
      <c r="B88" s="4"/>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x14ac:dyDescent="0.25">
      <c r="A89" s="25" t="s">
        <v>68</v>
      </c>
      <c r="B89" s="4"/>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x14ac:dyDescent="0.25">
      <c r="A90" s="25"/>
      <c r="B90" s="4"/>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60" x14ac:dyDescent="0.25">
      <c r="A91" s="26" t="s">
        <v>69</v>
      </c>
      <c r="B91" s="26" t="s">
        <v>70</v>
      </c>
      <c r="C91" s="26" t="s">
        <v>71</v>
      </c>
      <c r="D91" s="26" t="s">
        <v>103</v>
      </c>
      <c r="E91" s="26" t="s">
        <v>72</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30" x14ac:dyDescent="0.25">
      <c r="A92" s="26">
        <v>1</v>
      </c>
      <c r="B92" s="26" t="s">
        <v>73</v>
      </c>
      <c r="C92" s="26">
        <v>2</v>
      </c>
      <c r="D92" s="26">
        <v>18</v>
      </c>
      <c r="E92" s="38">
        <f>E96/100*D92</f>
        <v>2038.68</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30" x14ac:dyDescent="0.25">
      <c r="A93" s="26">
        <v>2</v>
      </c>
      <c r="B93" s="26" t="s">
        <v>74</v>
      </c>
      <c r="C93" s="26">
        <v>4</v>
      </c>
      <c r="D93" s="26">
        <v>63</v>
      </c>
      <c r="E93" s="38">
        <f>E96/100*D93</f>
        <v>7135.38</v>
      </c>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x14ac:dyDescent="0.25">
      <c r="A94" s="26">
        <v>3</v>
      </c>
      <c r="B94" s="26" t="s">
        <v>75</v>
      </c>
      <c r="C94" s="26">
        <v>1</v>
      </c>
      <c r="D94" s="26">
        <v>15</v>
      </c>
      <c r="E94" s="38">
        <f>E96/100*D94</f>
        <v>1698.9</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x14ac:dyDescent="0.25">
      <c r="A95" s="26">
        <v>4</v>
      </c>
      <c r="B95" s="26" t="s">
        <v>76</v>
      </c>
      <c r="C95" s="26">
        <v>2</v>
      </c>
      <c r="D95" s="26">
        <v>4</v>
      </c>
      <c r="E95" s="38">
        <f>E96/100*D95</f>
        <v>453.04</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x14ac:dyDescent="0.25">
      <c r="A96" s="26"/>
      <c r="B96" s="26" t="s">
        <v>77</v>
      </c>
      <c r="C96" s="26"/>
      <c r="D96" s="26">
        <v>100</v>
      </c>
      <c r="E96" s="33">
        <v>11326</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32"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x14ac:dyDescent="0.25">
      <c r="A98" s="2"/>
      <c r="B98" s="2"/>
      <c r="C98" s="2"/>
      <c r="D98" s="2" t="s">
        <v>270</v>
      </c>
      <c r="E98" s="2">
        <f>E8+E31+E45</f>
        <v>3165320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x14ac:dyDescent="0.25">
      <c r="A99" s="2"/>
      <c r="B99" s="2"/>
      <c r="C99" s="2"/>
      <c r="D99" s="2" t="s">
        <v>271</v>
      </c>
      <c r="E99" s="2">
        <f>E33+E46</f>
        <v>464064</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x14ac:dyDescent="0.25">
      <c r="A100" s="2"/>
      <c r="B100" s="2"/>
      <c r="C100" s="2"/>
      <c r="D100" s="2" t="s">
        <v>272</v>
      </c>
      <c r="E100" s="82">
        <f>E10+E35+E48+E59</f>
        <v>23769.599999999999</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x14ac:dyDescent="0.25">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x14ac:dyDescent="0.2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2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x14ac:dyDescent="0.2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x14ac:dyDescent="0.2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x14ac:dyDescent="0.25">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x14ac:dyDescent="0.25">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x14ac:dyDescent="0.25">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x14ac:dyDescent="0.25">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x14ac:dyDescent="0.25">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x14ac:dyDescent="0.25">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x14ac:dyDescent="0.25">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6:32" x14ac:dyDescent="0.25">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6:32" x14ac:dyDescent="0.25">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6:32" x14ac:dyDescent="0.25">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6:32" x14ac:dyDescent="0.25">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6:32" x14ac:dyDescent="0.25">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6:32" x14ac:dyDescent="0.25">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6:32" x14ac:dyDescent="0.25">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6:32" x14ac:dyDescent="0.25">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6:32" x14ac:dyDescent="0.25">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6:32" x14ac:dyDescent="0.25">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6:32" x14ac:dyDescent="0.25">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6:32" x14ac:dyDescent="0.25">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6:32" x14ac:dyDescent="0.25">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6:32" x14ac:dyDescent="0.25">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6:32" x14ac:dyDescent="0.25">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6:32" x14ac:dyDescent="0.25">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6:32" x14ac:dyDescent="0.25">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6:32" x14ac:dyDescent="0.25">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6:32" x14ac:dyDescent="0.25">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6:32" x14ac:dyDescent="0.25">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6:32" x14ac:dyDescent="0.25">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6:32" x14ac:dyDescent="0.25">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6:32" x14ac:dyDescent="0.25">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6:32" x14ac:dyDescent="0.25">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6:32" x14ac:dyDescent="0.25">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6:32" x14ac:dyDescent="0.25">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6:32" x14ac:dyDescent="0.25">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6:32" x14ac:dyDescent="0.25">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6:32" x14ac:dyDescent="0.25">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6:32" x14ac:dyDescent="0.25">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6:32" x14ac:dyDescent="0.25">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6:32" x14ac:dyDescent="0.25">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6:32" x14ac:dyDescent="0.25">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6:32" x14ac:dyDescent="0.25">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6:32" x14ac:dyDescent="0.25">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6:32" x14ac:dyDescent="0.25">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6:32" x14ac:dyDescent="0.25">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6:32" x14ac:dyDescent="0.25">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6:32" x14ac:dyDescent="0.25">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6:32" x14ac:dyDescent="0.25">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6:32" x14ac:dyDescent="0.25">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6:32" x14ac:dyDescent="0.25">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6:32" x14ac:dyDescent="0.2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6:32" x14ac:dyDescent="0.25">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6:32" x14ac:dyDescent="0.25">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6:32" x14ac:dyDescent="0.25">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6:32" x14ac:dyDescent="0.25">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6:32" x14ac:dyDescent="0.25">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6:32" x14ac:dyDescent="0.25">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6:32" x14ac:dyDescent="0.25">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6:32" x14ac:dyDescent="0.25">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6:32" x14ac:dyDescent="0.25">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6:32" x14ac:dyDescent="0.25">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6:32" x14ac:dyDescent="0.25">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6:32" x14ac:dyDescent="0.25">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6:32" x14ac:dyDescent="0.25">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6:32" x14ac:dyDescent="0.25">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6:32" x14ac:dyDescent="0.25">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6:32" x14ac:dyDescent="0.25">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6:32" x14ac:dyDescent="0.25">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6:32" x14ac:dyDescent="0.25">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6:32" x14ac:dyDescent="0.25">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6:32" x14ac:dyDescent="0.25">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6:32" x14ac:dyDescent="0.25">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6:32" x14ac:dyDescent="0.25">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6:32" x14ac:dyDescent="0.25">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6:32" x14ac:dyDescent="0.25">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6:32" x14ac:dyDescent="0.25">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6:32" x14ac:dyDescent="0.25">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6:32" x14ac:dyDescent="0.25">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6:32" x14ac:dyDescent="0.25">
      <c r="F215" s="2"/>
      <c r="G215" s="2"/>
      <c r="H215" s="2"/>
      <c r="I215" s="2"/>
    </row>
    <row r="216" spans="6:32" x14ac:dyDescent="0.25">
      <c r="F216" s="2"/>
      <c r="G216" s="2"/>
      <c r="H216" s="2"/>
      <c r="I216" s="2"/>
    </row>
    <row r="217" spans="6:32" x14ac:dyDescent="0.25">
      <c r="F217" s="2"/>
      <c r="G217" s="2"/>
      <c r="H217" s="2"/>
      <c r="I217" s="2"/>
    </row>
    <row r="218" spans="6:32" x14ac:dyDescent="0.25">
      <c r="F218" s="2"/>
      <c r="G218" s="2"/>
      <c r="H218" s="2"/>
      <c r="I218" s="2"/>
    </row>
    <row r="219" spans="6:32" x14ac:dyDescent="0.25">
      <c r="F219" s="2"/>
      <c r="G219" s="2"/>
      <c r="H219" s="2"/>
      <c r="I219" s="2"/>
    </row>
    <row r="220" spans="6:32" x14ac:dyDescent="0.25">
      <c r="F220" s="2"/>
      <c r="G220" s="2"/>
      <c r="H220" s="2"/>
      <c r="I220" s="2"/>
    </row>
    <row r="221" spans="6:32" x14ac:dyDescent="0.25">
      <c r="F221" s="2"/>
      <c r="G221" s="2"/>
      <c r="H221" s="2"/>
      <c r="I221" s="2"/>
    </row>
    <row r="222" spans="6:32" x14ac:dyDescent="0.25">
      <c r="F222" s="2"/>
      <c r="G222" s="2"/>
      <c r="H222" s="2"/>
      <c r="I222" s="2"/>
    </row>
    <row r="223" spans="6:32" x14ac:dyDescent="0.25">
      <c r="F223" s="2"/>
      <c r="G223" s="2"/>
      <c r="H223" s="2"/>
      <c r="I223" s="2"/>
    </row>
    <row r="224" spans="6:32" x14ac:dyDescent="0.25">
      <c r="F224" s="2"/>
      <c r="G224" s="2"/>
      <c r="H224" s="2"/>
      <c r="I224" s="2"/>
    </row>
    <row r="225" spans="6:9" x14ac:dyDescent="0.25">
      <c r="F225" s="2"/>
      <c r="G225" s="2"/>
      <c r="H225" s="2"/>
      <c r="I225" s="2"/>
    </row>
    <row r="226" spans="6:9" x14ac:dyDescent="0.25">
      <c r="F226" s="2"/>
      <c r="G226" s="2"/>
      <c r="H226" s="2"/>
      <c r="I226" s="2"/>
    </row>
    <row r="227" spans="6:9" x14ac:dyDescent="0.25">
      <c r="F227" s="2"/>
      <c r="G227" s="2"/>
      <c r="H227" s="2"/>
      <c r="I227" s="2"/>
    </row>
    <row r="228" spans="6:9" x14ac:dyDescent="0.25">
      <c r="F228" s="2"/>
      <c r="G228" s="2"/>
      <c r="H228" s="2"/>
      <c r="I228" s="2"/>
    </row>
    <row r="229" spans="6:9" x14ac:dyDescent="0.25">
      <c r="F229" s="2"/>
      <c r="G229" s="2"/>
      <c r="H229" s="2"/>
      <c r="I229" s="2"/>
    </row>
    <row r="230" spans="6:9" x14ac:dyDescent="0.25">
      <c r="F230" s="2"/>
      <c r="G230" s="2"/>
      <c r="H230" s="2"/>
      <c r="I230" s="2"/>
    </row>
    <row r="231" spans="6:9" x14ac:dyDescent="0.25">
      <c r="F231" s="2"/>
      <c r="G231" s="2"/>
      <c r="H231" s="2"/>
      <c r="I231" s="2"/>
    </row>
    <row r="232" spans="6:9" x14ac:dyDescent="0.25">
      <c r="F232" s="2"/>
      <c r="G232" s="2"/>
      <c r="H232" s="2"/>
      <c r="I232" s="2"/>
    </row>
    <row r="233" spans="6:9" x14ac:dyDescent="0.25">
      <c r="F233" s="2"/>
      <c r="G233" s="2"/>
      <c r="H233" s="2"/>
      <c r="I233" s="2"/>
    </row>
    <row r="234" spans="6:9" x14ac:dyDescent="0.25">
      <c r="F234" s="2"/>
      <c r="G234" s="2"/>
      <c r="H234" s="2"/>
      <c r="I234" s="2"/>
    </row>
    <row r="235" spans="6:9" x14ac:dyDescent="0.25">
      <c r="F235" s="2"/>
      <c r="G235" s="2"/>
      <c r="H235" s="2"/>
      <c r="I235" s="2"/>
    </row>
    <row r="236" spans="6:9" x14ac:dyDescent="0.25">
      <c r="F236" s="2"/>
      <c r="G236" s="2"/>
      <c r="H236" s="2"/>
      <c r="I236" s="2"/>
    </row>
  </sheetData>
  <mergeCells count="16">
    <mergeCell ref="A1:I1"/>
    <mergeCell ref="A71:I71"/>
    <mergeCell ref="H2:H3"/>
    <mergeCell ref="I26:I27"/>
    <mergeCell ref="A43:I43"/>
    <mergeCell ref="A56:I56"/>
    <mergeCell ref="A67:I67"/>
    <mergeCell ref="D2:D3"/>
    <mergeCell ref="C2:C3"/>
    <mergeCell ref="I11:I15"/>
    <mergeCell ref="F2:F3"/>
    <mergeCell ref="A2:A3"/>
    <mergeCell ref="B2:B3"/>
    <mergeCell ref="G2:G3"/>
    <mergeCell ref="E2:E3"/>
    <mergeCell ref="I2:I3"/>
  </mergeCells>
  <pageMargins left="0.7" right="0.7" top="0.75" bottom="0.75" header="0.3" footer="0.3"/>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7"/>
  <sheetViews>
    <sheetView topLeftCell="A10" zoomScale="90" zoomScaleNormal="90" workbookViewId="0">
      <selection activeCell="I13" sqref="I13"/>
    </sheetView>
  </sheetViews>
  <sheetFormatPr defaultRowHeight="15" x14ac:dyDescent="0.25"/>
  <cols>
    <col min="1" max="1" width="25.140625" style="4" customWidth="1"/>
    <col min="2" max="2" width="16.85546875" style="94" customWidth="1"/>
    <col min="3" max="3" width="12.7109375" style="4" customWidth="1"/>
    <col min="4" max="4" width="14.5703125" style="4" customWidth="1"/>
    <col min="5" max="5" width="13.5703125" style="4" customWidth="1"/>
    <col min="6" max="6" width="20" style="4" hidden="1" customWidth="1"/>
    <col min="7" max="9" width="20" style="4" customWidth="1"/>
    <col min="10" max="10" width="20" style="4" hidden="1" customWidth="1"/>
    <col min="11" max="11" width="29.42578125" style="4" customWidth="1"/>
    <col min="12" max="12" width="48.7109375" style="4" customWidth="1"/>
    <col min="13" max="13" width="28.7109375" style="4" customWidth="1"/>
    <col min="14" max="16384" width="9.140625" style="4"/>
  </cols>
  <sheetData>
    <row r="1" spans="1:35" ht="23.25" x14ac:dyDescent="0.25">
      <c r="A1" s="497" t="s">
        <v>248</v>
      </c>
      <c r="B1" s="497"/>
      <c r="C1" s="497"/>
      <c r="D1" s="497"/>
      <c r="E1" s="497"/>
      <c r="F1" s="497"/>
      <c r="G1" s="497"/>
      <c r="H1" s="497"/>
      <c r="I1" s="497"/>
      <c r="J1" s="497"/>
      <c r="K1" s="497"/>
      <c r="L1" s="497"/>
      <c r="M1" s="497"/>
      <c r="N1" s="2"/>
      <c r="O1" s="2"/>
      <c r="P1" s="2"/>
      <c r="Q1" s="2"/>
      <c r="R1" s="2"/>
      <c r="S1" s="2"/>
      <c r="T1" s="2"/>
      <c r="U1" s="2"/>
      <c r="V1" s="2"/>
      <c r="W1" s="2"/>
      <c r="X1" s="2"/>
      <c r="Y1" s="2"/>
      <c r="Z1" s="2"/>
      <c r="AA1" s="2"/>
      <c r="AB1" s="2"/>
      <c r="AC1" s="2"/>
      <c r="AD1" s="2"/>
      <c r="AE1" s="2"/>
      <c r="AF1" s="2"/>
      <c r="AG1" s="2"/>
      <c r="AH1" s="2"/>
      <c r="AI1" s="2"/>
    </row>
    <row r="2" spans="1:35" ht="15" customHeight="1" x14ac:dyDescent="0.25">
      <c r="A2" s="499" t="s">
        <v>19</v>
      </c>
      <c r="B2" s="506" t="s">
        <v>160</v>
      </c>
      <c r="C2" s="502" t="s">
        <v>161</v>
      </c>
      <c r="D2" s="502" t="s">
        <v>162</v>
      </c>
      <c r="E2" s="502" t="s">
        <v>78</v>
      </c>
      <c r="F2" s="502" t="s">
        <v>28</v>
      </c>
      <c r="G2" s="507" t="s">
        <v>163</v>
      </c>
      <c r="H2" s="47"/>
      <c r="I2" s="507" t="s">
        <v>164</v>
      </c>
      <c r="J2" s="79"/>
      <c r="K2" s="502" t="s">
        <v>159</v>
      </c>
      <c r="L2" s="499" t="s">
        <v>79</v>
      </c>
      <c r="M2" s="499" t="s">
        <v>61</v>
      </c>
      <c r="N2" s="2"/>
      <c r="O2" s="2"/>
      <c r="P2" s="2"/>
      <c r="Q2" s="2"/>
      <c r="R2" s="2"/>
      <c r="S2" s="2"/>
      <c r="T2" s="2"/>
      <c r="U2" s="2"/>
      <c r="V2" s="2"/>
      <c r="W2" s="2"/>
      <c r="X2" s="2"/>
      <c r="Y2" s="2"/>
      <c r="Z2" s="2"/>
      <c r="AA2" s="2"/>
      <c r="AB2" s="2"/>
      <c r="AC2" s="2"/>
      <c r="AD2" s="2"/>
      <c r="AE2" s="2"/>
      <c r="AF2" s="2"/>
      <c r="AG2" s="2"/>
      <c r="AH2" s="2"/>
      <c r="AI2" s="2"/>
    </row>
    <row r="3" spans="1:35" ht="56.25" customHeight="1" x14ac:dyDescent="0.25">
      <c r="A3" s="499"/>
      <c r="B3" s="506"/>
      <c r="C3" s="502"/>
      <c r="D3" s="502"/>
      <c r="E3" s="502"/>
      <c r="F3" s="502"/>
      <c r="G3" s="508"/>
      <c r="H3" s="48" t="s">
        <v>188</v>
      </c>
      <c r="I3" s="508"/>
      <c r="J3" s="80"/>
      <c r="K3" s="502"/>
      <c r="L3" s="499"/>
      <c r="M3" s="499"/>
      <c r="N3" s="2"/>
      <c r="O3" s="2"/>
      <c r="P3" s="2"/>
      <c r="Q3" s="2"/>
      <c r="R3" s="2"/>
      <c r="S3" s="2"/>
      <c r="T3" s="2"/>
      <c r="U3" s="2"/>
      <c r="V3" s="2"/>
      <c r="W3" s="2"/>
      <c r="X3" s="2"/>
      <c r="Y3" s="2"/>
      <c r="Z3" s="2"/>
      <c r="AA3" s="2"/>
      <c r="AB3" s="2"/>
      <c r="AC3" s="2"/>
      <c r="AD3" s="2"/>
      <c r="AE3" s="2"/>
      <c r="AF3" s="2"/>
      <c r="AG3" s="2"/>
      <c r="AH3" s="2"/>
      <c r="AI3" s="2"/>
    </row>
    <row r="4" spans="1:35" ht="15.75" x14ac:dyDescent="0.25">
      <c r="A4" s="27" t="s">
        <v>0</v>
      </c>
      <c r="B4" s="92"/>
      <c r="C4" s="27"/>
      <c r="D4" s="27"/>
      <c r="E4" s="27"/>
      <c r="F4" s="27"/>
      <c r="G4" s="27"/>
      <c r="H4" s="27"/>
      <c r="I4" s="27"/>
      <c r="J4" s="27"/>
      <c r="K4" s="27"/>
      <c r="L4" s="28"/>
      <c r="M4" s="29"/>
      <c r="N4" s="2"/>
      <c r="O4" s="2"/>
      <c r="P4" s="2"/>
      <c r="Q4" s="2"/>
      <c r="R4" s="2"/>
      <c r="S4" s="2"/>
      <c r="T4" s="2"/>
      <c r="U4" s="2"/>
      <c r="V4" s="2"/>
      <c r="W4" s="2"/>
      <c r="X4" s="2"/>
      <c r="Y4" s="2"/>
      <c r="Z4" s="2"/>
      <c r="AA4" s="2"/>
      <c r="AB4" s="2"/>
      <c r="AC4" s="2"/>
      <c r="AD4" s="2"/>
      <c r="AE4" s="2"/>
      <c r="AF4" s="2"/>
      <c r="AG4" s="2"/>
      <c r="AH4" s="2"/>
      <c r="AI4" s="2"/>
    </row>
    <row r="5" spans="1:35" ht="15.75" x14ac:dyDescent="0.25">
      <c r="A5" s="4" t="s">
        <v>60</v>
      </c>
      <c r="B5" s="93">
        <v>17500</v>
      </c>
      <c r="C5" s="4">
        <v>18750</v>
      </c>
      <c r="D5" s="8">
        <f>C5</f>
        <v>18750</v>
      </c>
      <c r="E5" s="4">
        <f>B5*4*64</f>
        <v>4480000</v>
      </c>
      <c r="I5" s="53">
        <f>SUM(I6:I9)</f>
        <v>116969.48148148149</v>
      </c>
      <c r="J5" s="53"/>
      <c r="M5" s="4" t="s">
        <v>193</v>
      </c>
      <c r="N5" s="2"/>
      <c r="O5" s="2"/>
      <c r="P5" s="2"/>
      <c r="Q5" s="2"/>
      <c r="R5" s="2"/>
      <c r="S5" s="2"/>
      <c r="T5" s="2"/>
      <c r="U5" s="2"/>
      <c r="V5" s="2"/>
      <c r="W5" s="2"/>
      <c r="X5" s="2"/>
      <c r="Y5" s="2"/>
      <c r="Z5" s="2"/>
      <c r="AA5" s="2"/>
      <c r="AB5" s="2"/>
      <c r="AC5" s="2"/>
      <c r="AD5" s="2"/>
      <c r="AE5" s="2"/>
      <c r="AF5" s="2"/>
      <c r="AG5" s="2"/>
      <c r="AH5" s="2"/>
      <c r="AI5" s="2"/>
    </row>
    <row r="6" spans="1:35" ht="45" x14ac:dyDescent="0.25">
      <c r="A6" s="8" t="s">
        <v>189</v>
      </c>
      <c r="B6" s="93"/>
      <c r="D6" s="8"/>
      <c r="E6" s="4">
        <f>E5*10%</f>
        <v>448000</v>
      </c>
      <c r="F6" s="4" t="s">
        <v>29</v>
      </c>
      <c r="G6" s="4">
        <f>89/3600</f>
        <v>2.4722222222222222E-2</v>
      </c>
      <c r="H6" s="4">
        <f>G6*15%</f>
        <v>3.708333333333333E-3</v>
      </c>
      <c r="I6" s="3">
        <f>E6*(G6+H6)</f>
        <v>12736.888888888889</v>
      </c>
      <c r="J6" s="3"/>
      <c r="K6" s="4" t="s">
        <v>250</v>
      </c>
      <c r="L6" s="7" t="s">
        <v>251</v>
      </c>
      <c r="M6" s="8" t="s">
        <v>182</v>
      </c>
      <c r="N6" s="2"/>
      <c r="O6" s="2"/>
      <c r="P6" s="2"/>
      <c r="Q6" s="2"/>
      <c r="R6" s="2"/>
      <c r="S6" s="2"/>
      <c r="T6" s="2"/>
      <c r="U6" s="2"/>
      <c r="V6" s="2"/>
      <c r="W6" s="2"/>
      <c r="X6" s="2"/>
      <c r="Y6" s="2"/>
      <c r="Z6" s="2"/>
      <c r="AA6" s="2"/>
      <c r="AB6" s="2"/>
      <c r="AC6" s="2"/>
      <c r="AD6" s="2"/>
      <c r="AE6" s="2"/>
      <c r="AF6" s="2"/>
      <c r="AG6" s="2"/>
      <c r="AH6" s="2"/>
      <c r="AI6" s="2"/>
    </row>
    <row r="7" spans="1:35" x14ac:dyDescent="0.25">
      <c r="A7" s="8" t="s">
        <v>190</v>
      </c>
      <c r="B7" s="93"/>
      <c r="D7" s="8"/>
      <c r="E7" s="4">
        <f>E5*40%</f>
        <v>1792000</v>
      </c>
      <c r="G7" s="4">
        <f>55/2700</f>
        <v>2.0370370370370372E-2</v>
      </c>
      <c r="H7" s="4">
        <f>G7*15%</f>
        <v>3.0555555555555557E-3</v>
      </c>
      <c r="I7" s="3">
        <f t="shared" ref="I7:I72" si="0">E7*(G7+H7)</f>
        <v>41979.259259259263</v>
      </c>
      <c r="J7" s="3"/>
      <c r="L7" s="7"/>
      <c r="M7" s="8"/>
      <c r="N7" s="2"/>
      <c r="O7" s="2"/>
      <c r="P7" s="2"/>
      <c r="Q7" s="2"/>
      <c r="R7" s="2"/>
      <c r="S7" s="2"/>
      <c r="T7" s="2"/>
      <c r="U7" s="2"/>
      <c r="V7" s="2"/>
      <c r="W7" s="2"/>
      <c r="X7" s="2"/>
      <c r="Y7" s="2"/>
      <c r="Z7" s="2"/>
      <c r="AA7" s="2"/>
      <c r="AB7" s="2"/>
      <c r="AC7" s="2"/>
      <c r="AD7" s="2"/>
      <c r="AE7" s="2"/>
      <c r="AF7" s="2"/>
      <c r="AG7" s="2"/>
      <c r="AH7" s="2"/>
      <c r="AI7" s="2"/>
    </row>
    <row r="8" spans="1:35" x14ac:dyDescent="0.25">
      <c r="A8" s="8" t="s">
        <v>191</v>
      </c>
      <c r="B8" s="93"/>
      <c r="D8" s="8"/>
      <c r="E8" s="4">
        <f>E5*40%</f>
        <v>1792000</v>
      </c>
      <c r="G8" s="4">
        <f>53/2400</f>
        <v>2.2083333333333333E-2</v>
      </c>
      <c r="H8" s="4">
        <f>G8*15%</f>
        <v>3.3124999999999999E-3</v>
      </c>
      <c r="I8" s="3">
        <f t="shared" si="0"/>
        <v>45509.333333333336</v>
      </c>
      <c r="J8" s="3"/>
      <c r="L8" s="7"/>
      <c r="M8" s="8"/>
      <c r="N8" s="2"/>
      <c r="O8" s="2"/>
      <c r="P8" s="2"/>
      <c r="Q8" s="2"/>
      <c r="R8" s="2"/>
      <c r="S8" s="2"/>
      <c r="T8" s="2"/>
      <c r="U8" s="2"/>
      <c r="V8" s="2"/>
      <c r="W8" s="2"/>
      <c r="X8" s="2"/>
      <c r="Y8" s="2"/>
      <c r="Z8" s="2"/>
      <c r="AA8" s="2"/>
      <c r="AB8" s="2"/>
      <c r="AC8" s="2"/>
      <c r="AD8" s="2"/>
      <c r="AE8" s="2"/>
      <c r="AF8" s="2"/>
      <c r="AG8" s="2"/>
      <c r="AH8" s="2"/>
      <c r="AI8" s="2"/>
    </row>
    <row r="9" spans="1:35" x14ac:dyDescent="0.25">
      <c r="A9" s="8" t="s">
        <v>192</v>
      </c>
      <c r="B9" s="93"/>
      <c r="D9" s="8"/>
      <c r="E9" s="4">
        <f>E5*10%</f>
        <v>448000</v>
      </c>
      <c r="G9" s="4">
        <f>52/1600</f>
        <v>3.2500000000000001E-2</v>
      </c>
      <c r="H9" s="4">
        <f>G9*15%</f>
        <v>4.875E-3</v>
      </c>
      <c r="I9" s="3">
        <f t="shared" si="0"/>
        <v>16744</v>
      </c>
      <c r="J9" s="3"/>
      <c r="L9" s="7"/>
      <c r="M9" s="8"/>
      <c r="N9" s="2"/>
      <c r="O9" s="2"/>
      <c r="P9" s="2"/>
      <c r="Q9" s="2"/>
      <c r="R9" s="2"/>
      <c r="S9" s="2"/>
      <c r="T9" s="2"/>
      <c r="U9" s="2"/>
      <c r="V9" s="2"/>
      <c r="W9" s="2"/>
      <c r="X9" s="2"/>
      <c r="Y9" s="2"/>
      <c r="Z9" s="2"/>
      <c r="AA9" s="2"/>
      <c r="AB9" s="2"/>
      <c r="AC9" s="2"/>
      <c r="AD9" s="2"/>
      <c r="AE9" s="2"/>
      <c r="AF9" s="2"/>
      <c r="AG9" s="2"/>
      <c r="AH9" s="2"/>
      <c r="AI9" s="2"/>
    </row>
    <row r="10" spans="1:35" ht="45" x14ac:dyDescent="0.25">
      <c r="A10" s="8" t="s">
        <v>26</v>
      </c>
      <c r="B10" s="93"/>
      <c r="D10" s="8"/>
      <c r="E10" s="4">
        <f>E5</f>
        <v>4480000</v>
      </c>
      <c r="F10" s="4" t="s">
        <v>29</v>
      </c>
      <c r="G10" s="4">
        <f>45/10000</f>
        <v>4.4999999999999997E-3</v>
      </c>
      <c r="H10" s="4">
        <f>G10*15%</f>
        <v>6.7499999999999993E-4</v>
      </c>
      <c r="I10" s="53">
        <f t="shared" si="0"/>
        <v>23184</v>
      </c>
      <c r="J10" s="53"/>
      <c r="K10" s="4" t="s">
        <v>250</v>
      </c>
      <c r="L10" s="7" t="s">
        <v>251</v>
      </c>
      <c r="N10" s="2"/>
      <c r="O10" s="2"/>
      <c r="P10" s="2"/>
      <c r="Q10" s="2"/>
      <c r="R10" s="2"/>
      <c r="S10" s="2"/>
      <c r="T10" s="2"/>
      <c r="U10" s="2"/>
      <c r="V10" s="2"/>
      <c r="W10" s="2"/>
      <c r="X10" s="2"/>
      <c r="Y10" s="2"/>
      <c r="Z10" s="2"/>
      <c r="AA10" s="2"/>
      <c r="AB10" s="2"/>
      <c r="AC10" s="2"/>
      <c r="AD10" s="2"/>
      <c r="AE10" s="2"/>
      <c r="AF10" s="2"/>
      <c r="AG10" s="2"/>
      <c r="AH10" s="2"/>
      <c r="AI10" s="2"/>
    </row>
    <row r="11" spans="1:35" ht="45" x14ac:dyDescent="0.25">
      <c r="A11" s="8" t="s">
        <v>18</v>
      </c>
      <c r="E11" s="116">
        <v>0</v>
      </c>
      <c r="F11" s="4" t="s">
        <v>30</v>
      </c>
      <c r="G11" s="52">
        <f>3.12/144</f>
        <v>2.1666666666666667E-2</v>
      </c>
      <c r="H11" s="4">
        <f>G11*60%</f>
        <v>1.2999999999999999E-2</v>
      </c>
      <c r="I11" s="53">
        <f t="shared" si="0"/>
        <v>0</v>
      </c>
      <c r="J11" s="53"/>
      <c r="K11" s="4" t="s">
        <v>30</v>
      </c>
      <c r="L11" s="7" t="s">
        <v>252</v>
      </c>
      <c r="N11" s="2"/>
      <c r="O11" s="2"/>
      <c r="P11" s="2"/>
      <c r="Q11" s="2"/>
      <c r="R11" s="2"/>
      <c r="S11" s="2"/>
      <c r="T11" s="2"/>
      <c r="U11" s="2"/>
      <c r="V11" s="2"/>
      <c r="W11" s="2"/>
      <c r="X11" s="2"/>
      <c r="Y11" s="2"/>
      <c r="Z11" s="2"/>
      <c r="AA11" s="2"/>
      <c r="AB11" s="2"/>
      <c r="AC11" s="2"/>
      <c r="AD11" s="2"/>
      <c r="AE11" s="2"/>
      <c r="AF11" s="2"/>
      <c r="AG11" s="2"/>
      <c r="AH11" s="2"/>
      <c r="AI11" s="2"/>
    </row>
    <row r="12" spans="1:35" ht="30" x14ac:dyDescent="0.25">
      <c r="A12" s="12" t="s">
        <v>31</v>
      </c>
      <c r="B12" s="93">
        <v>15750</v>
      </c>
      <c r="C12" s="3">
        <v>15938</v>
      </c>
      <c r="D12" s="8">
        <f>C12/2</f>
        <v>7969</v>
      </c>
      <c r="E12" s="115">
        <f>C12*1.25</f>
        <v>19922.5</v>
      </c>
      <c r="I12" s="53"/>
      <c r="J12" s="53"/>
      <c r="L12" s="4" t="s">
        <v>273</v>
      </c>
      <c r="N12" s="2"/>
      <c r="O12" s="2"/>
      <c r="P12" s="2"/>
      <c r="Q12" s="2"/>
      <c r="R12" s="2"/>
      <c r="S12" s="2"/>
      <c r="T12" s="2"/>
      <c r="U12" s="2"/>
      <c r="V12" s="2"/>
      <c r="W12" s="2"/>
      <c r="X12" s="2"/>
      <c r="Y12" s="2"/>
      <c r="Z12" s="2"/>
      <c r="AA12" s="2"/>
      <c r="AB12" s="2"/>
      <c r="AC12" s="2"/>
      <c r="AD12" s="2"/>
      <c r="AE12" s="2"/>
      <c r="AF12" s="2"/>
      <c r="AG12" s="2"/>
      <c r="AH12" s="2"/>
      <c r="AI12" s="2"/>
    </row>
    <row r="13" spans="1:35" ht="30" x14ac:dyDescent="0.25">
      <c r="A13" s="4" t="s">
        <v>32</v>
      </c>
      <c r="E13" s="3">
        <f>E12/100*80</f>
        <v>15938</v>
      </c>
      <c r="G13" s="4">
        <v>3.75</v>
      </c>
      <c r="H13" s="4">
        <f>G13*15%</f>
        <v>0.5625</v>
      </c>
      <c r="I13" s="53">
        <f t="shared" si="0"/>
        <v>68732.625</v>
      </c>
      <c r="J13" s="53"/>
      <c r="K13" s="3" t="s">
        <v>33</v>
      </c>
      <c r="L13" s="7" t="s">
        <v>178</v>
      </c>
      <c r="N13" s="2"/>
      <c r="O13" s="2"/>
      <c r="P13" s="2"/>
      <c r="Q13" s="2"/>
      <c r="R13" s="2"/>
      <c r="S13" s="2"/>
      <c r="T13" s="2"/>
      <c r="U13" s="2"/>
      <c r="V13" s="2"/>
      <c r="W13" s="2"/>
      <c r="X13" s="2"/>
      <c r="Y13" s="2"/>
      <c r="Z13" s="2"/>
      <c r="AA13" s="2"/>
      <c r="AB13" s="2"/>
      <c r="AC13" s="2"/>
      <c r="AD13" s="2"/>
      <c r="AE13" s="2"/>
      <c r="AF13" s="2"/>
      <c r="AG13" s="2"/>
      <c r="AH13" s="2"/>
      <c r="AI13" s="2"/>
    </row>
    <row r="14" spans="1:35" ht="30" x14ac:dyDescent="0.25">
      <c r="A14" s="8" t="s">
        <v>36</v>
      </c>
      <c r="B14" s="93"/>
      <c r="D14" s="8"/>
      <c r="E14" s="3">
        <f>E12/100*20</f>
        <v>3984.5</v>
      </c>
      <c r="I14" s="53"/>
      <c r="J14" s="53"/>
      <c r="K14" s="3" t="s">
        <v>34</v>
      </c>
      <c r="L14" s="7" t="s">
        <v>177</v>
      </c>
      <c r="M14" s="503" t="s">
        <v>62</v>
      </c>
      <c r="N14" s="2"/>
      <c r="O14" s="2"/>
      <c r="P14" s="2"/>
      <c r="Q14" s="2"/>
      <c r="R14" s="2"/>
      <c r="S14" s="2"/>
      <c r="T14" s="2"/>
      <c r="U14" s="2"/>
      <c r="V14" s="2"/>
      <c r="W14" s="2"/>
      <c r="X14" s="2"/>
      <c r="Y14" s="2"/>
      <c r="Z14" s="2"/>
      <c r="AA14" s="2"/>
      <c r="AB14" s="2"/>
      <c r="AC14" s="2"/>
      <c r="AD14" s="2"/>
      <c r="AE14" s="2"/>
      <c r="AF14" s="2"/>
      <c r="AG14" s="2"/>
      <c r="AH14" s="2"/>
      <c r="AI14" s="2"/>
    </row>
    <row r="15" spans="1:35" ht="75" x14ac:dyDescent="0.25">
      <c r="A15" s="15" t="s">
        <v>55</v>
      </c>
      <c r="B15" s="93"/>
      <c r="D15" s="8"/>
      <c r="E15" s="3">
        <f>E14+E13*14.3%</f>
        <v>6263.634</v>
      </c>
      <c r="G15" s="4">
        <f>41/90</f>
        <v>0.45555555555555555</v>
      </c>
      <c r="H15" s="4">
        <f>G15*15%</f>
        <v>6.8333333333333329E-2</v>
      </c>
      <c r="I15" s="53">
        <f t="shared" si="0"/>
        <v>3281.4482566666666</v>
      </c>
      <c r="J15" s="53"/>
      <c r="K15" s="7" t="s">
        <v>59</v>
      </c>
      <c r="L15" s="7" t="s">
        <v>165</v>
      </c>
      <c r="M15" s="503"/>
      <c r="N15" s="2"/>
      <c r="O15" s="2"/>
      <c r="P15" s="2"/>
      <c r="Q15" s="2"/>
      <c r="R15" s="2"/>
      <c r="S15" s="2"/>
      <c r="T15" s="2"/>
      <c r="U15" s="2"/>
      <c r="V15" s="2"/>
      <c r="W15" s="2"/>
      <c r="X15" s="2"/>
      <c r="Y15" s="2"/>
      <c r="Z15" s="2"/>
      <c r="AA15" s="2"/>
      <c r="AB15" s="2"/>
      <c r="AC15" s="2"/>
      <c r="AD15" s="2"/>
      <c r="AE15" s="2"/>
      <c r="AF15" s="2"/>
      <c r="AG15" s="2"/>
      <c r="AH15" s="2"/>
      <c r="AI15" s="2"/>
    </row>
    <row r="16" spans="1:35" ht="45" x14ac:dyDescent="0.25">
      <c r="A16" s="8" t="s">
        <v>37</v>
      </c>
      <c r="B16" s="93"/>
      <c r="D16" s="8"/>
      <c r="E16" s="3">
        <f>E14*15%</f>
        <v>597.67499999999995</v>
      </c>
      <c r="I16" s="53"/>
      <c r="J16" s="53"/>
      <c r="K16" s="7" t="s">
        <v>58</v>
      </c>
      <c r="L16" s="7" t="s">
        <v>166</v>
      </c>
      <c r="M16" s="503"/>
      <c r="N16" s="2"/>
      <c r="O16" s="2"/>
      <c r="P16" s="2"/>
      <c r="Q16" s="2"/>
      <c r="R16" s="2"/>
      <c r="S16" s="2"/>
      <c r="T16" s="2"/>
      <c r="U16" s="2"/>
      <c r="V16" s="2"/>
      <c r="W16" s="2"/>
      <c r="X16" s="2"/>
      <c r="Y16" s="2"/>
      <c r="Z16" s="2"/>
      <c r="AA16" s="2"/>
      <c r="AB16" s="2"/>
      <c r="AC16" s="2"/>
      <c r="AD16" s="2"/>
      <c r="AE16" s="2"/>
      <c r="AF16" s="2"/>
      <c r="AG16" s="2"/>
      <c r="AH16" s="2"/>
      <c r="AI16" s="2"/>
    </row>
    <row r="17" spans="1:35" ht="90" x14ac:dyDescent="0.25">
      <c r="A17" s="15" t="s">
        <v>56</v>
      </c>
      <c r="B17" s="93"/>
      <c r="D17" s="8"/>
      <c r="E17" s="3">
        <f>E16+E13*14.3%</f>
        <v>2876.8090000000002</v>
      </c>
      <c r="G17" s="4">
        <f>126/90</f>
        <v>1.4</v>
      </c>
      <c r="H17" s="4">
        <f>G17*15%</f>
        <v>0.21</v>
      </c>
      <c r="I17" s="53">
        <f t="shared" si="0"/>
        <v>4631.6624899999997</v>
      </c>
      <c r="J17" s="53"/>
      <c r="K17" s="7" t="s">
        <v>59</v>
      </c>
      <c r="L17" s="7" t="s">
        <v>167</v>
      </c>
      <c r="M17" s="503"/>
      <c r="N17" s="2"/>
      <c r="O17" s="2"/>
      <c r="P17" s="2"/>
      <c r="Q17" s="2"/>
      <c r="R17" s="2"/>
      <c r="S17" s="2"/>
      <c r="T17" s="2"/>
      <c r="U17" s="2"/>
      <c r="V17" s="2"/>
      <c r="W17" s="2"/>
      <c r="X17" s="2"/>
      <c r="Y17" s="2"/>
      <c r="Z17" s="2"/>
      <c r="AA17" s="2"/>
      <c r="AB17" s="2"/>
      <c r="AC17" s="2"/>
      <c r="AD17" s="2"/>
      <c r="AE17" s="2"/>
      <c r="AF17" s="2"/>
      <c r="AG17" s="2"/>
      <c r="AH17" s="2"/>
      <c r="AI17" s="2"/>
    </row>
    <row r="18" spans="1:35" ht="45" x14ac:dyDescent="0.25">
      <c r="A18" s="8" t="s">
        <v>38</v>
      </c>
      <c r="B18" s="93"/>
      <c r="D18" s="8"/>
      <c r="E18" s="3">
        <f>E14*14.3%</f>
        <v>569.78350000000012</v>
      </c>
      <c r="I18" s="53"/>
      <c r="J18" s="53"/>
      <c r="K18" s="7" t="s">
        <v>54</v>
      </c>
      <c r="L18" s="7" t="s">
        <v>168</v>
      </c>
      <c r="M18" s="503"/>
      <c r="N18" s="2"/>
      <c r="O18" s="2"/>
      <c r="P18" s="2"/>
      <c r="Q18" s="2"/>
      <c r="R18" s="2"/>
      <c r="S18" s="2"/>
      <c r="T18" s="2"/>
      <c r="U18" s="2"/>
      <c r="V18" s="2"/>
      <c r="W18" s="2"/>
      <c r="X18" s="2"/>
      <c r="Y18" s="2"/>
      <c r="Z18" s="2"/>
      <c r="AA18" s="2"/>
      <c r="AB18" s="2"/>
      <c r="AC18" s="2"/>
      <c r="AD18" s="2"/>
      <c r="AE18" s="2"/>
      <c r="AF18" s="2"/>
      <c r="AG18" s="2"/>
      <c r="AH18" s="2"/>
      <c r="AI18" s="2"/>
    </row>
    <row r="19" spans="1:35" ht="90" x14ac:dyDescent="0.25">
      <c r="A19" s="15" t="s">
        <v>57</v>
      </c>
      <c r="B19" s="93"/>
      <c r="D19" s="8"/>
      <c r="E19" s="3">
        <f>E18+E13*14.3%</f>
        <v>2848.9175000000005</v>
      </c>
      <c r="G19" s="4">
        <f>213/90</f>
        <v>2.3666666666666667</v>
      </c>
      <c r="H19" s="4">
        <f>G19*15%</f>
        <v>0.35499999999999998</v>
      </c>
      <c r="I19" s="53">
        <f t="shared" si="0"/>
        <v>7753.8037958333343</v>
      </c>
      <c r="J19" s="53"/>
      <c r="K19" s="7" t="s">
        <v>59</v>
      </c>
      <c r="L19" s="7" t="s">
        <v>110</v>
      </c>
      <c r="M19" s="41"/>
      <c r="N19" s="2"/>
      <c r="O19" s="2"/>
      <c r="P19" s="2"/>
      <c r="Q19" s="2"/>
      <c r="R19" s="2"/>
      <c r="S19" s="2"/>
      <c r="T19" s="2"/>
      <c r="U19" s="2"/>
      <c r="V19" s="2"/>
      <c r="W19" s="2"/>
      <c r="X19" s="2"/>
      <c r="Y19" s="2"/>
      <c r="Z19" s="2"/>
      <c r="AA19" s="2"/>
      <c r="AB19" s="2"/>
      <c r="AC19" s="2"/>
      <c r="AD19" s="2"/>
      <c r="AE19" s="2"/>
      <c r="AF19" s="2"/>
      <c r="AG19" s="2"/>
      <c r="AH19" s="2"/>
      <c r="AI19" s="2"/>
    </row>
    <row r="20" spans="1:35" ht="30" x14ac:dyDescent="0.25">
      <c r="A20" s="8" t="s">
        <v>44</v>
      </c>
      <c r="B20" s="93"/>
      <c r="C20" s="3"/>
      <c r="D20" s="8"/>
      <c r="E20" s="3">
        <f>C5/100*60*2</f>
        <v>22500</v>
      </c>
      <c r="F20" s="3"/>
      <c r="G20" s="52">
        <f>4.5/10</f>
        <v>0.45</v>
      </c>
      <c r="H20" s="4">
        <f>G20*15%</f>
        <v>6.7500000000000004E-2</v>
      </c>
      <c r="I20" s="53">
        <f t="shared" si="0"/>
        <v>11643.750000000002</v>
      </c>
      <c r="J20" s="53"/>
      <c r="K20" s="7" t="s">
        <v>80</v>
      </c>
      <c r="L20" s="7" t="s">
        <v>169</v>
      </c>
      <c r="N20" s="2"/>
      <c r="O20" s="2"/>
      <c r="P20" s="2"/>
      <c r="Q20" s="2"/>
      <c r="R20" s="2"/>
      <c r="S20" s="2"/>
      <c r="T20" s="2"/>
      <c r="U20" s="2"/>
      <c r="V20" s="2"/>
      <c r="W20" s="2"/>
      <c r="X20" s="2"/>
      <c r="Y20" s="2"/>
      <c r="Z20" s="2"/>
      <c r="AA20" s="2"/>
      <c r="AB20" s="2"/>
      <c r="AC20" s="2"/>
      <c r="AD20" s="2"/>
      <c r="AE20" s="2"/>
      <c r="AF20" s="2"/>
      <c r="AG20" s="2"/>
      <c r="AH20" s="2"/>
      <c r="AI20" s="2"/>
    </row>
    <row r="21" spans="1:35" ht="18.75" x14ac:dyDescent="0.3">
      <c r="A21" s="22" t="s">
        <v>47</v>
      </c>
      <c r="B21" s="95"/>
      <c r="C21" s="22"/>
      <c r="D21" s="22"/>
      <c r="E21" s="22"/>
      <c r="F21" s="22"/>
      <c r="G21" s="22"/>
      <c r="H21" s="22"/>
      <c r="I21" s="22"/>
      <c r="J21" s="22"/>
      <c r="K21" s="22"/>
      <c r="L21" s="22"/>
      <c r="M21" s="22"/>
      <c r="N21" s="2"/>
      <c r="O21" s="2"/>
      <c r="P21" s="2"/>
      <c r="Q21" s="2"/>
      <c r="R21" s="2"/>
      <c r="S21" s="2"/>
      <c r="T21" s="2"/>
      <c r="U21" s="2"/>
      <c r="V21" s="2"/>
      <c r="W21" s="2"/>
      <c r="X21" s="2"/>
      <c r="Y21" s="2"/>
      <c r="Z21" s="2"/>
      <c r="AA21" s="2"/>
      <c r="AB21" s="2"/>
      <c r="AC21" s="2"/>
      <c r="AD21" s="2"/>
      <c r="AE21" s="2"/>
      <c r="AF21" s="2"/>
      <c r="AG21" s="2"/>
      <c r="AH21" s="2"/>
      <c r="AI21" s="2"/>
    </row>
    <row r="22" spans="1:35" ht="15.75" x14ac:dyDescent="0.25">
      <c r="A22" s="4" t="s">
        <v>23</v>
      </c>
      <c r="B22" s="103">
        <v>1750</v>
      </c>
      <c r="C22" s="14">
        <v>2125</v>
      </c>
      <c r="D22" s="14">
        <v>2125</v>
      </c>
      <c r="I22" s="53"/>
      <c r="J22" s="53"/>
      <c r="L22" s="4" t="s">
        <v>170</v>
      </c>
      <c r="M22" s="4" t="s">
        <v>247</v>
      </c>
      <c r="N22" s="2"/>
      <c r="O22" s="2"/>
      <c r="P22" s="2"/>
      <c r="Q22" s="2"/>
      <c r="R22" s="2"/>
      <c r="S22" s="2"/>
      <c r="T22" s="2"/>
      <c r="U22" s="2"/>
      <c r="V22" s="2"/>
      <c r="W22" s="2"/>
      <c r="X22" s="2"/>
      <c r="Y22" s="2"/>
      <c r="Z22" s="2"/>
      <c r="AA22" s="2"/>
      <c r="AB22" s="2"/>
      <c r="AC22" s="2"/>
      <c r="AD22" s="2"/>
      <c r="AE22" s="2"/>
      <c r="AF22" s="2"/>
      <c r="AG22" s="2"/>
      <c r="AH22" s="2"/>
      <c r="AI22" s="2"/>
    </row>
    <row r="23" spans="1:35" ht="15.75" x14ac:dyDescent="0.25">
      <c r="A23" s="4" t="s">
        <v>24</v>
      </c>
      <c r="B23" s="96">
        <v>0.7</v>
      </c>
      <c r="C23" s="13">
        <v>0.75</v>
      </c>
      <c r="I23" s="53"/>
      <c r="J23" s="53"/>
      <c r="N23" s="2"/>
      <c r="O23" s="2"/>
      <c r="P23" s="2"/>
      <c r="Q23" s="2"/>
      <c r="R23" s="2"/>
      <c r="S23" s="2"/>
      <c r="T23" s="2"/>
      <c r="U23" s="2"/>
      <c r="V23" s="2"/>
      <c r="W23" s="2"/>
      <c r="X23" s="2"/>
      <c r="Y23" s="2"/>
      <c r="Z23" s="2"/>
      <c r="AA23" s="2"/>
      <c r="AB23" s="2"/>
      <c r="AC23" s="2"/>
      <c r="AD23" s="2"/>
      <c r="AE23" s="2"/>
      <c r="AF23" s="2"/>
      <c r="AG23" s="2"/>
      <c r="AH23" s="2"/>
      <c r="AI23" s="2"/>
    </row>
    <row r="24" spans="1:35" ht="120" x14ac:dyDescent="0.25">
      <c r="A24" s="8" t="s">
        <v>2</v>
      </c>
      <c r="B24" s="93"/>
      <c r="D24" s="8"/>
      <c r="E24" s="4">
        <f>30*2+30/3*2+9</f>
        <v>89</v>
      </c>
      <c r="G24" s="4">
        <v>3200</v>
      </c>
      <c r="H24" s="4">
        <f t="shared" ref="H24:H31" si="1">G24*15%</f>
        <v>480</v>
      </c>
      <c r="I24" s="53">
        <f t="shared" si="0"/>
        <v>327520</v>
      </c>
      <c r="J24" s="53"/>
      <c r="K24" s="3"/>
      <c r="L24" s="7" t="s">
        <v>249</v>
      </c>
      <c r="M24" s="7" t="s">
        <v>253</v>
      </c>
      <c r="N24" s="2"/>
      <c r="O24" s="2"/>
      <c r="P24" s="2"/>
      <c r="Q24" s="2"/>
      <c r="R24" s="2"/>
      <c r="S24" s="2"/>
      <c r="T24" s="2"/>
      <c r="U24" s="2"/>
      <c r="V24" s="2"/>
      <c r="W24" s="2"/>
      <c r="X24" s="2"/>
      <c r="Y24" s="2"/>
      <c r="Z24" s="2"/>
      <c r="AA24" s="2"/>
      <c r="AB24" s="2"/>
      <c r="AC24" s="2"/>
      <c r="AD24" s="2"/>
      <c r="AE24" s="2"/>
      <c r="AF24" s="2"/>
      <c r="AG24" s="2"/>
      <c r="AH24" s="2"/>
      <c r="AI24" s="2"/>
    </row>
    <row r="25" spans="1:35" ht="45" x14ac:dyDescent="0.25">
      <c r="A25" s="8" t="s">
        <v>3</v>
      </c>
      <c r="B25" s="93"/>
      <c r="E25" s="118">
        <v>0</v>
      </c>
      <c r="G25" s="4">
        <v>0.03</v>
      </c>
      <c r="H25" s="4">
        <f t="shared" si="1"/>
        <v>4.4999999999999997E-3</v>
      </c>
      <c r="I25" s="53">
        <f t="shared" si="0"/>
        <v>0</v>
      </c>
      <c r="J25" s="53"/>
      <c r="K25" s="7" t="s">
        <v>82</v>
      </c>
      <c r="L25" s="7" t="s">
        <v>116</v>
      </c>
      <c r="N25" s="2"/>
      <c r="O25" s="2"/>
      <c r="P25" s="2"/>
      <c r="Q25" s="2"/>
      <c r="R25" s="2"/>
      <c r="S25" s="2"/>
      <c r="T25" s="2"/>
      <c r="U25" s="2"/>
      <c r="V25" s="2"/>
      <c r="W25" s="2"/>
      <c r="X25" s="2"/>
      <c r="Y25" s="2"/>
      <c r="Z25" s="2"/>
      <c r="AA25" s="2"/>
      <c r="AB25" s="2"/>
      <c r="AC25" s="2"/>
      <c r="AD25" s="2"/>
      <c r="AE25" s="2"/>
      <c r="AF25" s="2"/>
      <c r="AG25" s="2"/>
      <c r="AH25" s="2"/>
      <c r="AI25" s="2"/>
    </row>
    <row r="26" spans="1:35" ht="60" x14ac:dyDescent="0.25">
      <c r="A26" s="8" t="s">
        <v>4</v>
      </c>
      <c r="B26" s="93"/>
      <c r="D26" s="8"/>
      <c r="E26" s="113">
        <f>7000*3</f>
        <v>21000</v>
      </c>
      <c r="G26" s="4">
        <f>32/100</f>
        <v>0.32</v>
      </c>
      <c r="H26" s="4">
        <f t="shared" si="1"/>
        <v>4.8000000000000001E-2</v>
      </c>
      <c r="I26" s="53">
        <f t="shared" si="0"/>
        <v>7728</v>
      </c>
      <c r="J26" s="53"/>
      <c r="K26" s="7" t="s">
        <v>94</v>
      </c>
      <c r="L26" s="7" t="s">
        <v>171</v>
      </c>
      <c r="N26" s="2"/>
      <c r="O26" s="2"/>
      <c r="P26" s="2"/>
      <c r="Q26" s="2"/>
      <c r="R26" s="2"/>
      <c r="S26" s="2"/>
      <c r="T26" s="2"/>
      <c r="U26" s="2"/>
      <c r="V26" s="2"/>
      <c r="W26" s="2"/>
      <c r="X26" s="2"/>
      <c r="Y26" s="2"/>
      <c r="Z26" s="2"/>
      <c r="AA26" s="2"/>
      <c r="AB26" s="2"/>
      <c r="AC26" s="2"/>
      <c r="AD26" s="2"/>
      <c r="AE26" s="2"/>
      <c r="AF26" s="2"/>
      <c r="AG26" s="2"/>
      <c r="AH26" s="2"/>
      <c r="AI26" s="2"/>
    </row>
    <row r="27" spans="1:35" ht="60" x14ac:dyDescent="0.25">
      <c r="A27" s="8" t="s">
        <v>5</v>
      </c>
      <c r="B27" s="93"/>
      <c r="D27" s="8"/>
      <c r="E27" s="115">
        <f>2100*2</f>
        <v>4200</v>
      </c>
      <c r="G27" s="4">
        <f>29/100</f>
        <v>0.28999999999999998</v>
      </c>
      <c r="H27" s="4">
        <f t="shared" si="1"/>
        <v>4.3499999999999997E-2</v>
      </c>
      <c r="I27" s="53">
        <f t="shared" si="0"/>
        <v>1400.6999999999998</v>
      </c>
      <c r="J27" s="53"/>
      <c r="K27" s="7" t="s">
        <v>95</v>
      </c>
      <c r="L27" s="7" t="s">
        <v>172</v>
      </c>
      <c r="N27" s="2"/>
      <c r="O27" s="2"/>
      <c r="P27" s="2"/>
      <c r="Q27" s="2"/>
      <c r="R27" s="2"/>
      <c r="S27" s="2"/>
      <c r="T27" s="2"/>
      <c r="U27" s="2"/>
      <c r="V27" s="2"/>
      <c r="W27" s="2"/>
      <c r="X27" s="2"/>
      <c r="Y27" s="2"/>
      <c r="Z27" s="2"/>
      <c r="AA27" s="2"/>
      <c r="AB27" s="2"/>
      <c r="AC27" s="2"/>
      <c r="AD27" s="2"/>
      <c r="AE27" s="2"/>
      <c r="AF27" s="2"/>
      <c r="AG27" s="2"/>
      <c r="AH27" s="2"/>
      <c r="AI27" s="2"/>
    </row>
    <row r="28" spans="1:35" ht="60" x14ac:dyDescent="0.25">
      <c r="A28" s="8" t="s">
        <v>7</v>
      </c>
      <c r="B28" s="93"/>
      <c r="D28" s="8"/>
      <c r="E28" s="3">
        <f>((E13+E39+E53+E65+6000)/100*5+57831)*1.75</f>
        <v>105018.2</v>
      </c>
      <c r="G28" s="4">
        <f>2.8/50</f>
        <v>5.5999999999999994E-2</v>
      </c>
      <c r="H28" s="4">
        <f t="shared" si="1"/>
        <v>8.3999999999999995E-3</v>
      </c>
      <c r="I28" s="53">
        <f t="shared" si="0"/>
        <v>6763.1720799999994</v>
      </c>
      <c r="J28" s="53"/>
      <c r="K28" s="7" t="s">
        <v>98</v>
      </c>
      <c r="L28" s="7" t="s">
        <v>173</v>
      </c>
      <c r="M28" s="3">
        <f>E13+E39+E53+E65+6000</f>
        <v>43588</v>
      </c>
      <c r="N28" s="2"/>
      <c r="O28" s="2"/>
      <c r="P28" s="2"/>
      <c r="Q28" s="2"/>
      <c r="R28" s="2"/>
      <c r="S28" s="2"/>
      <c r="T28" s="2"/>
      <c r="U28" s="2"/>
      <c r="V28" s="2"/>
      <c r="W28" s="2"/>
      <c r="X28" s="2"/>
      <c r="Y28" s="2"/>
      <c r="Z28" s="2"/>
      <c r="AA28" s="2"/>
      <c r="AB28" s="2"/>
      <c r="AC28" s="2"/>
      <c r="AD28" s="2"/>
      <c r="AE28" s="2"/>
      <c r="AF28" s="2"/>
      <c r="AG28" s="2"/>
      <c r="AH28" s="2"/>
      <c r="AI28" s="2"/>
    </row>
    <row r="29" spans="1:35" ht="45" x14ac:dyDescent="0.25">
      <c r="A29" s="8" t="s">
        <v>96</v>
      </c>
      <c r="B29" s="93"/>
      <c r="D29" s="8"/>
      <c r="E29" s="3">
        <f>40*4*21</f>
        <v>3360</v>
      </c>
      <c r="G29" s="4">
        <f>9/100</f>
        <v>0.09</v>
      </c>
      <c r="H29" s="4">
        <f t="shared" si="1"/>
        <v>1.35E-2</v>
      </c>
      <c r="I29" s="53">
        <f t="shared" si="0"/>
        <v>347.76</v>
      </c>
      <c r="J29" s="53"/>
      <c r="K29" s="7" t="s">
        <v>99</v>
      </c>
      <c r="L29" s="7" t="s">
        <v>117</v>
      </c>
      <c r="M29" s="500"/>
      <c r="N29" s="2"/>
      <c r="O29" s="2"/>
      <c r="P29" s="2"/>
      <c r="Q29" s="2"/>
      <c r="R29" s="2"/>
      <c r="S29" s="2"/>
      <c r="T29" s="2"/>
      <c r="U29" s="2"/>
      <c r="V29" s="2"/>
      <c r="W29" s="2"/>
      <c r="X29" s="2"/>
      <c r="Y29" s="2"/>
      <c r="Z29" s="2"/>
      <c r="AA29" s="2"/>
      <c r="AB29" s="2"/>
      <c r="AC29" s="2"/>
      <c r="AD29" s="2"/>
      <c r="AE29" s="2"/>
      <c r="AF29" s="2"/>
      <c r="AG29" s="2"/>
      <c r="AH29" s="2"/>
      <c r="AI29" s="2"/>
    </row>
    <row r="30" spans="1:35" ht="45" x14ac:dyDescent="0.25">
      <c r="A30" s="8" t="s">
        <v>97</v>
      </c>
      <c r="B30" s="93"/>
      <c r="D30" s="8"/>
      <c r="E30" s="3">
        <f>5000*7</f>
        <v>35000</v>
      </c>
      <c r="G30" s="4">
        <f>15.2/25</f>
        <v>0.60799999999999998</v>
      </c>
      <c r="H30" s="4">
        <f t="shared" si="1"/>
        <v>9.1199999999999989E-2</v>
      </c>
      <c r="I30" s="53">
        <f t="shared" si="0"/>
        <v>24471.999999999996</v>
      </c>
      <c r="J30" s="53"/>
      <c r="K30" s="7" t="s">
        <v>100</v>
      </c>
      <c r="L30" s="7" t="s">
        <v>174</v>
      </c>
      <c r="M30" s="500"/>
      <c r="N30" s="2"/>
      <c r="O30" s="2"/>
      <c r="P30" s="2"/>
      <c r="Q30" s="2"/>
      <c r="R30" s="2"/>
      <c r="S30" s="2"/>
      <c r="T30" s="2"/>
      <c r="U30" s="2"/>
      <c r="V30" s="2"/>
      <c r="W30" s="2"/>
      <c r="X30" s="2"/>
      <c r="Y30" s="2"/>
      <c r="Z30" s="2"/>
      <c r="AA30" s="2"/>
      <c r="AB30" s="2"/>
      <c r="AC30" s="2"/>
      <c r="AD30" s="2"/>
      <c r="AE30" s="2"/>
      <c r="AF30" s="2"/>
      <c r="AG30" s="2"/>
      <c r="AH30" s="2"/>
      <c r="AI30" s="2"/>
    </row>
    <row r="31" spans="1:35" ht="15.75" x14ac:dyDescent="0.25">
      <c r="A31" s="8" t="s">
        <v>65</v>
      </c>
      <c r="B31" s="93"/>
      <c r="D31" s="8"/>
      <c r="E31" s="3">
        <f>E13*5</f>
        <v>79690</v>
      </c>
      <c r="G31" s="4">
        <f>5/60</f>
        <v>8.3333333333333329E-2</v>
      </c>
      <c r="H31" s="4">
        <f t="shared" si="1"/>
        <v>1.2499999999999999E-2</v>
      </c>
      <c r="I31" s="53">
        <f t="shared" si="0"/>
        <v>7636.958333333333</v>
      </c>
      <c r="J31" s="53"/>
      <c r="K31" s="7"/>
      <c r="L31" s="7" t="s">
        <v>150</v>
      </c>
      <c r="M31" s="42"/>
      <c r="N31" s="45"/>
      <c r="O31" s="45"/>
      <c r="P31" s="45"/>
      <c r="Q31" s="45"/>
      <c r="R31" s="45"/>
      <c r="S31" s="45"/>
      <c r="T31" s="45"/>
      <c r="U31" s="45"/>
      <c r="V31" s="45"/>
      <c r="W31" s="45"/>
      <c r="X31" s="45"/>
      <c r="Y31" s="45"/>
      <c r="Z31" s="45"/>
      <c r="AA31" s="45"/>
      <c r="AB31" s="45"/>
      <c r="AC31" s="45"/>
      <c r="AD31" s="45"/>
      <c r="AE31" s="45"/>
      <c r="AF31" s="45"/>
      <c r="AG31" s="45"/>
      <c r="AH31" s="45"/>
      <c r="AI31" s="45"/>
    </row>
    <row r="32" spans="1:35" ht="50.25" customHeight="1" x14ac:dyDescent="0.3">
      <c r="A32" s="56" t="s">
        <v>194</v>
      </c>
      <c r="B32" s="93"/>
      <c r="D32" s="8"/>
      <c r="E32" s="3"/>
      <c r="I32" s="112">
        <f>I5+I10+I11+I13+I15+I17+I19+I20+I24+I25+I26+I27+I28+I29+I30+I31</f>
        <v>612065.36143731489</v>
      </c>
      <c r="J32" s="54"/>
      <c r="K32" s="7"/>
      <c r="L32" s="7"/>
      <c r="M32" s="51"/>
      <c r="N32" s="45"/>
      <c r="O32" s="45"/>
      <c r="P32" s="45"/>
      <c r="Q32" s="45"/>
      <c r="R32" s="45"/>
      <c r="S32" s="45"/>
      <c r="T32" s="45"/>
      <c r="U32" s="45"/>
      <c r="V32" s="45"/>
      <c r="W32" s="45"/>
      <c r="X32" s="45"/>
      <c r="Y32" s="45"/>
      <c r="Z32" s="45"/>
      <c r="AA32" s="45"/>
      <c r="AB32" s="45"/>
      <c r="AC32" s="45"/>
      <c r="AD32" s="45"/>
      <c r="AE32" s="45"/>
      <c r="AF32" s="45"/>
      <c r="AG32" s="45"/>
      <c r="AH32" s="45"/>
      <c r="AI32" s="45"/>
    </row>
    <row r="33" spans="1:35" ht="21" x14ac:dyDescent="0.35">
      <c r="A33" s="20" t="s">
        <v>9</v>
      </c>
      <c r="B33" s="97"/>
      <c r="C33" s="20"/>
      <c r="D33" s="20"/>
      <c r="E33" s="20"/>
      <c r="F33" s="20"/>
      <c r="G33" s="20"/>
      <c r="H33" s="20"/>
      <c r="I33" s="20"/>
      <c r="J33" s="20"/>
      <c r="K33" s="20"/>
      <c r="L33" s="39"/>
      <c r="M33" s="16"/>
      <c r="N33" s="2"/>
      <c r="O33" s="2"/>
      <c r="P33" s="2"/>
      <c r="Q33" s="2"/>
      <c r="R33" s="2"/>
      <c r="S33" s="2"/>
      <c r="T33" s="2"/>
      <c r="U33" s="2"/>
      <c r="V33" s="2"/>
      <c r="W33" s="2"/>
      <c r="X33" s="2"/>
      <c r="Y33" s="2"/>
      <c r="Z33" s="2"/>
      <c r="AA33" s="2"/>
      <c r="AB33" s="2"/>
      <c r="AC33" s="2"/>
      <c r="AD33" s="2"/>
      <c r="AE33" s="2"/>
      <c r="AF33" s="2"/>
      <c r="AG33" s="2"/>
      <c r="AH33" s="2"/>
      <c r="AI33" s="2"/>
    </row>
    <row r="34" spans="1:35" ht="15.75" x14ac:dyDescent="0.25">
      <c r="A34" s="4" t="s">
        <v>60</v>
      </c>
      <c r="B34" s="94">
        <v>5325</v>
      </c>
      <c r="C34" s="3">
        <v>5680</v>
      </c>
      <c r="D34" s="3">
        <f>C34</f>
        <v>5680</v>
      </c>
      <c r="I34" s="53"/>
      <c r="J34" s="53"/>
      <c r="K34" s="3"/>
      <c r="L34" s="3"/>
      <c r="N34" s="2"/>
      <c r="O34" s="2"/>
      <c r="P34" s="2"/>
      <c r="Q34" s="2"/>
      <c r="R34" s="2"/>
      <c r="S34" s="2"/>
      <c r="T34" s="2"/>
      <c r="U34" s="2"/>
      <c r="V34" s="2"/>
      <c r="W34" s="2"/>
      <c r="X34" s="2"/>
      <c r="Y34" s="2"/>
      <c r="Z34" s="2"/>
      <c r="AA34" s="2"/>
      <c r="AB34" s="2"/>
      <c r="AC34" s="2"/>
      <c r="AD34" s="2"/>
      <c r="AE34" s="2"/>
      <c r="AF34" s="2"/>
      <c r="AG34" s="2"/>
      <c r="AH34" s="2"/>
      <c r="AI34" s="2"/>
    </row>
    <row r="35" spans="1:35" ht="45" x14ac:dyDescent="0.25">
      <c r="A35" s="8" t="s">
        <v>10</v>
      </c>
      <c r="B35" s="93"/>
      <c r="C35" s="3"/>
      <c r="D35" s="8"/>
      <c r="E35" s="114">
        <v>0</v>
      </c>
      <c r="F35" s="7" t="s">
        <v>39</v>
      </c>
      <c r="G35" s="52">
        <f>3.12/144</f>
        <v>2.1666666666666667E-2</v>
      </c>
      <c r="H35" s="4">
        <f>G35*60%</f>
        <v>1.2999999999999999E-2</v>
      </c>
      <c r="I35" s="53">
        <f t="shared" si="0"/>
        <v>0</v>
      </c>
      <c r="J35" s="53"/>
      <c r="K35" s="3" t="s">
        <v>35</v>
      </c>
      <c r="L35" s="7" t="s">
        <v>254</v>
      </c>
      <c r="N35" s="2"/>
      <c r="O35" s="2"/>
      <c r="P35" s="2"/>
      <c r="Q35" s="2"/>
      <c r="R35" s="2"/>
      <c r="S35" s="2"/>
      <c r="T35" s="2"/>
      <c r="U35" s="2"/>
      <c r="V35" s="2"/>
      <c r="W35" s="2"/>
      <c r="X35" s="2"/>
      <c r="Y35" s="2"/>
      <c r="Z35" s="2"/>
      <c r="AA35" s="2"/>
      <c r="AB35" s="2"/>
      <c r="AC35" s="2"/>
      <c r="AD35" s="2"/>
      <c r="AE35" s="2"/>
      <c r="AF35" s="2"/>
      <c r="AG35" s="2"/>
      <c r="AH35" s="2"/>
      <c r="AI35" s="2"/>
    </row>
    <row r="36" spans="1:35" ht="30" x14ac:dyDescent="0.25">
      <c r="A36" s="8" t="s">
        <v>11</v>
      </c>
      <c r="B36" s="93"/>
      <c r="C36" s="3"/>
      <c r="D36" s="8"/>
      <c r="E36" s="4">
        <v>0</v>
      </c>
      <c r="G36" s="4">
        <f>0.53</f>
        <v>0.53</v>
      </c>
      <c r="H36" s="4">
        <f>G36*60%</f>
        <v>0.318</v>
      </c>
      <c r="I36" s="53">
        <f t="shared" si="0"/>
        <v>0</v>
      </c>
      <c r="J36" s="53"/>
      <c r="K36" s="4" t="s">
        <v>30</v>
      </c>
      <c r="L36" s="7" t="s">
        <v>255</v>
      </c>
      <c r="N36" s="2"/>
      <c r="O36" s="2"/>
      <c r="P36" s="2"/>
      <c r="Q36" s="2"/>
      <c r="R36" s="2"/>
      <c r="S36" s="2"/>
      <c r="T36" s="2"/>
      <c r="U36" s="2"/>
      <c r="V36" s="2"/>
      <c r="W36" s="2"/>
      <c r="X36" s="2"/>
      <c r="Y36" s="2"/>
      <c r="Z36" s="2"/>
      <c r="AA36" s="2"/>
      <c r="AB36" s="2"/>
      <c r="AC36" s="2"/>
      <c r="AD36" s="2"/>
      <c r="AE36" s="2"/>
      <c r="AF36" s="2"/>
      <c r="AG36" s="2"/>
      <c r="AH36" s="2"/>
      <c r="AI36" s="2"/>
    </row>
    <row r="37" spans="1:35" ht="45" x14ac:dyDescent="0.25">
      <c r="A37" s="8" t="s">
        <v>12</v>
      </c>
      <c r="B37" s="93"/>
      <c r="C37" s="3"/>
      <c r="D37" s="8"/>
      <c r="E37" s="4">
        <f>E35/100*20</f>
        <v>0</v>
      </c>
      <c r="F37" s="7" t="s">
        <v>43</v>
      </c>
      <c r="G37" s="7">
        <f>47/1000</f>
        <v>4.7E-2</v>
      </c>
      <c r="H37" s="4">
        <f>G37*60%</f>
        <v>2.8199999999999999E-2</v>
      </c>
      <c r="I37" s="53">
        <f t="shared" si="0"/>
        <v>0</v>
      </c>
      <c r="J37" s="53"/>
      <c r="K37" s="7" t="s">
        <v>43</v>
      </c>
      <c r="L37" s="7" t="s">
        <v>130</v>
      </c>
      <c r="N37" s="2"/>
      <c r="O37" s="2"/>
      <c r="P37" s="2"/>
      <c r="Q37" s="2"/>
      <c r="R37" s="2"/>
      <c r="S37" s="2"/>
      <c r="T37" s="2"/>
      <c r="U37" s="2"/>
      <c r="V37" s="2"/>
      <c r="W37" s="2"/>
      <c r="X37" s="2"/>
      <c r="Y37" s="2"/>
      <c r="Z37" s="2"/>
      <c r="AA37" s="2"/>
      <c r="AB37" s="2"/>
      <c r="AC37" s="2"/>
      <c r="AD37" s="2"/>
      <c r="AE37" s="2"/>
      <c r="AF37" s="2"/>
      <c r="AG37" s="2"/>
      <c r="AH37" s="2"/>
      <c r="AI37" s="2"/>
    </row>
    <row r="38" spans="1:35" ht="30" x14ac:dyDescent="0.25">
      <c r="A38" s="8" t="s">
        <v>31</v>
      </c>
      <c r="B38" s="98">
        <v>4790</v>
      </c>
      <c r="C38" s="3">
        <v>5110</v>
      </c>
      <c r="D38" s="43">
        <f>C38/2</f>
        <v>2555</v>
      </c>
      <c r="E38" s="113">
        <f>C38*1.25</f>
        <v>6387.5</v>
      </c>
      <c r="I38" s="53"/>
      <c r="J38" s="53"/>
      <c r="L38" s="4" t="s">
        <v>256</v>
      </c>
      <c r="N38" s="2"/>
      <c r="O38" s="2"/>
      <c r="P38" s="2"/>
      <c r="Q38" s="2"/>
      <c r="R38" s="2"/>
      <c r="S38" s="2"/>
      <c r="T38" s="2"/>
      <c r="U38" s="2"/>
      <c r="V38" s="2"/>
      <c r="W38" s="2"/>
      <c r="X38" s="2"/>
      <c r="Y38" s="2"/>
      <c r="Z38" s="2"/>
      <c r="AA38" s="2"/>
      <c r="AB38" s="2"/>
      <c r="AC38" s="2"/>
      <c r="AD38" s="2"/>
      <c r="AE38" s="2"/>
      <c r="AF38" s="2"/>
      <c r="AG38" s="2"/>
      <c r="AH38" s="2"/>
      <c r="AI38" s="2"/>
    </row>
    <row r="39" spans="1:35" ht="30" x14ac:dyDescent="0.25">
      <c r="A39" s="4" t="s">
        <v>1</v>
      </c>
      <c r="C39" s="3"/>
      <c r="E39" s="3">
        <f>E38/100*80</f>
        <v>5110</v>
      </c>
      <c r="F39" s="3"/>
      <c r="G39" s="4">
        <v>3.75</v>
      </c>
      <c r="H39" s="4">
        <f>G39*15%</f>
        <v>0.5625</v>
      </c>
      <c r="I39" s="53">
        <f t="shared" si="0"/>
        <v>22036.875</v>
      </c>
      <c r="J39" s="53"/>
      <c r="K39" s="3" t="s">
        <v>33</v>
      </c>
      <c r="L39" s="7" t="s">
        <v>178</v>
      </c>
      <c r="N39" s="2"/>
      <c r="O39" s="2"/>
      <c r="P39" s="2"/>
      <c r="Q39" s="2"/>
      <c r="R39" s="2"/>
      <c r="S39" s="2"/>
      <c r="T39" s="2"/>
      <c r="U39" s="2"/>
      <c r="V39" s="2"/>
      <c r="W39" s="2"/>
      <c r="X39" s="2"/>
      <c r="Y39" s="2"/>
      <c r="Z39" s="2"/>
      <c r="AA39" s="2"/>
      <c r="AB39" s="2"/>
      <c r="AC39" s="2"/>
      <c r="AD39" s="2"/>
      <c r="AE39" s="2"/>
      <c r="AF39" s="2"/>
      <c r="AG39" s="2"/>
      <c r="AH39" s="2"/>
      <c r="AI39" s="2"/>
    </row>
    <row r="40" spans="1:35" ht="30" x14ac:dyDescent="0.25">
      <c r="A40" s="8" t="s">
        <v>36</v>
      </c>
      <c r="B40" s="93"/>
      <c r="C40" s="3"/>
      <c r="D40" s="8"/>
      <c r="E40" s="3">
        <f>E38/100*20</f>
        <v>1277.5</v>
      </c>
      <c r="F40" s="3"/>
      <c r="I40" s="53"/>
      <c r="J40" s="53"/>
      <c r="K40" s="3" t="s">
        <v>34</v>
      </c>
      <c r="L40" s="7" t="s">
        <v>177</v>
      </c>
      <c r="N40" s="2"/>
      <c r="O40" s="2"/>
      <c r="P40" s="2"/>
      <c r="Q40" s="2"/>
      <c r="R40" s="2"/>
      <c r="S40" s="2"/>
      <c r="T40" s="2"/>
      <c r="U40" s="2"/>
      <c r="V40" s="2"/>
      <c r="W40" s="2"/>
      <c r="X40" s="2"/>
      <c r="Y40" s="2"/>
      <c r="Z40" s="2"/>
      <c r="AA40" s="2"/>
      <c r="AB40" s="2"/>
      <c r="AC40" s="2"/>
      <c r="AD40" s="2"/>
      <c r="AE40" s="2"/>
      <c r="AF40" s="2"/>
      <c r="AG40" s="2"/>
      <c r="AH40" s="2"/>
      <c r="AI40" s="2"/>
    </row>
    <row r="41" spans="1:35" ht="75" x14ac:dyDescent="0.25">
      <c r="A41" s="15" t="s">
        <v>55</v>
      </c>
      <c r="B41" s="93"/>
      <c r="C41" s="3"/>
      <c r="D41" s="8"/>
      <c r="E41" s="3">
        <f>E40+E39*2%</f>
        <v>1379.7</v>
      </c>
      <c r="F41" s="3"/>
      <c r="G41" s="4">
        <f>41/90</f>
        <v>0.45555555555555555</v>
      </c>
      <c r="H41" s="4">
        <f t="shared" ref="H41:H46" si="2">G41*15%</f>
        <v>6.8333333333333329E-2</v>
      </c>
      <c r="I41" s="53">
        <f t="shared" si="0"/>
        <v>722.80949999999996</v>
      </c>
      <c r="J41" s="53"/>
      <c r="K41" s="7" t="s">
        <v>59</v>
      </c>
      <c r="L41" s="7" t="s">
        <v>165</v>
      </c>
      <c r="N41" s="2"/>
      <c r="O41" s="2"/>
      <c r="P41" s="2"/>
      <c r="Q41" s="2"/>
      <c r="R41" s="2"/>
      <c r="S41" s="2"/>
      <c r="T41" s="2"/>
      <c r="U41" s="2"/>
      <c r="V41" s="2"/>
      <c r="W41" s="2"/>
      <c r="X41" s="2"/>
      <c r="Y41" s="2"/>
      <c r="Z41" s="2"/>
      <c r="AA41" s="2"/>
      <c r="AB41" s="2"/>
      <c r="AC41" s="2"/>
      <c r="AD41" s="2"/>
      <c r="AE41" s="2"/>
      <c r="AF41" s="2"/>
      <c r="AG41" s="2"/>
      <c r="AH41" s="2"/>
      <c r="AI41" s="2"/>
    </row>
    <row r="42" spans="1:35" ht="45" x14ac:dyDescent="0.25">
      <c r="A42" s="8" t="s">
        <v>37</v>
      </c>
      <c r="B42" s="93"/>
      <c r="C42" s="3"/>
      <c r="D42" s="8"/>
      <c r="E42" s="3">
        <f>E40*2.1%</f>
        <v>26.827500000000001</v>
      </c>
      <c r="I42" s="53"/>
      <c r="J42" s="53"/>
      <c r="K42" s="7" t="s">
        <v>53</v>
      </c>
      <c r="L42" s="7" t="s">
        <v>166</v>
      </c>
      <c r="N42" s="2"/>
      <c r="O42" s="2"/>
      <c r="P42" s="2"/>
      <c r="Q42" s="2"/>
      <c r="R42" s="2"/>
      <c r="S42" s="2"/>
      <c r="T42" s="2"/>
      <c r="U42" s="2"/>
      <c r="V42" s="2"/>
      <c r="W42" s="2"/>
      <c r="X42" s="2"/>
      <c r="Y42" s="2"/>
      <c r="Z42" s="2"/>
      <c r="AA42" s="2"/>
      <c r="AB42" s="2"/>
      <c r="AC42" s="2"/>
      <c r="AD42" s="2"/>
      <c r="AE42" s="2"/>
      <c r="AF42" s="2"/>
      <c r="AG42" s="2"/>
      <c r="AH42" s="2"/>
      <c r="AI42" s="2"/>
    </row>
    <row r="43" spans="1:35" ht="90" x14ac:dyDescent="0.25">
      <c r="A43" s="15" t="s">
        <v>56</v>
      </c>
      <c r="B43" s="93"/>
      <c r="C43" s="3"/>
      <c r="D43" s="8"/>
      <c r="E43" s="3">
        <f>E42+E39*2%</f>
        <v>129.0275</v>
      </c>
      <c r="G43" s="4">
        <f>126/90</f>
        <v>1.4</v>
      </c>
      <c r="H43" s="4">
        <f t="shared" si="2"/>
        <v>0.21</v>
      </c>
      <c r="I43" s="53">
        <f t="shared" si="0"/>
        <v>207.734275</v>
      </c>
      <c r="J43" s="53"/>
      <c r="K43" s="7" t="s">
        <v>59</v>
      </c>
      <c r="L43" s="7" t="s">
        <v>167</v>
      </c>
      <c r="N43" s="2"/>
      <c r="O43" s="2"/>
      <c r="P43" s="2"/>
      <c r="Q43" s="2"/>
      <c r="R43" s="2"/>
      <c r="S43" s="2"/>
      <c r="T43" s="2"/>
      <c r="U43" s="2"/>
      <c r="V43" s="2"/>
      <c r="W43" s="2"/>
      <c r="X43" s="2"/>
      <c r="Y43" s="2"/>
      <c r="Z43" s="2"/>
      <c r="AA43" s="2"/>
      <c r="AB43" s="2"/>
      <c r="AC43" s="2"/>
      <c r="AD43" s="2"/>
      <c r="AE43" s="2"/>
      <c r="AF43" s="2"/>
      <c r="AG43" s="2"/>
      <c r="AH43" s="2"/>
      <c r="AI43" s="2"/>
    </row>
    <row r="44" spans="1:35" ht="45" x14ac:dyDescent="0.25">
      <c r="A44" s="8" t="s">
        <v>38</v>
      </c>
      <c r="B44" s="93"/>
      <c r="C44" s="3"/>
      <c r="D44" s="8"/>
      <c r="E44" s="3">
        <f>E40*2%</f>
        <v>25.55</v>
      </c>
      <c r="I44" s="53"/>
      <c r="J44" s="53"/>
      <c r="K44" s="7" t="s">
        <v>54</v>
      </c>
      <c r="L44" s="7" t="s">
        <v>168</v>
      </c>
      <c r="N44" s="2"/>
      <c r="O44" s="2"/>
      <c r="P44" s="2"/>
      <c r="Q44" s="2"/>
      <c r="R44" s="2"/>
      <c r="S44" s="2"/>
      <c r="T44" s="2"/>
      <c r="U44" s="2"/>
      <c r="V44" s="2"/>
      <c r="W44" s="2"/>
      <c r="X44" s="2"/>
      <c r="Y44" s="2"/>
      <c r="Z44" s="2"/>
      <c r="AA44" s="2"/>
      <c r="AB44" s="2"/>
      <c r="AC44" s="2"/>
      <c r="AD44" s="2"/>
      <c r="AE44" s="2"/>
      <c r="AF44" s="2"/>
      <c r="AG44" s="2"/>
      <c r="AH44" s="2"/>
      <c r="AI44" s="2"/>
    </row>
    <row r="45" spans="1:35" ht="90" x14ac:dyDescent="0.25">
      <c r="A45" s="15" t="s">
        <v>57</v>
      </c>
      <c r="B45" s="93"/>
      <c r="C45" s="3"/>
      <c r="D45" s="8"/>
      <c r="E45" s="3">
        <f>E44+E39*2%</f>
        <v>127.75</v>
      </c>
      <c r="G45" s="4">
        <f>213/90</f>
        <v>2.3666666666666667</v>
      </c>
      <c r="H45" s="4">
        <f t="shared" si="2"/>
        <v>0.35499999999999998</v>
      </c>
      <c r="I45" s="53">
        <f t="shared" si="0"/>
        <v>347.69291666666669</v>
      </c>
      <c r="J45" s="53"/>
      <c r="K45" s="7" t="s">
        <v>59</v>
      </c>
      <c r="L45" s="7" t="s">
        <v>175</v>
      </c>
      <c r="N45" s="2"/>
      <c r="O45" s="2"/>
      <c r="P45" s="2"/>
      <c r="Q45" s="2"/>
      <c r="R45" s="2"/>
      <c r="S45" s="2"/>
      <c r="T45" s="2"/>
      <c r="U45" s="2"/>
      <c r="V45" s="2"/>
      <c r="W45" s="2"/>
      <c r="X45" s="2"/>
      <c r="Y45" s="2"/>
      <c r="Z45" s="2"/>
      <c r="AA45" s="2"/>
      <c r="AB45" s="2"/>
      <c r="AC45" s="2"/>
      <c r="AD45" s="2"/>
      <c r="AE45" s="2"/>
      <c r="AF45" s="2"/>
      <c r="AG45" s="2"/>
      <c r="AH45" s="2"/>
      <c r="AI45" s="2"/>
    </row>
    <row r="46" spans="1:35" ht="15.75" x14ac:dyDescent="0.25">
      <c r="A46" s="8" t="s">
        <v>65</v>
      </c>
      <c r="B46" s="93"/>
      <c r="C46" s="3"/>
      <c r="D46" s="8"/>
      <c r="E46" s="3">
        <f>E39*5</f>
        <v>25550</v>
      </c>
      <c r="G46" s="4">
        <f>5/60</f>
        <v>8.3333333333333329E-2</v>
      </c>
      <c r="H46" s="4">
        <f t="shared" si="2"/>
        <v>1.2499999999999999E-2</v>
      </c>
      <c r="I46" s="53">
        <f t="shared" si="0"/>
        <v>2448.5416666666665</v>
      </c>
      <c r="J46" s="53"/>
      <c r="K46" s="7"/>
      <c r="L46" s="7" t="s">
        <v>150</v>
      </c>
      <c r="M46" s="42"/>
      <c r="N46" s="45"/>
      <c r="O46" s="45"/>
      <c r="P46" s="45"/>
      <c r="Q46" s="45"/>
      <c r="R46" s="45"/>
      <c r="S46" s="45"/>
      <c r="T46" s="45"/>
      <c r="U46" s="45"/>
      <c r="V46" s="45"/>
      <c r="W46" s="45"/>
      <c r="X46" s="45"/>
      <c r="Y46" s="45"/>
      <c r="Z46" s="45"/>
      <c r="AA46" s="45"/>
      <c r="AB46" s="45"/>
      <c r="AC46" s="45"/>
      <c r="AD46" s="45"/>
      <c r="AE46" s="45"/>
      <c r="AF46" s="45"/>
      <c r="AG46" s="45"/>
      <c r="AH46" s="45"/>
      <c r="AI46" s="45"/>
    </row>
    <row r="47" spans="1:35" ht="33" customHeight="1" x14ac:dyDescent="0.3">
      <c r="A47" s="56" t="s">
        <v>195</v>
      </c>
      <c r="B47" s="93"/>
      <c r="C47" s="3"/>
      <c r="D47" s="8"/>
      <c r="E47" s="3"/>
      <c r="I47" s="112">
        <f>I35+I36+I37+I39+I41+I43+I45+I46</f>
        <v>25763.653358333333</v>
      </c>
      <c r="J47" s="54"/>
      <c r="K47" s="7"/>
      <c r="L47" s="7"/>
      <c r="M47" s="51"/>
      <c r="N47" s="45"/>
      <c r="O47" s="45"/>
      <c r="P47" s="45"/>
      <c r="Q47" s="45"/>
      <c r="R47" s="45"/>
      <c r="S47" s="45"/>
      <c r="T47" s="45"/>
      <c r="U47" s="45"/>
      <c r="V47" s="45"/>
      <c r="W47" s="45"/>
      <c r="X47" s="45"/>
      <c r="Y47" s="45"/>
      <c r="Z47" s="45"/>
      <c r="AA47" s="45"/>
      <c r="AB47" s="45"/>
      <c r="AC47" s="45"/>
      <c r="AD47" s="45"/>
      <c r="AE47" s="45"/>
      <c r="AF47" s="45"/>
      <c r="AG47" s="45"/>
      <c r="AH47" s="45"/>
      <c r="AI47" s="45"/>
    </row>
    <row r="48" spans="1:35" ht="21" x14ac:dyDescent="0.35">
      <c r="A48" s="20" t="s">
        <v>13</v>
      </c>
      <c r="B48" s="97"/>
      <c r="C48" s="20"/>
      <c r="D48" s="20"/>
      <c r="E48" s="20"/>
      <c r="F48" s="20"/>
      <c r="G48" s="20"/>
      <c r="H48" s="20"/>
      <c r="I48" s="20"/>
      <c r="J48" s="20"/>
      <c r="K48" s="20"/>
      <c r="L48" s="20"/>
      <c r="M48" s="20"/>
      <c r="N48" s="2"/>
      <c r="O48" s="2"/>
      <c r="P48" s="2"/>
      <c r="Q48" s="2"/>
      <c r="R48" s="2"/>
      <c r="S48" s="2"/>
      <c r="T48" s="2"/>
      <c r="U48" s="2"/>
      <c r="V48" s="2"/>
      <c r="W48" s="2"/>
      <c r="X48" s="2"/>
      <c r="Y48" s="2"/>
      <c r="Z48" s="2"/>
      <c r="AA48" s="2"/>
      <c r="AB48" s="2"/>
      <c r="AC48" s="2"/>
      <c r="AD48" s="2"/>
      <c r="AE48" s="2"/>
      <c r="AF48" s="2"/>
      <c r="AG48" s="2"/>
      <c r="AH48" s="2"/>
      <c r="AI48" s="2"/>
    </row>
    <row r="49" spans="1:35" ht="45" x14ac:dyDescent="0.25">
      <c r="A49" s="1" t="s">
        <v>60</v>
      </c>
      <c r="B49" s="94">
        <v>9260</v>
      </c>
      <c r="C49" s="31">
        <v>10940</v>
      </c>
      <c r="D49" s="46">
        <f>C49</f>
        <v>10940</v>
      </c>
      <c r="E49" s="1"/>
      <c r="F49" s="1"/>
      <c r="G49" s="1"/>
      <c r="H49" s="1"/>
      <c r="I49" s="53"/>
      <c r="J49" s="53"/>
      <c r="K49" s="1"/>
      <c r="L49" s="1"/>
      <c r="M49" s="7" t="s">
        <v>257</v>
      </c>
      <c r="N49" s="2"/>
      <c r="O49" s="2"/>
      <c r="P49" s="2"/>
      <c r="Q49" s="2"/>
      <c r="R49" s="2"/>
      <c r="S49" s="2"/>
      <c r="T49" s="2"/>
      <c r="U49" s="2"/>
      <c r="V49" s="2"/>
      <c r="W49" s="2"/>
      <c r="X49" s="2"/>
      <c r="Y49" s="2"/>
      <c r="Z49" s="2"/>
      <c r="AA49" s="2"/>
      <c r="AB49" s="2"/>
      <c r="AC49" s="2"/>
      <c r="AD49" s="2"/>
      <c r="AE49" s="2"/>
      <c r="AF49" s="2"/>
      <c r="AG49" s="2"/>
      <c r="AH49" s="2"/>
      <c r="AI49" s="2"/>
    </row>
    <row r="50" spans="1:35" ht="45" x14ac:dyDescent="0.25">
      <c r="A50" s="8" t="s">
        <v>10</v>
      </c>
      <c r="B50" s="93"/>
      <c r="D50" s="8"/>
      <c r="E50" s="114">
        <v>0</v>
      </c>
      <c r="F50" s="40" t="s">
        <v>40</v>
      </c>
      <c r="G50" s="52">
        <f>3.12/144</f>
        <v>2.1666666666666667E-2</v>
      </c>
      <c r="H50" s="4">
        <f>G50*60%</f>
        <v>1.2999999999999999E-2</v>
      </c>
      <c r="I50" s="53">
        <f t="shared" si="0"/>
        <v>0</v>
      </c>
      <c r="J50" s="53"/>
      <c r="K50" s="3" t="s">
        <v>41</v>
      </c>
      <c r="L50" s="7" t="s">
        <v>258</v>
      </c>
      <c r="N50" s="2"/>
      <c r="O50" s="2"/>
      <c r="P50" s="2"/>
      <c r="Q50" s="2"/>
      <c r="R50" s="2"/>
      <c r="S50" s="2"/>
      <c r="T50" s="2"/>
      <c r="U50" s="2"/>
      <c r="V50" s="2"/>
      <c r="W50" s="2"/>
      <c r="X50" s="2"/>
      <c r="Y50" s="2"/>
      <c r="Z50" s="2"/>
      <c r="AA50" s="2"/>
      <c r="AB50" s="2"/>
      <c r="AC50" s="2"/>
      <c r="AD50" s="2"/>
      <c r="AE50" s="2"/>
      <c r="AF50" s="2"/>
      <c r="AG50" s="2"/>
      <c r="AH50" s="2"/>
      <c r="AI50" s="2"/>
    </row>
    <row r="51" spans="1:35" ht="30" x14ac:dyDescent="0.25">
      <c r="A51" s="8" t="s">
        <v>12</v>
      </c>
      <c r="B51" s="93"/>
      <c r="D51" s="8"/>
      <c r="E51" s="114">
        <f>E50/100*20</f>
        <v>0</v>
      </c>
      <c r="F51" s="8" t="s">
        <v>42</v>
      </c>
      <c r="G51" s="7">
        <f>47/1000</f>
        <v>4.7E-2</v>
      </c>
      <c r="H51" s="4">
        <f>G51*60%</f>
        <v>2.8199999999999999E-2</v>
      </c>
      <c r="I51" s="53">
        <f t="shared" si="0"/>
        <v>0</v>
      </c>
      <c r="J51" s="53"/>
      <c r="K51" s="7" t="s">
        <v>43</v>
      </c>
      <c r="L51" s="7" t="s">
        <v>130</v>
      </c>
      <c r="N51" s="2"/>
      <c r="O51" s="2"/>
      <c r="P51" s="2"/>
      <c r="Q51" s="2"/>
      <c r="R51" s="2"/>
      <c r="S51" s="2"/>
      <c r="T51" s="2"/>
      <c r="U51" s="2"/>
      <c r="V51" s="2"/>
      <c r="W51" s="2"/>
      <c r="X51" s="2"/>
      <c r="Y51" s="2"/>
      <c r="Z51" s="2"/>
      <c r="AA51" s="2"/>
      <c r="AB51" s="2"/>
      <c r="AC51" s="2"/>
      <c r="AD51" s="2"/>
      <c r="AE51" s="2"/>
      <c r="AF51" s="2"/>
      <c r="AG51" s="2"/>
      <c r="AH51" s="2"/>
      <c r="AI51" s="2"/>
    </row>
    <row r="52" spans="1:35" ht="30" x14ac:dyDescent="0.25">
      <c r="A52" s="8" t="s">
        <v>31</v>
      </c>
      <c r="B52" s="93">
        <v>8330</v>
      </c>
      <c r="C52" s="4">
        <v>11440</v>
      </c>
      <c r="D52" s="8">
        <f>C52/2</f>
        <v>5720</v>
      </c>
      <c r="E52" s="4">
        <f>C52*1.25</f>
        <v>14300</v>
      </c>
      <c r="F52" s="3"/>
      <c r="G52" s="3"/>
      <c r="H52" s="3"/>
      <c r="I52" s="53"/>
      <c r="J52" s="53"/>
      <c r="K52" s="3"/>
      <c r="L52" s="4" t="s">
        <v>259</v>
      </c>
      <c r="N52" s="2"/>
      <c r="O52" s="2"/>
      <c r="P52" s="2"/>
      <c r="Q52" s="2"/>
      <c r="R52" s="2"/>
      <c r="S52" s="2"/>
      <c r="T52" s="2"/>
      <c r="U52" s="2"/>
      <c r="V52" s="2"/>
      <c r="W52" s="2"/>
      <c r="X52" s="2"/>
      <c r="Y52" s="2"/>
      <c r="Z52" s="2"/>
      <c r="AA52" s="2"/>
      <c r="AB52" s="2"/>
      <c r="AC52" s="2"/>
      <c r="AD52" s="2"/>
      <c r="AE52" s="2"/>
      <c r="AF52" s="2"/>
      <c r="AG52" s="2"/>
      <c r="AH52" s="2"/>
      <c r="AI52" s="2"/>
    </row>
    <row r="53" spans="1:35" ht="30" x14ac:dyDescent="0.25">
      <c r="A53" s="4" t="s">
        <v>1</v>
      </c>
      <c r="C53" s="3"/>
      <c r="E53" s="3">
        <f>E52/100*80</f>
        <v>11440</v>
      </c>
      <c r="G53" s="4">
        <v>3.75</v>
      </c>
      <c r="H53" s="4">
        <f>G53*15%</f>
        <v>0.5625</v>
      </c>
      <c r="I53" s="53">
        <f t="shared" si="0"/>
        <v>49335</v>
      </c>
      <c r="J53" s="53"/>
      <c r="K53" s="3" t="s">
        <v>33</v>
      </c>
      <c r="L53" s="7" t="s">
        <v>176</v>
      </c>
      <c r="N53" s="2"/>
      <c r="O53" s="2"/>
      <c r="P53" s="2"/>
      <c r="Q53" s="2"/>
      <c r="R53" s="2"/>
      <c r="S53" s="2"/>
      <c r="T53" s="2"/>
      <c r="U53" s="2"/>
      <c r="V53" s="2"/>
      <c r="W53" s="2"/>
      <c r="X53" s="2"/>
      <c r="Y53" s="2"/>
      <c r="Z53" s="2"/>
      <c r="AA53" s="2"/>
      <c r="AB53" s="2"/>
      <c r="AC53" s="2"/>
      <c r="AD53" s="2"/>
      <c r="AE53" s="2"/>
      <c r="AF53" s="2"/>
      <c r="AG53" s="2"/>
      <c r="AH53" s="2"/>
      <c r="AI53" s="2"/>
    </row>
    <row r="54" spans="1:35" ht="30" x14ac:dyDescent="0.25">
      <c r="A54" s="8" t="s">
        <v>36</v>
      </c>
      <c r="B54" s="93"/>
      <c r="C54" s="3"/>
      <c r="D54" s="8"/>
      <c r="E54" s="3">
        <f>E52/100*20</f>
        <v>2860</v>
      </c>
      <c r="I54" s="53"/>
      <c r="J54" s="53"/>
      <c r="K54" s="3" t="s">
        <v>34</v>
      </c>
      <c r="L54" s="7" t="s">
        <v>177</v>
      </c>
      <c r="N54" s="2"/>
      <c r="O54" s="2"/>
      <c r="P54" s="2"/>
      <c r="Q54" s="2"/>
      <c r="R54" s="2"/>
      <c r="S54" s="2"/>
      <c r="T54" s="2"/>
      <c r="U54" s="2"/>
      <c r="V54" s="2"/>
      <c r="W54" s="2"/>
      <c r="X54" s="2"/>
      <c r="Y54" s="2"/>
      <c r="Z54" s="2"/>
      <c r="AA54" s="2"/>
      <c r="AB54" s="2"/>
      <c r="AC54" s="2"/>
      <c r="AD54" s="2"/>
      <c r="AE54" s="2"/>
      <c r="AF54" s="2"/>
      <c r="AG54" s="2"/>
      <c r="AH54" s="2"/>
      <c r="AI54" s="2"/>
    </row>
    <row r="55" spans="1:35" ht="75" x14ac:dyDescent="0.25">
      <c r="A55" s="15" t="s">
        <v>55</v>
      </c>
      <c r="B55" s="93"/>
      <c r="C55" s="3"/>
      <c r="D55" s="8"/>
      <c r="E55" s="3">
        <f>E54+E53*6.6%</f>
        <v>3615.04</v>
      </c>
      <c r="G55" s="4">
        <f>41/90</f>
        <v>0.45555555555555555</v>
      </c>
      <c r="H55" s="4">
        <f t="shared" ref="H55:H60" si="3">G55*15%</f>
        <v>6.8333333333333329E-2</v>
      </c>
      <c r="I55" s="53">
        <f t="shared" si="0"/>
        <v>1893.8792888888888</v>
      </c>
      <c r="J55" s="53"/>
      <c r="K55" s="7" t="s">
        <v>59</v>
      </c>
      <c r="L55" s="7" t="s">
        <v>165</v>
      </c>
      <c r="N55" s="2"/>
      <c r="O55" s="2"/>
      <c r="P55" s="2"/>
      <c r="Q55" s="2"/>
      <c r="R55" s="2"/>
      <c r="S55" s="2"/>
      <c r="T55" s="2"/>
      <c r="U55" s="2"/>
      <c r="V55" s="2"/>
      <c r="W55" s="2"/>
      <c r="X55" s="2"/>
      <c r="Y55" s="2"/>
      <c r="Z55" s="2"/>
      <c r="AA55" s="2"/>
      <c r="AB55" s="2"/>
      <c r="AC55" s="2"/>
      <c r="AD55" s="2"/>
      <c r="AE55" s="2"/>
      <c r="AF55" s="2"/>
      <c r="AG55" s="2"/>
      <c r="AH55" s="2"/>
      <c r="AI55" s="2"/>
    </row>
    <row r="56" spans="1:35" ht="45" x14ac:dyDescent="0.25">
      <c r="A56" s="8" t="s">
        <v>37</v>
      </c>
      <c r="B56" s="93"/>
      <c r="D56" s="8"/>
      <c r="E56" s="3">
        <f>E54*6.9%</f>
        <v>197.34</v>
      </c>
      <c r="I56" s="53"/>
      <c r="J56" s="53"/>
      <c r="K56" s="7" t="s">
        <v>53</v>
      </c>
      <c r="L56" s="7" t="s">
        <v>166</v>
      </c>
      <c r="N56" s="2"/>
      <c r="O56" s="2"/>
      <c r="P56" s="2"/>
      <c r="Q56" s="2"/>
      <c r="R56" s="2"/>
      <c r="S56" s="2"/>
      <c r="T56" s="2"/>
      <c r="U56" s="2"/>
      <c r="V56" s="2"/>
      <c r="W56" s="2"/>
      <c r="X56" s="2"/>
      <c r="Y56" s="2"/>
      <c r="Z56" s="2"/>
      <c r="AA56" s="2"/>
      <c r="AB56" s="2"/>
      <c r="AC56" s="2"/>
      <c r="AD56" s="2"/>
      <c r="AE56" s="2"/>
      <c r="AF56" s="2"/>
      <c r="AG56" s="2"/>
      <c r="AH56" s="2"/>
      <c r="AI56" s="2"/>
    </row>
    <row r="57" spans="1:35" ht="90" x14ac:dyDescent="0.25">
      <c r="A57" s="15" t="s">
        <v>56</v>
      </c>
      <c r="B57" s="93"/>
      <c r="D57" s="8"/>
      <c r="E57" s="3">
        <f>E56+E53*6.6%</f>
        <v>952.38000000000011</v>
      </c>
      <c r="G57" s="4">
        <f>126/90</f>
        <v>1.4</v>
      </c>
      <c r="H57" s="4">
        <f t="shared" si="3"/>
        <v>0.21</v>
      </c>
      <c r="I57" s="53">
        <f t="shared" si="0"/>
        <v>1533.3318000000002</v>
      </c>
      <c r="J57" s="53"/>
      <c r="K57" s="7" t="s">
        <v>59</v>
      </c>
      <c r="L57" s="7" t="s">
        <v>167</v>
      </c>
      <c r="N57" s="2"/>
      <c r="O57" s="2"/>
      <c r="P57" s="2"/>
      <c r="Q57" s="2"/>
      <c r="R57" s="2"/>
      <c r="S57" s="2"/>
      <c r="T57" s="2"/>
      <c r="U57" s="2"/>
      <c r="V57" s="2"/>
      <c r="W57" s="2"/>
      <c r="X57" s="2"/>
      <c r="Y57" s="2"/>
      <c r="Z57" s="2"/>
      <c r="AA57" s="2"/>
      <c r="AB57" s="2"/>
      <c r="AC57" s="2"/>
      <c r="AD57" s="2"/>
      <c r="AE57" s="2"/>
      <c r="AF57" s="2"/>
      <c r="AG57" s="2"/>
      <c r="AH57" s="2"/>
      <c r="AI57" s="2"/>
    </row>
    <row r="58" spans="1:35" ht="45" x14ac:dyDescent="0.25">
      <c r="A58" s="8" t="s">
        <v>38</v>
      </c>
      <c r="B58" s="93"/>
      <c r="D58" s="8"/>
      <c r="E58" s="3">
        <f>E54*6.6%</f>
        <v>188.76000000000002</v>
      </c>
      <c r="I58" s="53"/>
      <c r="J58" s="53"/>
      <c r="K58" s="7" t="s">
        <v>54</v>
      </c>
      <c r="L58" s="7" t="s">
        <v>168</v>
      </c>
      <c r="N58" s="2"/>
      <c r="O58" s="2"/>
      <c r="P58" s="2"/>
      <c r="Q58" s="2"/>
      <c r="R58" s="2"/>
      <c r="S58" s="2"/>
      <c r="T58" s="2"/>
      <c r="U58" s="2"/>
      <c r="V58" s="2"/>
      <c r="W58" s="2"/>
      <c r="X58" s="2"/>
      <c r="Y58" s="2"/>
      <c r="Z58" s="2"/>
      <c r="AA58" s="2"/>
      <c r="AB58" s="2"/>
      <c r="AC58" s="2"/>
      <c r="AD58" s="2"/>
      <c r="AE58" s="2"/>
      <c r="AF58" s="2"/>
      <c r="AG58" s="2"/>
      <c r="AH58" s="2"/>
      <c r="AI58" s="2"/>
    </row>
    <row r="59" spans="1:35" ht="90" x14ac:dyDescent="0.25">
      <c r="A59" s="15" t="s">
        <v>57</v>
      </c>
      <c r="B59" s="93"/>
      <c r="D59" s="8"/>
      <c r="E59" s="3">
        <f>E58+E53*6.6%</f>
        <v>943.80000000000007</v>
      </c>
      <c r="G59" s="4">
        <f>213/90</f>
        <v>2.3666666666666667</v>
      </c>
      <c r="H59" s="4">
        <f t="shared" si="3"/>
        <v>0.35499999999999998</v>
      </c>
      <c r="I59" s="53">
        <f t="shared" si="0"/>
        <v>2568.7090000000003</v>
      </c>
      <c r="J59" s="53"/>
      <c r="K59" s="7" t="s">
        <v>59</v>
      </c>
      <c r="L59" s="7" t="s">
        <v>175</v>
      </c>
      <c r="N59" s="2"/>
      <c r="O59" s="2"/>
      <c r="P59" s="2"/>
      <c r="Q59" s="2"/>
      <c r="R59" s="2"/>
      <c r="S59" s="2"/>
      <c r="T59" s="2"/>
      <c r="U59" s="2"/>
      <c r="V59" s="2"/>
      <c r="W59" s="2"/>
      <c r="X59" s="2"/>
      <c r="Y59" s="2"/>
      <c r="Z59" s="2"/>
      <c r="AA59" s="2"/>
      <c r="AB59" s="2"/>
      <c r="AC59" s="2"/>
      <c r="AD59" s="2"/>
      <c r="AE59" s="2"/>
      <c r="AF59" s="2"/>
      <c r="AG59" s="2"/>
      <c r="AH59" s="2"/>
      <c r="AI59" s="2"/>
    </row>
    <row r="60" spans="1:35" ht="15.75" x14ac:dyDescent="0.25">
      <c r="A60" s="8" t="s">
        <v>65</v>
      </c>
      <c r="B60" s="93"/>
      <c r="D60" s="8"/>
      <c r="E60" s="3">
        <f>E53*5</f>
        <v>57200</v>
      </c>
      <c r="G60" s="4">
        <f>5/60</f>
        <v>8.3333333333333329E-2</v>
      </c>
      <c r="H60" s="4">
        <f t="shared" si="3"/>
        <v>1.2499999999999999E-2</v>
      </c>
      <c r="I60" s="53">
        <f t="shared" si="0"/>
        <v>5481.6666666666661</v>
      </c>
      <c r="J60" s="53"/>
      <c r="K60" s="7"/>
      <c r="L60" s="7" t="s">
        <v>150</v>
      </c>
      <c r="M60" s="42"/>
      <c r="N60" s="45"/>
      <c r="O60" s="45"/>
      <c r="P60" s="45"/>
      <c r="Q60" s="45"/>
      <c r="R60" s="45"/>
      <c r="S60" s="45"/>
      <c r="T60" s="45"/>
      <c r="U60" s="45"/>
      <c r="V60" s="45"/>
      <c r="W60" s="45"/>
      <c r="X60" s="45"/>
      <c r="Y60" s="45"/>
      <c r="Z60" s="45"/>
      <c r="AA60" s="45"/>
      <c r="AB60" s="45"/>
      <c r="AC60" s="45"/>
      <c r="AD60" s="45"/>
      <c r="AE60" s="45"/>
      <c r="AF60" s="45"/>
      <c r="AG60" s="45"/>
      <c r="AH60" s="45"/>
      <c r="AI60" s="45"/>
    </row>
    <row r="61" spans="1:35" ht="29.25" customHeight="1" x14ac:dyDescent="0.3">
      <c r="A61" s="56" t="s">
        <v>196</v>
      </c>
      <c r="B61" s="93"/>
      <c r="D61" s="8"/>
      <c r="E61" s="3"/>
      <c r="I61" s="112">
        <f>I50+I51+I53+I55+I57+I59+I60</f>
        <v>60812.586755555552</v>
      </c>
      <c r="J61" s="54"/>
      <c r="K61" s="7"/>
      <c r="L61" s="7"/>
      <c r="M61" s="51"/>
      <c r="N61" s="45"/>
      <c r="O61" s="45"/>
      <c r="P61" s="45"/>
      <c r="Q61" s="45"/>
      <c r="R61" s="45"/>
      <c r="S61" s="45"/>
      <c r="T61" s="45"/>
      <c r="U61" s="45"/>
      <c r="V61" s="45"/>
      <c r="W61" s="45"/>
      <c r="X61" s="45"/>
      <c r="Y61" s="45"/>
      <c r="Z61" s="45"/>
      <c r="AA61" s="45"/>
      <c r="AB61" s="45"/>
      <c r="AC61" s="45"/>
      <c r="AD61" s="45"/>
      <c r="AE61" s="45"/>
      <c r="AF61" s="45"/>
      <c r="AG61" s="45"/>
      <c r="AH61" s="45"/>
      <c r="AI61" s="45"/>
    </row>
    <row r="62" spans="1:35" ht="21" x14ac:dyDescent="0.35">
      <c r="A62" s="55" t="s">
        <v>14</v>
      </c>
      <c r="B62" s="99"/>
      <c r="C62" s="55"/>
      <c r="D62" s="55"/>
      <c r="E62" s="55"/>
      <c r="F62" s="55"/>
      <c r="G62" s="55"/>
      <c r="H62" s="55"/>
      <c r="I62" s="55"/>
      <c r="J62" s="55"/>
      <c r="K62" s="55"/>
      <c r="L62" s="55"/>
      <c r="M62" s="55"/>
      <c r="N62" s="2"/>
      <c r="O62" s="2"/>
      <c r="P62" s="2"/>
      <c r="Q62" s="2"/>
      <c r="R62" s="2"/>
      <c r="S62" s="2"/>
      <c r="T62" s="2"/>
      <c r="U62" s="2"/>
      <c r="V62" s="2"/>
      <c r="W62" s="2"/>
      <c r="X62" s="2"/>
      <c r="Y62" s="2"/>
      <c r="Z62" s="2"/>
      <c r="AA62" s="2"/>
      <c r="AB62" s="2"/>
      <c r="AC62" s="2"/>
      <c r="AD62" s="2"/>
      <c r="AE62" s="2"/>
      <c r="AF62" s="2"/>
      <c r="AG62" s="2"/>
      <c r="AH62" s="2"/>
      <c r="AI62" s="2"/>
    </row>
    <row r="63" spans="1:35" ht="30" x14ac:dyDescent="0.25">
      <c r="A63" s="5" t="s">
        <v>52</v>
      </c>
      <c r="B63" s="98" t="s">
        <v>179</v>
      </c>
      <c r="C63" s="5"/>
      <c r="D63" s="5"/>
      <c r="E63" s="5"/>
      <c r="F63" s="5"/>
      <c r="G63" s="5"/>
      <c r="H63" s="5"/>
      <c r="I63" s="53"/>
      <c r="J63" s="53"/>
      <c r="K63" s="5"/>
      <c r="L63" s="5"/>
      <c r="N63" s="2"/>
      <c r="O63" s="2"/>
      <c r="P63" s="2"/>
      <c r="Q63" s="2"/>
      <c r="R63" s="2"/>
      <c r="S63" s="2"/>
      <c r="T63" s="2"/>
      <c r="U63" s="2"/>
      <c r="V63" s="2"/>
      <c r="W63" s="2"/>
      <c r="X63" s="2"/>
      <c r="Y63" s="2"/>
      <c r="Z63" s="2"/>
      <c r="AA63" s="2"/>
      <c r="AB63" s="2"/>
      <c r="AC63" s="2"/>
      <c r="AD63" s="2"/>
      <c r="AE63" s="2"/>
      <c r="AF63" s="2"/>
      <c r="AG63" s="2"/>
      <c r="AH63" s="2"/>
      <c r="AI63" s="2"/>
    </row>
    <row r="64" spans="1:35" ht="30" x14ac:dyDescent="0.25">
      <c r="A64" s="8" t="s">
        <v>31</v>
      </c>
      <c r="B64" s="100">
        <v>5950</v>
      </c>
      <c r="C64" s="5">
        <v>6800</v>
      </c>
      <c r="D64" s="5">
        <f>C64/2</f>
        <v>3400</v>
      </c>
      <c r="E64" s="5">
        <f>C64*1.25</f>
        <v>8500</v>
      </c>
      <c r="F64" s="5"/>
      <c r="G64" s="5"/>
      <c r="H64" s="5"/>
      <c r="I64" s="53"/>
      <c r="J64" s="53"/>
      <c r="K64" s="5"/>
      <c r="L64" s="4" t="s">
        <v>260</v>
      </c>
      <c r="N64" s="2"/>
      <c r="O64" s="2"/>
      <c r="P64" s="2"/>
      <c r="Q64" s="2"/>
      <c r="R64" s="2"/>
      <c r="S64" s="2"/>
      <c r="T64" s="2"/>
      <c r="U64" s="2"/>
      <c r="V64" s="2"/>
      <c r="W64" s="2"/>
      <c r="X64" s="2"/>
      <c r="Y64" s="2"/>
      <c r="Z64" s="2"/>
      <c r="AA64" s="2"/>
      <c r="AB64" s="2"/>
      <c r="AC64" s="2"/>
      <c r="AD64" s="2"/>
      <c r="AE64" s="2"/>
      <c r="AF64" s="2"/>
      <c r="AG64" s="2"/>
      <c r="AH64" s="2"/>
      <c r="AI64" s="2"/>
    </row>
    <row r="65" spans="1:44" ht="15.75" x14ac:dyDescent="0.25">
      <c r="A65" s="8" t="s">
        <v>1</v>
      </c>
      <c r="B65" s="100"/>
      <c r="C65" s="5"/>
      <c r="D65" s="5"/>
      <c r="E65" s="5">
        <f>E64/100*60</f>
        <v>5100</v>
      </c>
      <c r="F65" s="5"/>
      <c r="G65" s="4">
        <v>3.75</v>
      </c>
      <c r="H65" s="4">
        <f>G65*15%</f>
        <v>0.5625</v>
      </c>
      <c r="I65" s="53">
        <f t="shared" si="0"/>
        <v>21993.75</v>
      </c>
      <c r="J65" s="53"/>
      <c r="K65" s="3" t="s">
        <v>84</v>
      </c>
      <c r="L65" s="7" t="s">
        <v>180</v>
      </c>
      <c r="N65" s="2"/>
      <c r="O65" s="2"/>
      <c r="P65" s="2"/>
      <c r="Q65" s="2"/>
      <c r="R65" s="2"/>
      <c r="S65" s="2"/>
      <c r="T65" s="2"/>
      <c r="U65" s="2"/>
      <c r="V65" s="2"/>
      <c r="W65" s="2"/>
      <c r="X65" s="2"/>
      <c r="Y65" s="2"/>
      <c r="Z65" s="2"/>
      <c r="AA65" s="2"/>
      <c r="AB65" s="2"/>
      <c r="AC65" s="2"/>
      <c r="AD65" s="2"/>
      <c r="AE65" s="2"/>
      <c r="AF65" s="2"/>
      <c r="AG65" s="2"/>
      <c r="AH65" s="2"/>
      <c r="AI65" s="2"/>
    </row>
    <row r="66" spans="1:44" ht="15.75" x14ac:dyDescent="0.25">
      <c r="A66" s="8" t="s">
        <v>36</v>
      </c>
      <c r="B66" s="93"/>
      <c r="C66" s="3"/>
      <c r="D66" s="8"/>
      <c r="E66" s="4">
        <f>E64/100*40</f>
        <v>3400</v>
      </c>
      <c r="I66" s="53"/>
      <c r="J66" s="53"/>
      <c r="K66" s="3" t="s">
        <v>85</v>
      </c>
      <c r="L66" s="7" t="s">
        <v>181</v>
      </c>
      <c r="N66" s="2"/>
      <c r="O66" s="2"/>
      <c r="P66" s="2"/>
      <c r="Q66" s="2"/>
      <c r="R66" s="2"/>
      <c r="S66" s="2"/>
      <c r="T66" s="2"/>
      <c r="U66" s="2"/>
      <c r="V66" s="2"/>
      <c r="W66" s="2"/>
      <c r="X66" s="2"/>
      <c r="Y66" s="2"/>
      <c r="Z66" s="2"/>
      <c r="AA66" s="2"/>
      <c r="AB66" s="2"/>
      <c r="AC66" s="2"/>
      <c r="AD66" s="2"/>
      <c r="AE66" s="2"/>
      <c r="AF66" s="2"/>
      <c r="AG66" s="2"/>
      <c r="AH66" s="2"/>
      <c r="AI66" s="2"/>
    </row>
    <row r="67" spans="1:44" ht="75" x14ac:dyDescent="0.25">
      <c r="A67" s="15" t="s">
        <v>55</v>
      </c>
      <c r="B67" s="93"/>
      <c r="C67" s="3"/>
      <c r="D67" s="8"/>
      <c r="E67" s="3">
        <f>E66+E65*11.3%</f>
        <v>3976.3</v>
      </c>
      <c r="G67" s="4">
        <f>41/90</f>
        <v>0.45555555555555555</v>
      </c>
      <c r="H67" s="4">
        <f t="shared" ref="H67:H72" si="4">G67*15%</f>
        <v>6.8333333333333329E-2</v>
      </c>
      <c r="I67" s="53">
        <f t="shared" si="0"/>
        <v>2083.1393888888888</v>
      </c>
      <c r="J67" s="53"/>
      <c r="K67" s="7" t="s">
        <v>59</v>
      </c>
      <c r="L67" s="7" t="s">
        <v>140</v>
      </c>
      <c r="N67" s="2"/>
      <c r="O67" s="2"/>
      <c r="P67" s="2"/>
      <c r="Q67" s="2"/>
      <c r="R67" s="2"/>
      <c r="S67" s="2"/>
      <c r="T67" s="2"/>
      <c r="U67" s="2"/>
      <c r="V67" s="2"/>
      <c r="W67" s="2"/>
      <c r="X67" s="2"/>
      <c r="Y67" s="2"/>
      <c r="Z67" s="2"/>
      <c r="AA67" s="2"/>
      <c r="AB67" s="2"/>
      <c r="AC67" s="2"/>
      <c r="AD67" s="2"/>
      <c r="AE67" s="2"/>
      <c r="AF67" s="2"/>
      <c r="AG67" s="2"/>
      <c r="AH67" s="2"/>
      <c r="AI67" s="2"/>
    </row>
    <row r="68" spans="1:44" ht="45" x14ac:dyDescent="0.25">
      <c r="A68" s="8" t="s">
        <v>37</v>
      </c>
      <c r="B68" s="93"/>
      <c r="D68" s="8"/>
      <c r="E68" s="3">
        <f>E66*11.8%</f>
        <v>401.20000000000005</v>
      </c>
      <c r="I68" s="53"/>
      <c r="J68" s="53"/>
      <c r="K68" s="7" t="s">
        <v>86</v>
      </c>
      <c r="L68" s="7" t="s">
        <v>141</v>
      </c>
      <c r="N68" s="2"/>
      <c r="O68" s="2"/>
      <c r="P68" s="2"/>
      <c r="Q68" s="2"/>
      <c r="R68" s="2"/>
      <c r="S68" s="2"/>
      <c r="T68" s="2"/>
      <c r="U68" s="2"/>
      <c r="V68" s="2"/>
      <c r="W68" s="2"/>
      <c r="X68" s="2"/>
      <c r="Y68" s="2"/>
      <c r="Z68" s="2"/>
      <c r="AA68" s="2"/>
      <c r="AB68" s="2"/>
      <c r="AC68" s="2"/>
      <c r="AD68" s="2"/>
      <c r="AE68" s="2"/>
      <c r="AF68" s="2"/>
      <c r="AG68" s="2"/>
      <c r="AH68" s="2"/>
      <c r="AI68" s="2"/>
    </row>
    <row r="69" spans="1:44" ht="90" x14ac:dyDescent="0.25">
      <c r="A69" s="15" t="s">
        <v>56</v>
      </c>
      <c r="B69" s="93"/>
      <c r="D69" s="8"/>
      <c r="E69" s="3">
        <f>E68+E65*11.3%</f>
        <v>977.50000000000011</v>
      </c>
      <c r="G69" s="4">
        <f>126/90</f>
        <v>1.4</v>
      </c>
      <c r="H69" s="4">
        <f t="shared" si="4"/>
        <v>0.21</v>
      </c>
      <c r="I69" s="53">
        <f t="shared" si="0"/>
        <v>1573.7750000000001</v>
      </c>
      <c r="J69" s="53"/>
      <c r="K69" s="7" t="s">
        <v>59</v>
      </c>
      <c r="L69" s="7" t="s">
        <v>142</v>
      </c>
      <c r="N69" s="2"/>
      <c r="O69" s="2"/>
      <c r="P69" s="2"/>
      <c r="Q69" s="2"/>
      <c r="R69" s="2"/>
      <c r="S69" s="2"/>
      <c r="T69" s="2"/>
      <c r="U69" s="2"/>
      <c r="V69" s="2"/>
      <c r="W69" s="2"/>
      <c r="X69" s="2"/>
      <c r="Y69" s="2"/>
      <c r="Z69" s="2"/>
      <c r="AA69" s="2"/>
      <c r="AB69" s="2"/>
      <c r="AC69" s="2"/>
      <c r="AD69" s="2"/>
      <c r="AE69" s="2"/>
      <c r="AF69" s="2"/>
      <c r="AG69" s="2"/>
      <c r="AH69" s="2"/>
      <c r="AI69" s="2"/>
    </row>
    <row r="70" spans="1:44" ht="45" x14ac:dyDescent="0.25">
      <c r="A70" s="8" t="s">
        <v>38</v>
      </c>
      <c r="B70" s="93"/>
      <c r="D70" s="8"/>
      <c r="E70" s="3">
        <f>E66*11.3%</f>
        <v>384.2</v>
      </c>
      <c r="I70" s="53"/>
      <c r="J70" s="53"/>
      <c r="K70" s="7" t="s">
        <v>87</v>
      </c>
      <c r="L70" s="7" t="s">
        <v>143</v>
      </c>
      <c r="N70" s="2"/>
      <c r="O70" s="2"/>
      <c r="P70" s="2"/>
      <c r="Q70" s="2"/>
      <c r="R70" s="2"/>
      <c r="S70" s="2"/>
      <c r="T70" s="2"/>
      <c r="U70" s="2"/>
      <c r="V70" s="2"/>
      <c r="W70" s="2"/>
      <c r="X70" s="2"/>
      <c r="Y70" s="2"/>
      <c r="Z70" s="2"/>
      <c r="AA70" s="2"/>
      <c r="AB70" s="2"/>
      <c r="AC70" s="2"/>
      <c r="AD70" s="2"/>
      <c r="AE70" s="2"/>
      <c r="AF70" s="2"/>
      <c r="AG70" s="2"/>
      <c r="AH70" s="2"/>
      <c r="AI70" s="2"/>
    </row>
    <row r="71" spans="1:44" ht="90" x14ac:dyDescent="0.25">
      <c r="A71" s="15" t="s">
        <v>57</v>
      </c>
      <c r="B71" s="93"/>
      <c r="D71" s="8"/>
      <c r="E71" s="3">
        <f>E70+E65*11.3%</f>
        <v>960.5</v>
      </c>
      <c r="G71" s="4">
        <f>213/90</f>
        <v>2.3666666666666667</v>
      </c>
      <c r="H71" s="4">
        <f t="shared" si="4"/>
        <v>0.35499999999999998</v>
      </c>
      <c r="I71" s="53">
        <f t="shared" si="0"/>
        <v>2614.1608333333334</v>
      </c>
      <c r="J71" s="53"/>
      <c r="K71" s="7" t="s">
        <v>59</v>
      </c>
      <c r="L71" s="7" t="s">
        <v>144</v>
      </c>
      <c r="N71" s="2"/>
      <c r="O71" s="2"/>
      <c r="P71" s="2"/>
      <c r="Q71" s="2"/>
      <c r="R71" s="2"/>
      <c r="S71" s="2"/>
      <c r="T71" s="2"/>
      <c r="U71" s="2"/>
      <c r="V71" s="2"/>
      <c r="W71" s="2"/>
      <c r="X71" s="2"/>
      <c r="Y71" s="2"/>
      <c r="Z71" s="2"/>
      <c r="AA71" s="2"/>
      <c r="AB71" s="2"/>
      <c r="AC71" s="2"/>
      <c r="AD71" s="2"/>
      <c r="AE71" s="2"/>
      <c r="AF71" s="2"/>
      <c r="AG71" s="2"/>
      <c r="AH71" s="2"/>
      <c r="AI71" s="2"/>
    </row>
    <row r="72" spans="1:44" ht="15.75" x14ac:dyDescent="0.25">
      <c r="A72" s="8" t="s">
        <v>65</v>
      </c>
      <c r="B72" s="93"/>
      <c r="D72" s="8"/>
      <c r="E72" s="3">
        <f>E65*5</f>
        <v>25500</v>
      </c>
      <c r="G72" s="4">
        <f>5/60</f>
        <v>8.3333333333333329E-2</v>
      </c>
      <c r="H72" s="4">
        <f t="shared" si="4"/>
        <v>1.2499999999999999E-2</v>
      </c>
      <c r="I72" s="53">
        <f t="shared" si="0"/>
        <v>2443.75</v>
      </c>
      <c r="J72" s="53"/>
      <c r="K72" s="7"/>
      <c r="L72" s="7" t="s">
        <v>150</v>
      </c>
      <c r="M72" s="42"/>
      <c r="N72" s="45"/>
      <c r="O72" s="45"/>
      <c r="P72" s="45"/>
      <c r="Q72" s="45"/>
      <c r="R72" s="45"/>
      <c r="S72" s="45"/>
      <c r="T72" s="45"/>
      <c r="U72" s="45"/>
      <c r="V72" s="45"/>
      <c r="W72" s="45"/>
      <c r="X72" s="45"/>
      <c r="Y72" s="45"/>
      <c r="Z72" s="45"/>
      <c r="AA72" s="45"/>
      <c r="AB72" s="45"/>
      <c r="AC72" s="45"/>
      <c r="AD72" s="45"/>
      <c r="AE72" s="45"/>
      <c r="AF72" s="45"/>
      <c r="AG72" s="45"/>
      <c r="AH72" s="45"/>
      <c r="AI72" s="45"/>
    </row>
    <row r="73" spans="1:44" ht="39" customHeight="1" x14ac:dyDescent="0.3">
      <c r="A73" s="56" t="s">
        <v>197</v>
      </c>
      <c r="B73" s="93"/>
      <c r="D73" s="8"/>
      <c r="E73" s="3"/>
      <c r="I73" s="112">
        <f>I65+I67+I69+I71+I72</f>
        <v>30708.575222222222</v>
      </c>
      <c r="J73" s="54"/>
      <c r="K73" s="7"/>
      <c r="L73" s="7"/>
      <c r="M73" s="51"/>
      <c r="N73" s="45"/>
      <c r="O73" s="45"/>
      <c r="P73" s="45"/>
      <c r="Q73" s="45"/>
      <c r="R73" s="45"/>
      <c r="S73" s="45"/>
      <c r="T73" s="45"/>
      <c r="U73" s="45"/>
      <c r="V73" s="45"/>
      <c r="W73" s="45"/>
      <c r="X73" s="45"/>
      <c r="Y73" s="45"/>
      <c r="Z73" s="45"/>
      <c r="AA73" s="45"/>
      <c r="AB73" s="45"/>
      <c r="AC73" s="45"/>
      <c r="AD73" s="45"/>
      <c r="AE73" s="45"/>
      <c r="AF73" s="45"/>
      <c r="AG73" s="45"/>
      <c r="AH73" s="45"/>
      <c r="AI73" s="45"/>
    </row>
    <row r="74" spans="1:44" ht="21" x14ac:dyDescent="0.35">
      <c r="A74" s="55" t="s">
        <v>45</v>
      </c>
      <c r="B74" s="99"/>
      <c r="C74" s="55"/>
      <c r="D74" s="55"/>
      <c r="E74" s="55"/>
      <c r="F74" s="55"/>
      <c r="G74" s="55"/>
      <c r="H74" s="55"/>
      <c r="I74" s="55"/>
      <c r="J74" s="55"/>
      <c r="K74" s="55"/>
      <c r="L74" s="55"/>
      <c r="M74" s="55"/>
      <c r="N74" s="2"/>
      <c r="O74" s="2"/>
      <c r="P74" s="2"/>
      <c r="Q74" s="2"/>
      <c r="R74" s="2"/>
      <c r="S74" s="2"/>
      <c r="T74" s="2"/>
      <c r="U74" s="2"/>
      <c r="V74" s="2"/>
      <c r="W74" s="2"/>
      <c r="X74" s="2"/>
      <c r="Y74" s="2"/>
      <c r="Z74" s="2"/>
      <c r="AA74" s="2"/>
      <c r="AB74" s="2"/>
      <c r="AC74" s="2"/>
      <c r="AD74" s="2"/>
      <c r="AE74" s="2"/>
      <c r="AF74" s="2"/>
      <c r="AG74" s="2"/>
      <c r="AH74" s="2"/>
      <c r="AI74" s="2"/>
    </row>
    <row r="75" spans="1:44" ht="30" x14ac:dyDescent="0.25">
      <c r="A75" s="4" t="s">
        <v>46</v>
      </c>
      <c r="B75" s="93" t="s">
        <v>21</v>
      </c>
      <c r="D75" s="9" t="s">
        <v>183</v>
      </c>
      <c r="I75" s="53"/>
      <c r="J75" s="53"/>
      <c r="N75" s="2"/>
      <c r="O75" s="2"/>
      <c r="P75" s="2"/>
      <c r="Q75" s="2"/>
      <c r="R75" s="2"/>
      <c r="S75" s="2"/>
      <c r="T75" s="2"/>
      <c r="U75" s="2"/>
      <c r="V75" s="2"/>
      <c r="W75" s="2"/>
      <c r="X75" s="2"/>
      <c r="Y75" s="2"/>
      <c r="Z75" s="2"/>
      <c r="AA75" s="2"/>
      <c r="AB75" s="2"/>
      <c r="AC75" s="2"/>
      <c r="AD75" s="2"/>
      <c r="AE75" s="2"/>
      <c r="AF75" s="2"/>
      <c r="AG75" s="2"/>
      <c r="AH75" s="2"/>
      <c r="AI75" s="2"/>
    </row>
    <row r="76" spans="1:44" ht="15.75" x14ac:dyDescent="0.25">
      <c r="A76" s="4" t="s">
        <v>22</v>
      </c>
      <c r="B76" s="94">
        <v>5873</v>
      </c>
      <c r="C76" s="3">
        <v>7587</v>
      </c>
      <c r="D76" s="3">
        <f>C76</f>
        <v>7587</v>
      </c>
      <c r="I76" s="53"/>
      <c r="J76" s="53"/>
      <c r="M76" s="4" t="s">
        <v>88</v>
      </c>
      <c r="N76" s="45"/>
      <c r="O76" s="45"/>
      <c r="P76" s="45"/>
      <c r="Q76" s="45"/>
      <c r="R76" s="45"/>
      <c r="S76" s="45"/>
      <c r="T76" s="45"/>
      <c r="U76" s="45"/>
      <c r="V76" s="45"/>
      <c r="W76" s="45"/>
      <c r="X76" s="45"/>
      <c r="Y76" s="45"/>
      <c r="Z76" s="45"/>
      <c r="AA76" s="45"/>
      <c r="AB76" s="45"/>
      <c r="AC76" s="45"/>
      <c r="AD76" s="45"/>
      <c r="AE76" s="45"/>
      <c r="AF76" s="45"/>
      <c r="AG76" s="45"/>
      <c r="AH76" s="45"/>
      <c r="AI76" s="45"/>
    </row>
    <row r="77" spans="1:44" ht="60" x14ac:dyDescent="0.25">
      <c r="A77" s="4" t="s">
        <v>268</v>
      </c>
      <c r="B77" s="100">
        <f>(B76*80%)*180/12*7</f>
        <v>493332.00000000012</v>
      </c>
      <c r="C77" s="6">
        <f>(C76*70%)*180</f>
        <v>955961.99999999988</v>
      </c>
      <c r="D77" s="6"/>
      <c r="E77" s="53">
        <f>B77+C77+D77</f>
        <v>1449294</v>
      </c>
      <c r="H77" s="4">
        <f>E77*15%</f>
        <v>217394.1</v>
      </c>
      <c r="I77" s="53">
        <f>E77+H77</f>
        <v>1666688.1</v>
      </c>
      <c r="J77" s="53"/>
      <c r="L77" s="7" t="s">
        <v>261</v>
      </c>
      <c r="N77" s="45"/>
      <c r="O77" s="45"/>
      <c r="P77" s="45"/>
      <c r="Q77" s="45"/>
      <c r="R77" s="45"/>
      <c r="S77" s="45"/>
      <c r="T77" s="45"/>
      <c r="U77" s="45"/>
      <c r="V77" s="45"/>
      <c r="W77" s="45"/>
      <c r="X77" s="45"/>
      <c r="Y77" s="45"/>
      <c r="Z77" s="45"/>
      <c r="AA77" s="45"/>
      <c r="AB77" s="45"/>
      <c r="AC77" s="45"/>
      <c r="AD77" s="45"/>
      <c r="AE77" s="45"/>
      <c r="AF77" s="45"/>
      <c r="AG77" s="45"/>
      <c r="AH77" s="45"/>
      <c r="AI77" s="45"/>
    </row>
    <row r="78" spans="1:44" s="85" customFormat="1" ht="45" x14ac:dyDescent="0.25">
      <c r="A78" s="83" t="s">
        <v>146</v>
      </c>
      <c r="B78" s="84">
        <v>12000</v>
      </c>
      <c r="C78" s="85">
        <v>12000</v>
      </c>
      <c r="D78" s="85">
        <f>C78/2</f>
        <v>6000</v>
      </c>
      <c r="E78" s="86">
        <f>C78*1.75</f>
        <v>21000</v>
      </c>
      <c r="I78" s="87"/>
      <c r="J78" s="87"/>
      <c r="K78" s="88" t="s">
        <v>48</v>
      </c>
      <c r="L78" s="88" t="s">
        <v>262</v>
      </c>
      <c r="N78" s="89"/>
      <c r="O78" s="89"/>
      <c r="P78" s="89"/>
      <c r="Q78" s="89"/>
      <c r="R78" s="89"/>
      <c r="S78" s="89"/>
      <c r="T78" s="89"/>
      <c r="U78" s="89"/>
      <c r="V78" s="89"/>
      <c r="W78" s="89"/>
      <c r="X78" s="89"/>
      <c r="Y78" s="89"/>
      <c r="Z78" s="89"/>
      <c r="AA78" s="89"/>
      <c r="AB78" s="89"/>
      <c r="AC78" s="89"/>
      <c r="AD78" s="89"/>
      <c r="AE78" s="89"/>
      <c r="AF78" s="89"/>
      <c r="AG78" s="89"/>
      <c r="AH78" s="89"/>
      <c r="AI78" s="89"/>
    </row>
    <row r="79" spans="1:44" ht="30" x14ac:dyDescent="0.25">
      <c r="A79" s="4" t="s">
        <v>184</v>
      </c>
      <c r="B79" s="100">
        <f>B76*2*50%+B76*50%</f>
        <v>8809.5</v>
      </c>
      <c r="C79" s="6">
        <f>C76*2*50%+C76*50%</f>
        <v>11380.5</v>
      </c>
      <c r="D79" s="6"/>
      <c r="E79" s="3">
        <f>B79+C79+D79</f>
        <v>20190</v>
      </c>
      <c r="G79" s="4">
        <v>17</v>
      </c>
      <c r="H79" s="4">
        <f>G79*15%</f>
        <v>2.5499999999999998</v>
      </c>
      <c r="I79" s="53">
        <f>E79*(G79+H79)</f>
        <v>394714.5</v>
      </c>
      <c r="J79" s="53"/>
      <c r="L79" s="18" t="s">
        <v>280</v>
      </c>
      <c r="M79" s="8"/>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row>
    <row r="80" spans="1:44" ht="30" x14ac:dyDescent="0.25">
      <c r="A80" s="4" t="s">
        <v>263</v>
      </c>
      <c r="B80" s="100">
        <f>B76*2*50%+B76*50%</f>
        <v>8809.5</v>
      </c>
      <c r="C80" s="6">
        <f>C76*2*50%+C76*50%</f>
        <v>11380.5</v>
      </c>
      <c r="D80" s="6"/>
      <c r="E80" s="3">
        <f>B80+C80+D80</f>
        <v>20190</v>
      </c>
      <c r="I80" s="53">
        <f>I81+I82</f>
        <v>264690.90000000002</v>
      </c>
      <c r="J80" s="53"/>
      <c r="L80" s="18" t="s">
        <v>280</v>
      </c>
      <c r="M80" s="8" t="s">
        <v>91</v>
      </c>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row>
    <row r="81" spans="1:44" ht="15.75" x14ac:dyDescent="0.25">
      <c r="A81" s="4" t="s">
        <v>185</v>
      </c>
      <c r="B81" s="100">
        <f>B80*80%</f>
        <v>7047.6</v>
      </c>
      <c r="C81" s="6">
        <f>C80*80%</f>
        <v>9104.4</v>
      </c>
      <c r="D81" s="6">
        <f>D80*80%</f>
        <v>0</v>
      </c>
      <c r="E81" s="3">
        <f>B81+C81+D81</f>
        <v>16152</v>
      </c>
      <c r="G81" s="4">
        <v>10</v>
      </c>
      <c r="H81" s="4">
        <f>G81*15%</f>
        <v>1.5</v>
      </c>
      <c r="I81" s="107">
        <f>E80*(G81+H81)</f>
        <v>232185</v>
      </c>
      <c r="J81" s="53"/>
      <c r="L81" s="8" t="s">
        <v>265</v>
      </c>
      <c r="M81" s="8"/>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row>
    <row r="82" spans="1:44" ht="30" x14ac:dyDescent="0.25">
      <c r="A82" s="4" t="s">
        <v>264</v>
      </c>
      <c r="B82" s="100">
        <f>B80*20%</f>
        <v>1761.9</v>
      </c>
      <c r="C82" s="6">
        <f>C80*20%</f>
        <v>2276.1</v>
      </c>
      <c r="D82" s="6">
        <f>D80*20%</f>
        <v>0</v>
      </c>
      <c r="E82" s="3">
        <f>B82+C82+D82</f>
        <v>4038</v>
      </c>
      <c r="G82" s="4">
        <v>1.75</v>
      </c>
      <c r="H82" s="52">
        <f>G82*15%</f>
        <v>0.26250000000000001</v>
      </c>
      <c r="I82" s="107">
        <f>E81*(G82+H82)</f>
        <v>32505.9</v>
      </c>
      <c r="J82" s="53"/>
      <c r="L82" s="8" t="s">
        <v>266</v>
      </c>
      <c r="M82" s="8"/>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row>
    <row r="83" spans="1:44" s="85" customFormat="1" ht="30" x14ac:dyDescent="0.25">
      <c r="A83" s="106" t="s">
        <v>186</v>
      </c>
      <c r="B83" s="84">
        <v>10000</v>
      </c>
      <c r="C83" s="85">
        <v>10000</v>
      </c>
      <c r="D83" s="86">
        <f>C83/2</f>
        <v>5000</v>
      </c>
      <c r="E83" s="86">
        <f>C83*1.75</f>
        <v>17500</v>
      </c>
      <c r="F83" s="88"/>
      <c r="G83" s="88"/>
      <c r="I83" s="111"/>
      <c r="J83" s="87"/>
      <c r="L83" s="88" t="s">
        <v>262</v>
      </c>
      <c r="M83" s="91"/>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row>
    <row r="84" spans="1:44" s="85" customFormat="1" ht="15.75" x14ac:dyDescent="0.25">
      <c r="A84" s="85" t="s">
        <v>51</v>
      </c>
      <c r="B84" s="84">
        <v>400</v>
      </c>
      <c r="C84" s="85">
        <v>450</v>
      </c>
      <c r="D84" s="86">
        <f>C84/2</f>
        <v>225</v>
      </c>
      <c r="E84" s="86">
        <f>C84*1.75</f>
        <v>787.5</v>
      </c>
      <c r="I84" s="111"/>
      <c r="J84" s="87"/>
      <c r="L84" s="88" t="s">
        <v>262</v>
      </c>
      <c r="M84" s="91"/>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row>
    <row r="85" spans="1:44" s="85" customFormat="1" ht="15.75" x14ac:dyDescent="0.25">
      <c r="A85" s="108" t="s">
        <v>63</v>
      </c>
      <c r="B85" s="109"/>
      <c r="C85" s="110"/>
      <c r="D85" s="86"/>
      <c r="E85" s="86"/>
      <c r="F85" s="110"/>
      <c r="G85" s="110"/>
      <c r="I85" s="111"/>
      <c r="J85" s="87"/>
      <c r="K85" s="110"/>
      <c r="L85" s="88" t="s">
        <v>262</v>
      </c>
      <c r="M85" s="110"/>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row>
    <row r="86" spans="1:44" ht="15.75" x14ac:dyDescent="0.25">
      <c r="A86" s="504" t="s">
        <v>64</v>
      </c>
      <c r="B86" s="11">
        <v>2500</v>
      </c>
      <c r="C86" s="4">
        <v>3000</v>
      </c>
      <c r="D86" s="3">
        <f>C86/2</f>
        <v>1500</v>
      </c>
      <c r="E86" s="3">
        <f>B86+C86+D86</f>
        <v>7000</v>
      </c>
      <c r="I86" s="107"/>
      <c r="J86" s="53"/>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row>
    <row r="87" spans="1:44" ht="15.75" x14ac:dyDescent="0.25">
      <c r="A87" s="505"/>
      <c r="B87" s="11">
        <f>B86*180</f>
        <v>450000</v>
      </c>
      <c r="C87" s="11">
        <f>C86*180</f>
        <v>540000</v>
      </c>
      <c r="D87" s="11">
        <f>D86*180</f>
        <v>270000</v>
      </c>
      <c r="E87" s="3">
        <f>B87+C87+D87</f>
        <v>1260000</v>
      </c>
      <c r="G87" s="4">
        <f>0.95/100</f>
        <v>9.4999999999999998E-3</v>
      </c>
      <c r="H87" s="4">
        <f>G87*15%</f>
        <v>1.4249999999999998E-3</v>
      </c>
      <c r="I87" s="53">
        <f>E87*(G87+H87)</f>
        <v>13765.499999999998</v>
      </c>
      <c r="J87" s="53"/>
      <c r="L87" s="8" t="s">
        <v>267</v>
      </c>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row>
    <row r="88" spans="1:44" ht="18.75" x14ac:dyDescent="0.3">
      <c r="A88" s="56" t="s">
        <v>198</v>
      </c>
      <c r="C88" s="11"/>
      <c r="E88" s="90"/>
      <c r="F88" s="59"/>
      <c r="G88" s="59"/>
      <c r="H88" s="59"/>
      <c r="I88" s="112">
        <f>I77+I79+I80+I87</f>
        <v>2339859</v>
      </c>
      <c r="J88" s="60"/>
      <c r="K88" s="59"/>
      <c r="L88" s="59"/>
      <c r="M88" s="59"/>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21" x14ac:dyDescent="0.35">
      <c r="A89" s="56" t="s">
        <v>199</v>
      </c>
      <c r="F89" s="59"/>
      <c r="G89" s="59"/>
      <c r="H89" s="59"/>
      <c r="I89" s="64">
        <f>I32+I47+I61+I73+I88</f>
        <v>3069209.1767734261</v>
      </c>
      <c r="J89" s="60"/>
      <c r="K89" s="59"/>
      <c r="L89" s="59"/>
      <c r="M89" s="59"/>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37.5" x14ac:dyDescent="0.3">
      <c r="A90" s="56" t="s">
        <v>200</v>
      </c>
      <c r="F90" s="59"/>
      <c r="G90" s="59"/>
      <c r="H90" s="59"/>
      <c r="I90" s="60">
        <f>I89*7%</f>
        <v>214844.64237413986</v>
      </c>
      <c r="J90" s="60"/>
      <c r="K90" s="59"/>
      <c r="L90" s="59"/>
      <c r="M90" s="59"/>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42" x14ac:dyDescent="0.35">
      <c r="A91" s="61" t="s">
        <v>201</v>
      </c>
      <c r="B91" s="101"/>
      <c r="C91" s="62"/>
      <c r="D91" s="62"/>
      <c r="E91" s="62"/>
      <c r="F91" s="63"/>
      <c r="G91" s="63"/>
      <c r="H91" s="63"/>
      <c r="I91" s="321">
        <f>SUM(I89:I90)</f>
        <v>3284053.8191475659</v>
      </c>
      <c r="J91" s="64"/>
      <c r="K91" s="59"/>
      <c r="L91" s="59"/>
      <c r="M91" s="59"/>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x14ac:dyDescent="0.25">
      <c r="A92" s="57" t="s">
        <v>89</v>
      </c>
      <c r="B92" s="102"/>
      <c r="C92" s="58"/>
      <c r="D92" s="58"/>
      <c r="E92" s="5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x14ac:dyDescent="0.25">
      <c r="A93" s="49" t="s">
        <v>187</v>
      </c>
      <c r="B93" s="103"/>
      <c r="C93" s="14"/>
      <c r="D93" s="14"/>
      <c r="E93" s="14"/>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60" x14ac:dyDescent="0.25">
      <c r="A94" s="33" t="s">
        <v>69</v>
      </c>
      <c r="B94" s="104" t="s">
        <v>70</v>
      </c>
      <c r="C94" s="33" t="s">
        <v>71</v>
      </c>
      <c r="D94" s="33" t="s">
        <v>103</v>
      </c>
      <c r="E94" s="33" t="s">
        <v>269</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x14ac:dyDescent="0.25">
      <c r="A95" s="33">
        <v>3</v>
      </c>
      <c r="B95" s="104" t="s">
        <v>75</v>
      </c>
      <c r="C95" s="33">
        <v>1</v>
      </c>
      <c r="D95" s="33">
        <v>20</v>
      </c>
      <c r="E95" s="14">
        <v>1.75</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x14ac:dyDescent="0.25">
      <c r="A96" s="33">
        <v>4</v>
      </c>
      <c r="B96" s="104" t="s">
        <v>76</v>
      </c>
      <c r="C96" s="33">
        <v>9</v>
      </c>
      <c r="D96" s="33">
        <v>80</v>
      </c>
      <c r="E96" s="14">
        <v>10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x14ac:dyDescent="0.25">
      <c r="A97" s="33"/>
      <c r="B97" s="104" t="s">
        <v>77</v>
      </c>
      <c r="C97" s="33"/>
      <c r="D97" s="33">
        <v>100</v>
      </c>
      <c r="E97" s="50"/>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x14ac:dyDescent="0.25">
      <c r="A98" s="2"/>
      <c r="B98" s="10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44" x14ac:dyDescent="0.25">
      <c r="A99" s="2"/>
      <c r="B99" s="105"/>
      <c r="C99" s="2"/>
      <c r="D99" s="2"/>
      <c r="E99" s="2">
        <f>E11+E35+E50</f>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44" x14ac:dyDescent="0.25">
      <c r="A100" s="2"/>
      <c r="B100" s="10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44" x14ac:dyDescent="0.25">
      <c r="A101" s="2"/>
      <c r="B101" s="10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44" x14ac:dyDescent="0.25">
      <c r="A102" s="2"/>
      <c r="B102" s="10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44" x14ac:dyDescent="0.25">
      <c r="A103" s="2"/>
      <c r="B103" s="10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44" x14ac:dyDescent="0.25">
      <c r="A104" s="2"/>
      <c r="B104" s="10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44" x14ac:dyDescent="0.25">
      <c r="A105" s="2"/>
      <c r="B105" s="10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44" x14ac:dyDescent="0.25">
      <c r="A106" s="2"/>
      <c r="B106" s="10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44" x14ac:dyDescent="0.25">
      <c r="A107" s="2"/>
      <c r="B107" s="10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44" x14ac:dyDescent="0.25">
      <c r="A108" s="2"/>
      <c r="B108" s="10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44" x14ac:dyDescent="0.25">
      <c r="A109" s="2"/>
      <c r="B109" s="10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44" x14ac:dyDescent="0.25">
      <c r="A110" s="2"/>
      <c r="B110" s="10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44" x14ac:dyDescent="0.25">
      <c r="A111" s="2"/>
      <c r="B111" s="10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44" x14ac:dyDescent="0.25">
      <c r="A112" s="2"/>
      <c r="B112" s="10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10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10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25">
      <c r="A115" s="2"/>
      <c r="B115" s="10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25">
      <c r="A116" s="2"/>
      <c r="B116" s="10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25">
      <c r="A117" s="2"/>
      <c r="B117" s="10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25">
      <c r="A118" s="2"/>
      <c r="B118" s="10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10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10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10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10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10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10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10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10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10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10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10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10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10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10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10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25">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25">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6:36" x14ac:dyDescent="0.25">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6:36" x14ac:dyDescent="0.25">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6:36" x14ac:dyDescent="0.25">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6:36" x14ac:dyDescent="0.25">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6:36" x14ac:dyDescent="0.25">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6:36" x14ac:dyDescent="0.25">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6:36" x14ac:dyDescent="0.25">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6:36" x14ac:dyDescent="0.25">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6:36" x14ac:dyDescent="0.25">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6:36" x14ac:dyDescent="0.25">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6:36" x14ac:dyDescent="0.25">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6:36" x14ac:dyDescent="0.25">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6:36" x14ac:dyDescent="0.25">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6:36" x14ac:dyDescent="0.25">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6:36" x14ac:dyDescent="0.25">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6:36" x14ac:dyDescent="0.25">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6:36" x14ac:dyDescent="0.25">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6:36" x14ac:dyDescent="0.25">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6:36" x14ac:dyDescent="0.25">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6:36" x14ac:dyDescent="0.25">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6:36" x14ac:dyDescent="0.25">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6:36" x14ac:dyDescent="0.25">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6:36" x14ac:dyDescent="0.25">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6:36" x14ac:dyDescent="0.25">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6:36" x14ac:dyDescent="0.25">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6:36" x14ac:dyDescent="0.25">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6:36" x14ac:dyDescent="0.25">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6:36" x14ac:dyDescent="0.25">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6:36" x14ac:dyDescent="0.25">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6:36" x14ac:dyDescent="0.25">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6:36" x14ac:dyDescent="0.25">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6:36" x14ac:dyDescent="0.25">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6:36" x14ac:dyDescent="0.25">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6:36" x14ac:dyDescent="0.25">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6:36" x14ac:dyDescent="0.25">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6:36" x14ac:dyDescent="0.25">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6:36" x14ac:dyDescent="0.25">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6:36" x14ac:dyDescent="0.25">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6:36" x14ac:dyDescent="0.25">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6:36" x14ac:dyDescent="0.25">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6:36" x14ac:dyDescent="0.25">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6:36" x14ac:dyDescent="0.25">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6:36" x14ac:dyDescent="0.2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6:36" x14ac:dyDescent="0.25">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6:36" x14ac:dyDescent="0.25">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6:36" x14ac:dyDescent="0.25">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6:36" x14ac:dyDescent="0.25">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6:36" x14ac:dyDescent="0.25">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6:36" x14ac:dyDescent="0.25">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6:36" x14ac:dyDescent="0.25">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6:36" x14ac:dyDescent="0.25">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6:36" x14ac:dyDescent="0.25">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6:36" x14ac:dyDescent="0.25">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6:36" x14ac:dyDescent="0.25">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6:36" x14ac:dyDescent="0.25">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6:36" x14ac:dyDescent="0.25">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6:36" x14ac:dyDescent="0.25">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6:36" x14ac:dyDescent="0.25">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6:36" x14ac:dyDescent="0.25">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6:36" x14ac:dyDescent="0.25">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6:36" x14ac:dyDescent="0.25">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6:36" x14ac:dyDescent="0.25">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6:36" x14ac:dyDescent="0.25">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6:36" x14ac:dyDescent="0.25">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6:36" x14ac:dyDescent="0.25">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6:36" x14ac:dyDescent="0.25">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6:36" x14ac:dyDescent="0.25">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6:36" x14ac:dyDescent="0.25">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6:36" x14ac:dyDescent="0.25">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6:36" x14ac:dyDescent="0.25">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6:36" x14ac:dyDescent="0.25">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6:36" x14ac:dyDescent="0.25">
      <c r="F216" s="2"/>
      <c r="G216" s="2"/>
      <c r="H216" s="2"/>
      <c r="I216" s="2"/>
      <c r="J216" s="2"/>
      <c r="K216" s="2"/>
      <c r="L216" s="2"/>
      <c r="M216" s="2"/>
    </row>
    <row r="217" spans="6:36" x14ac:dyDescent="0.25">
      <c r="F217" s="2"/>
      <c r="G217" s="2"/>
      <c r="H217" s="2"/>
      <c r="I217" s="2"/>
      <c r="J217" s="2"/>
      <c r="K217" s="2"/>
      <c r="L217" s="2"/>
      <c r="M217" s="2"/>
    </row>
    <row r="218" spans="6:36" x14ac:dyDescent="0.25">
      <c r="F218" s="2"/>
      <c r="G218" s="2"/>
      <c r="H218" s="2"/>
      <c r="I218" s="2"/>
      <c r="J218" s="2"/>
      <c r="K218" s="2"/>
      <c r="L218" s="2"/>
      <c r="M218" s="2"/>
    </row>
    <row r="219" spans="6:36" x14ac:dyDescent="0.25">
      <c r="F219" s="2"/>
      <c r="G219" s="2"/>
      <c r="H219" s="2"/>
      <c r="I219" s="2"/>
      <c r="J219" s="2"/>
      <c r="K219" s="2"/>
      <c r="L219" s="2"/>
      <c r="M219" s="2"/>
    </row>
    <row r="220" spans="6:36" x14ac:dyDescent="0.25">
      <c r="F220" s="2"/>
      <c r="G220" s="2"/>
      <c r="H220" s="2"/>
      <c r="I220" s="2"/>
      <c r="J220" s="2"/>
      <c r="K220" s="2"/>
      <c r="L220" s="2"/>
      <c r="M220" s="2"/>
    </row>
    <row r="221" spans="6:36" x14ac:dyDescent="0.25">
      <c r="F221" s="2"/>
      <c r="G221" s="2"/>
      <c r="H221" s="2"/>
      <c r="I221" s="2"/>
      <c r="J221" s="2"/>
      <c r="K221" s="2"/>
      <c r="L221" s="2"/>
      <c r="M221" s="2"/>
    </row>
    <row r="222" spans="6:36" x14ac:dyDescent="0.25">
      <c r="F222" s="2"/>
      <c r="G222" s="2"/>
      <c r="H222" s="2"/>
      <c r="I222" s="2"/>
      <c r="J222" s="2"/>
      <c r="K222" s="2"/>
      <c r="L222" s="2"/>
      <c r="M222" s="2"/>
    </row>
    <row r="223" spans="6:36" x14ac:dyDescent="0.25">
      <c r="F223" s="2"/>
      <c r="G223" s="2"/>
      <c r="H223" s="2"/>
      <c r="I223" s="2"/>
      <c r="J223" s="2"/>
      <c r="K223" s="2"/>
      <c r="L223" s="2"/>
      <c r="M223" s="2"/>
    </row>
    <row r="224" spans="6:36" x14ac:dyDescent="0.25">
      <c r="F224" s="2"/>
      <c r="G224" s="2"/>
      <c r="H224" s="2"/>
      <c r="I224" s="2"/>
      <c r="J224" s="2"/>
      <c r="K224" s="2"/>
      <c r="L224" s="2"/>
      <c r="M224" s="2"/>
    </row>
    <row r="225" spans="6:13" x14ac:dyDescent="0.25">
      <c r="F225" s="2"/>
      <c r="G225" s="2"/>
      <c r="H225" s="2"/>
      <c r="I225" s="2"/>
      <c r="J225" s="2"/>
      <c r="K225" s="2"/>
      <c r="L225" s="2"/>
      <c r="M225" s="2"/>
    </row>
    <row r="226" spans="6:13" x14ac:dyDescent="0.25">
      <c r="F226" s="2"/>
      <c r="G226" s="2"/>
      <c r="H226" s="2"/>
      <c r="I226" s="2"/>
      <c r="J226" s="2"/>
      <c r="K226" s="2"/>
      <c r="L226" s="2"/>
      <c r="M226" s="2"/>
    </row>
    <row r="227" spans="6:13" x14ac:dyDescent="0.25">
      <c r="F227" s="2"/>
      <c r="G227" s="2"/>
      <c r="H227" s="2"/>
      <c r="I227" s="2"/>
      <c r="J227" s="2"/>
      <c r="K227" s="2"/>
      <c r="L227" s="2"/>
      <c r="M227" s="2"/>
    </row>
    <row r="228" spans="6:13" x14ac:dyDescent="0.25">
      <c r="F228" s="2"/>
      <c r="G228" s="2"/>
      <c r="H228" s="2"/>
      <c r="I228" s="2"/>
      <c r="J228" s="2"/>
      <c r="K228" s="2"/>
      <c r="L228" s="2"/>
      <c r="M228" s="2"/>
    </row>
    <row r="229" spans="6:13" x14ac:dyDescent="0.25">
      <c r="F229" s="2"/>
      <c r="G229" s="2"/>
      <c r="H229" s="2"/>
      <c r="I229" s="2"/>
      <c r="J229" s="2"/>
      <c r="K229" s="2"/>
      <c r="L229" s="2"/>
      <c r="M229" s="2"/>
    </row>
    <row r="230" spans="6:13" x14ac:dyDescent="0.25">
      <c r="F230" s="2"/>
      <c r="G230" s="2"/>
      <c r="H230" s="2"/>
      <c r="I230" s="2"/>
      <c r="J230" s="2"/>
      <c r="K230" s="2"/>
      <c r="L230" s="2"/>
      <c r="M230" s="2"/>
    </row>
    <row r="231" spans="6:13" x14ac:dyDescent="0.25">
      <c r="F231" s="2"/>
      <c r="G231" s="2"/>
      <c r="H231" s="2"/>
      <c r="I231" s="2"/>
      <c r="J231" s="2"/>
      <c r="K231" s="2"/>
      <c r="L231" s="2"/>
      <c r="M231" s="2"/>
    </row>
    <row r="232" spans="6:13" x14ac:dyDescent="0.25">
      <c r="F232" s="2"/>
      <c r="G232" s="2"/>
      <c r="H232" s="2"/>
      <c r="I232" s="2"/>
      <c r="J232" s="2"/>
      <c r="K232" s="2"/>
      <c r="L232" s="2"/>
      <c r="M232" s="2"/>
    </row>
    <row r="233" spans="6:13" x14ac:dyDescent="0.25">
      <c r="F233" s="2"/>
      <c r="G233" s="2"/>
      <c r="H233" s="2"/>
      <c r="I233" s="2"/>
      <c r="J233" s="2"/>
      <c r="K233" s="2"/>
      <c r="L233" s="2"/>
      <c r="M233" s="2"/>
    </row>
    <row r="234" spans="6:13" x14ac:dyDescent="0.25">
      <c r="F234" s="2"/>
      <c r="G234" s="2"/>
      <c r="H234" s="2"/>
      <c r="I234" s="2"/>
      <c r="J234" s="2"/>
      <c r="K234" s="2"/>
      <c r="L234" s="2"/>
      <c r="M234" s="2"/>
    </row>
    <row r="235" spans="6:13" x14ac:dyDescent="0.25">
      <c r="F235" s="2"/>
      <c r="G235" s="2"/>
      <c r="H235" s="2"/>
      <c r="I235" s="2"/>
      <c r="J235" s="2"/>
      <c r="K235" s="2"/>
      <c r="L235" s="2"/>
      <c r="M235" s="2"/>
    </row>
    <row r="236" spans="6:13" x14ac:dyDescent="0.25">
      <c r="F236" s="2"/>
      <c r="G236" s="2"/>
      <c r="H236" s="2"/>
      <c r="I236" s="2"/>
      <c r="J236" s="2"/>
      <c r="K236" s="2"/>
      <c r="L236" s="2"/>
      <c r="M236" s="2"/>
    </row>
    <row r="237" spans="6:13" x14ac:dyDescent="0.25">
      <c r="F237" s="2"/>
      <c r="G237" s="2"/>
      <c r="H237" s="2"/>
      <c r="I237" s="2"/>
      <c r="J237" s="2"/>
      <c r="K237" s="2"/>
      <c r="L237" s="2"/>
      <c r="M237" s="2"/>
    </row>
  </sheetData>
  <autoFilter ref="A2:M97"/>
  <mergeCells count="15">
    <mergeCell ref="A86:A87"/>
    <mergeCell ref="M29:M30"/>
    <mergeCell ref="M14:M18"/>
    <mergeCell ref="A1:M1"/>
    <mergeCell ref="A2:A3"/>
    <mergeCell ref="B2:B3"/>
    <mergeCell ref="C2:C3"/>
    <mergeCell ref="D2:D3"/>
    <mergeCell ref="E2:E3"/>
    <mergeCell ref="F2:F3"/>
    <mergeCell ref="K2:K3"/>
    <mergeCell ref="L2:L3"/>
    <mergeCell ref="M2:M3"/>
    <mergeCell ref="G2:G3"/>
    <mergeCell ref="I2: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90" zoomScaleNormal="90" workbookViewId="0">
      <selection sqref="A1:XFD1048576"/>
    </sheetView>
  </sheetViews>
  <sheetFormatPr defaultRowHeight="15" x14ac:dyDescent="0.25"/>
  <cols>
    <col min="1" max="1" width="25.5703125" customWidth="1"/>
    <col min="2" max="2" width="16.28515625" style="2" customWidth="1"/>
    <col min="3" max="3" width="23.7109375" style="2" customWidth="1"/>
    <col min="4" max="4" width="23.5703125" style="2" customWidth="1"/>
    <col min="5" max="6" width="16.28515625" style="2" customWidth="1"/>
    <col min="7" max="7" width="26.5703125" customWidth="1"/>
    <col min="8" max="8" width="26.5703125" style="2" hidden="1" customWidth="1"/>
    <col min="9" max="9" width="26.5703125" style="2" customWidth="1"/>
    <col min="10" max="10" width="18.42578125" style="2" customWidth="1"/>
    <col min="11" max="11" width="17.85546875" customWidth="1"/>
    <col min="12" max="14" width="16.28515625" customWidth="1"/>
    <col min="15" max="16" width="16.28515625" style="2" customWidth="1"/>
    <col min="17" max="18" width="16.28515625" customWidth="1"/>
  </cols>
  <sheetData>
    <row r="1" spans="1:18" x14ac:dyDescent="0.25">
      <c r="A1" s="65"/>
      <c r="B1" s="509" t="s">
        <v>202</v>
      </c>
      <c r="C1" s="510"/>
      <c r="D1" s="510"/>
      <c r="E1" s="510"/>
      <c r="F1" s="510"/>
      <c r="G1" s="510"/>
      <c r="H1" s="510"/>
      <c r="I1" s="510"/>
      <c r="J1" s="511"/>
      <c r="K1" s="509" t="s">
        <v>203</v>
      </c>
      <c r="L1" s="510"/>
      <c r="M1" s="511"/>
      <c r="N1" s="509" t="s">
        <v>210</v>
      </c>
      <c r="O1" s="510"/>
      <c r="P1" s="510"/>
      <c r="Q1" s="510"/>
      <c r="R1" s="511"/>
    </row>
    <row r="2" spans="1:18" s="2" customFormat="1" ht="37.5" x14ac:dyDescent="0.25">
      <c r="A2" s="65"/>
      <c r="B2" s="117" t="s">
        <v>208</v>
      </c>
      <c r="C2" s="512" t="s">
        <v>277</v>
      </c>
      <c r="D2" s="513"/>
      <c r="E2" s="117" t="s">
        <v>278</v>
      </c>
      <c r="F2" s="117" t="s">
        <v>279</v>
      </c>
      <c r="G2" s="117" t="s">
        <v>209</v>
      </c>
      <c r="H2" s="117" t="s">
        <v>209</v>
      </c>
      <c r="I2" s="117" t="s">
        <v>295</v>
      </c>
      <c r="J2" s="117" t="s">
        <v>290</v>
      </c>
      <c r="K2" s="65" t="s">
        <v>208</v>
      </c>
      <c r="L2" s="65" t="s">
        <v>209</v>
      </c>
      <c r="M2" s="65" t="s">
        <v>77</v>
      </c>
      <c r="N2" s="65" t="s">
        <v>208</v>
      </c>
      <c r="O2" s="65" t="s">
        <v>232</v>
      </c>
      <c r="P2" s="65" t="s">
        <v>77</v>
      </c>
      <c r="Q2" s="65" t="s">
        <v>209</v>
      </c>
      <c r="R2" s="65" t="s">
        <v>77</v>
      </c>
    </row>
    <row r="3" spans="1:18" x14ac:dyDescent="0.25">
      <c r="A3" s="65" t="s">
        <v>245</v>
      </c>
      <c r="B3" s="67">
        <v>2398447.98</v>
      </c>
      <c r="C3" s="68">
        <v>263154.11</v>
      </c>
      <c r="D3" s="68" t="s">
        <v>281</v>
      </c>
      <c r="E3" s="68">
        <v>167891.36</v>
      </c>
      <c r="F3" s="67">
        <f t="shared" ref="F3:F15" si="0">B3+E3</f>
        <v>2566339.34</v>
      </c>
      <c r="G3" s="67">
        <f>'на новую заявку'!I91</f>
        <v>3284053.8191475659</v>
      </c>
      <c r="H3" s="67">
        <v>4114716.289544649</v>
      </c>
      <c r="I3" s="67">
        <v>3713517.5499600004</v>
      </c>
      <c r="J3" s="67"/>
      <c r="K3" s="67">
        <v>3873409.79</v>
      </c>
      <c r="L3" s="67"/>
      <c r="M3" s="67"/>
      <c r="N3" s="67">
        <f>B3+K3</f>
        <v>6271857.7699999996</v>
      </c>
      <c r="O3" s="67"/>
      <c r="P3" s="67"/>
      <c r="Q3" s="67"/>
      <c r="R3" s="67"/>
    </row>
    <row r="4" spans="1:18" x14ac:dyDescent="0.25">
      <c r="A4" s="65" t="s">
        <v>204</v>
      </c>
      <c r="B4" s="67">
        <v>1244532.8899999999</v>
      </c>
      <c r="C4" s="68"/>
      <c r="D4" s="67"/>
      <c r="E4" s="68">
        <v>87117.3</v>
      </c>
      <c r="F4" s="67">
        <f t="shared" si="0"/>
        <v>1331650.19</v>
      </c>
      <c r="G4" s="121">
        <v>1518428.5708024343</v>
      </c>
      <c r="H4" s="67">
        <v>6658250.9499999993</v>
      </c>
      <c r="I4" s="67">
        <v>2555662.2887780727</v>
      </c>
      <c r="J4" s="67"/>
      <c r="K4" s="67">
        <v>1190991.55</v>
      </c>
      <c r="L4" s="67"/>
      <c r="M4" s="67"/>
      <c r="N4" s="67">
        <f>B4+K4</f>
        <v>2435524.44</v>
      </c>
      <c r="O4" s="67"/>
      <c r="P4" s="67"/>
      <c r="Q4" s="67"/>
      <c r="R4" s="67"/>
    </row>
    <row r="5" spans="1:18" x14ac:dyDescent="0.25">
      <c r="A5" s="65" t="s">
        <v>0</v>
      </c>
      <c r="B5" s="68">
        <v>268227.93</v>
      </c>
      <c r="C5" s="68"/>
      <c r="D5" s="68"/>
      <c r="E5" s="68">
        <f t="shared" ref="E5:E13" si="1">B5*7%</f>
        <v>18775.955100000003</v>
      </c>
      <c r="F5" s="68">
        <f t="shared" si="0"/>
        <v>287003.88510000001</v>
      </c>
      <c r="G5" s="68"/>
      <c r="H5" s="68">
        <v>1435019.4255000001</v>
      </c>
      <c r="I5" s="68"/>
      <c r="J5" s="67"/>
      <c r="K5" s="67"/>
      <c r="L5" s="67"/>
      <c r="M5" s="67"/>
      <c r="N5" s="67"/>
      <c r="O5" s="67"/>
      <c r="P5" s="67"/>
      <c r="Q5" s="67"/>
      <c r="R5" s="67"/>
    </row>
    <row r="6" spans="1:18" s="2" customFormat="1" ht="135.75" customHeight="1" x14ac:dyDescent="0.25">
      <c r="A6" s="65" t="s">
        <v>212</v>
      </c>
      <c r="B6" s="68">
        <v>296614.19</v>
      </c>
      <c r="C6" s="68">
        <v>30000</v>
      </c>
      <c r="D6" s="68" t="s">
        <v>276</v>
      </c>
      <c r="E6" s="68">
        <f t="shared" si="1"/>
        <v>20762.993300000002</v>
      </c>
      <c r="F6" s="68">
        <f t="shared" si="0"/>
        <v>317377.18330000003</v>
      </c>
      <c r="G6" s="68"/>
      <c r="H6" s="68">
        <v>1586885.9165000003</v>
      </c>
      <c r="I6" s="68"/>
      <c r="J6" s="67"/>
      <c r="K6" s="67"/>
      <c r="L6" s="67"/>
      <c r="M6" s="67"/>
      <c r="N6" s="67"/>
      <c r="O6" s="67"/>
      <c r="P6" s="67"/>
      <c r="Q6" s="67"/>
      <c r="R6" s="67"/>
    </row>
    <row r="7" spans="1:18" x14ac:dyDescent="0.25">
      <c r="A7" s="65" t="s">
        <v>9</v>
      </c>
      <c r="B7" s="68">
        <v>142856.06</v>
      </c>
      <c r="C7" s="68"/>
      <c r="D7" s="68"/>
      <c r="E7" s="68">
        <f t="shared" si="1"/>
        <v>9999.9242000000013</v>
      </c>
      <c r="F7" s="68">
        <f t="shared" si="0"/>
        <v>152855.98420000001</v>
      </c>
      <c r="G7" s="68"/>
      <c r="H7" s="68">
        <v>764279.92100000009</v>
      </c>
      <c r="I7" s="68"/>
      <c r="J7" s="67"/>
      <c r="K7" s="67"/>
      <c r="L7" s="67"/>
      <c r="M7" s="67"/>
      <c r="N7" s="67"/>
      <c r="O7" s="67"/>
      <c r="P7" s="67"/>
      <c r="Q7" s="67"/>
      <c r="R7" s="67"/>
    </row>
    <row r="8" spans="1:18" x14ac:dyDescent="0.25">
      <c r="A8" s="65" t="s">
        <v>13</v>
      </c>
      <c r="B8" s="68">
        <v>130017.64</v>
      </c>
      <c r="C8" s="68"/>
      <c r="D8" s="68"/>
      <c r="E8" s="68">
        <f t="shared" si="1"/>
        <v>9101.2348000000002</v>
      </c>
      <c r="F8" s="68">
        <f t="shared" si="0"/>
        <v>139118.87479999999</v>
      </c>
      <c r="G8" s="68"/>
      <c r="H8" s="68">
        <v>695594.37399999995</v>
      </c>
      <c r="I8" s="68"/>
      <c r="J8" s="67"/>
      <c r="K8" s="67"/>
      <c r="L8" s="67"/>
      <c r="M8" s="67"/>
      <c r="N8" s="67"/>
      <c r="O8" s="67"/>
      <c r="P8" s="67"/>
      <c r="Q8" s="67"/>
      <c r="R8" s="67"/>
    </row>
    <row r="9" spans="1:18" x14ac:dyDescent="0.25">
      <c r="A9" s="65" t="s">
        <v>213</v>
      </c>
      <c r="B9" s="68">
        <v>131457.24</v>
      </c>
      <c r="C9" s="68"/>
      <c r="D9" s="68"/>
      <c r="E9" s="68">
        <f t="shared" si="1"/>
        <v>9202.006800000001</v>
      </c>
      <c r="F9" s="68">
        <f t="shared" si="0"/>
        <v>140659.24679999999</v>
      </c>
      <c r="G9" s="68"/>
      <c r="H9" s="68">
        <v>703296.23399999994</v>
      </c>
      <c r="I9" s="68"/>
      <c r="J9" s="67"/>
      <c r="K9" s="67"/>
      <c r="L9" s="67"/>
      <c r="M9" s="67"/>
      <c r="N9" s="67"/>
      <c r="O9" s="67"/>
      <c r="P9" s="67"/>
      <c r="Q9" s="67"/>
      <c r="R9" s="67"/>
    </row>
    <row r="10" spans="1:18" s="2" customFormat="1" x14ac:dyDescent="0.25">
      <c r="A10" s="65" t="s">
        <v>215</v>
      </c>
      <c r="B10" s="68">
        <v>22071.06</v>
      </c>
      <c r="C10" s="68"/>
      <c r="D10" s="68"/>
      <c r="E10" s="68">
        <f t="shared" si="1"/>
        <v>1544.9742000000003</v>
      </c>
      <c r="F10" s="68">
        <f t="shared" si="0"/>
        <v>23616.034200000002</v>
      </c>
      <c r="G10" s="68"/>
      <c r="H10" s="68">
        <v>118080.171</v>
      </c>
      <c r="I10" s="68"/>
      <c r="J10" s="67"/>
      <c r="K10" s="67"/>
      <c r="L10" s="67"/>
      <c r="M10" s="67"/>
      <c r="N10" s="67"/>
      <c r="O10" s="67"/>
      <c r="P10" s="67"/>
      <c r="Q10" s="67"/>
      <c r="R10" s="67"/>
    </row>
    <row r="11" spans="1:18" s="2" customFormat="1" ht="45" x14ac:dyDescent="0.25">
      <c r="A11" s="65" t="s">
        <v>214</v>
      </c>
      <c r="B11" s="68">
        <v>157161.29999999999</v>
      </c>
      <c r="C11" s="68">
        <v>11000</v>
      </c>
      <c r="D11" s="68" t="s">
        <v>275</v>
      </c>
      <c r="E11" s="68">
        <f t="shared" si="1"/>
        <v>11001.291000000001</v>
      </c>
      <c r="F11" s="68">
        <f t="shared" si="0"/>
        <v>168162.59099999999</v>
      </c>
      <c r="G11" s="68"/>
      <c r="H11" s="68">
        <v>840812.95499999996</v>
      </c>
      <c r="I11" s="68"/>
      <c r="J11" s="67"/>
      <c r="K11" s="67"/>
      <c r="L11" s="67"/>
      <c r="M11" s="67"/>
      <c r="N11" s="67"/>
      <c r="O11" s="67"/>
      <c r="P11" s="67"/>
      <c r="Q11" s="67"/>
      <c r="R11" s="67"/>
    </row>
    <row r="12" spans="1:18" s="2" customFormat="1" x14ac:dyDescent="0.25">
      <c r="A12" s="65" t="s">
        <v>216</v>
      </c>
      <c r="B12" s="68">
        <v>60292.15</v>
      </c>
      <c r="C12" s="68"/>
      <c r="D12" s="68"/>
      <c r="E12" s="68">
        <f t="shared" si="1"/>
        <v>4220.4505000000008</v>
      </c>
      <c r="F12" s="68">
        <f t="shared" si="0"/>
        <v>64512.6005</v>
      </c>
      <c r="G12" s="68"/>
      <c r="H12" s="68">
        <v>322563.0025</v>
      </c>
      <c r="I12" s="68"/>
      <c r="J12" s="67"/>
      <c r="K12" s="67"/>
      <c r="L12" s="67"/>
      <c r="M12" s="67"/>
      <c r="N12" s="67"/>
      <c r="O12" s="67"/>
      <c r="P12" s="67"/>
      <c r="Q12" s="67"/>
      <c r="R12" s="67"/>
    </row>
    <row r="13" spans="1:18" x14ac:dyDescent="0.25">
      <c r="A13" s="65" t="s">
        <v>217</v>
      </c>
      <c r="B13" s="68">
        <v>35836.22</v>
      </c>
      <c r="C13" s="68"/>
      <c r="D13" s="68"/>
      <c r="E13" s="68">
        <f t="shared" si="1"/>
        <v>2508.5354000000002</v>
      </c>
      <c r="F13" s="68">
        <f t="shared" si="0"/>
        <v>38344.755400000002</v>
      </c>
      <c r="G13" s="68"/>
      <c r="H13" s="68">
        <v>191723.777</v>
      </c>
      <c r="I13" s="68"/>
      <c r="J13" s="67"/>
      <c r="K13" s="67"/>
      <c r="L13" s="67"/>
      <c r="M13" s="67"/>
      <c r="N13" s="67"/>
      <c r="O13" s="67"/>
      <c r="P13" s="67"/>
      <c r="Q13" s="67"/>
      <c r="R13" s="67"/>
    </row>
    <row r="14" spans="1:18" s="2" customFormat="1" x14ac:dyDescent="0.25">
      <c r="A14" s="65" t="s">
        <v>206</v>
      </c>
      <c r="B14" s="67">
        <f>95200.57/2</f>
        <v>47600.285000000003</v>
      </c>
      <c r="C14" s="68"/>
      <c r="D14" s="67"/>
      <c r="E14" s="67">
        <f>6664.04/2</f>
        <v>3332.02</v>
      </c>
      <c r="F14" s="67">
        <f t="shared" si="0"/>
        <v>50932.305</v>
      </c>
      <c r="G14" s="122" t="s">
        <v>289</v>
      </c>
      <c r="H14" s="120">
        <v>254661.52499999999</v>
      </c>
      <c r="I14" s="120"/>
      <c r="J14" s="67"/>
      <c r="K14" s="67">
        <f>P14/2</f>
        <v>50932.305</v>
      </c>
      <c r="L14" s="67"/>
      <c r="M14" s="67"/>
      <c r="N14" s="67">
        <v>95200.57</v>
      </c>
      <c r="O14" s="67">
        <v>6664.04</v>
      </c>
      <c r="P14" s="67">
        <f>N14+O14</f>
        <v>101864.61</v>
      </c>
      <c r="Q14" s="67"/>
      <c r="R14" s="67"/>
    </row>
    <row r="15" spans="1:18" x14ac:dyDescent="0.25">
      <c r="A15" s="65" t="s">
        <v>205</v>
      </c>
      <c r="B15" s="67">
        <f>538302.04/2</f>
        <v>269151.02</v>
      </c>
      <c r="C15" s="68"/>
      <c r="D15" s="67"/>
      <c r="E15" s="67">
        <f>37681.14/2</f>
        <v>18840.57</v>
      </c>
      <c r="F15" s="67">
        <f t="shared" si="0"/>
        <v>287991.59000000003</v>
      </c>
      <c r="G15" s="67">
        <v>1439957.9500000002</v>
      </c>
      <c r="H15" s="67">
        <v>1439957.9500000002</v>
      </c>
      <c r="I15" s="67">
        <v>1200000</v>
      </c>
      <c r="J15" s="67"/>
      <c r="K15" s="67">
        <f>P15/2</f>
        <v>287991.59000000003</v>
      </c>
      <c r="L15" s="67"/>
      <c r="M15" s="67"/>
      <c r="N15" s="67">
        <v>538302.04</v>
      </c>
      <c r="O15" s="67">
        <v>37681.14</v>
      </c>
      <c r="P15" s="67">
        <f>N15+O15</f>
        <v>575983.18000000005</v>
      </c>
      <c r="Q15" s="67"/>
      <c r="R15" s="67"/>
    </row>
    <row r="16" spans="1:18" s="2" customFormat="1" x14ac:dyDescent="0.25">
      <c r="A16" s="65" t="s">
        <v>232</v>
      </c>
      <c r="B16" s="67"/>
      <c r="C16" s="68"/>
      <c r="D16" s="67"/>
      <c r="E16" s="67"/>
      <c r="F16" s="67"/>
      <c r="G16" s="67"/>
      <c r="H16" s="67"/>
      <c r="I16" s="67">
        <v>438842.58871166519</v>
      </c>
      <c r="J16" s="67"/>
      <c r="K16" s="67"/>
      <c r="L16" s="67"/>
      <c r="M16" s="67"/>
      <c r="N16" s="67"/>
      <c r="O16" s="67"/>
      <c r="P16" s="67"/>
      <c r="Q16" s="67"/>
      <c r="R16" s="67"/>
    </row>
    <row r="17" spans="1:18" s="2" customFormat="1" x14ac:dyDescent="0.25">
      <c r="A17" s="65" t="s">
        <v>207</v>
      </c>
      <c r="B17" s="67"/>
      <c r="C17" s="67"/>
      <c r="D17" s="67"/>
      <c r="E17" s="67"/>
      <c r="F17" s="67">
        <f>F3+F4+F14+F15</f>
        <v>4236913.4249999998</v>
      </c>
      <c r="G17" s="67">
        <f>G3+G4+G15</f>
        <v>6242440.3399499999</v>
      </c>
      <c r="H17" s="67">
        <v>12467586.71454465</v>
      </c>
      <c r="I17" s="67">
        <f>SUM(I3:I16)</f>
        <v>7908022.4274497377</v>
      </c>
      <c r="J17" s="67"/>
      <c r="K17" s="67"/>
      <c r="L17" s="67"/>
      <c r="M17" s="67"/>
      <c r="N17" s="67">
        <v>9994746.7616981622</v>
      </c>
      <c r="O17" s="67"/>
      <c r="P17" s="67"/>
      <c r="Q17" s="67"/>
      <c r="R17" s="67">
        <f>R18</f>
        <v>23470014</v>
      </c>
    </row>
    <row r="18" spans="1:18" ht="18.75" x14ac:dyDescent="0.25">
      <c r="A18" s="66" t="s">
        <v>211</v>
      </c>
      <c r="B18" s="67"/>
      <c r="C18" s="67"/>
      <c r="D18" s="67"/>
      <c r="E18" s="67"/>
      <c r="F18" s="78">
        <f>F17</f>
        <v>4236913.4249999998</v>
      </c>
      <c r="G18" s="78">
        <f>J18-F18</f>
        <v>7029448.5750000002</v>
      </c>
      <c r="H18" s="78">
        <v>7029448.5750000002</v>
      </c>
      <c r="I18" s="125">
        <f>H18-I17</f>
        <v>-878573.85244973749</v>
      </c>
      <c r="J18" s="78">
        <v>11266362</v>
      </c>
      <c r="K18" s="67"/>
      <c r="L18" s="67"/>
      <c r="M18" s="67">
        <v>12203652</v>
      </c>
      <c r="N18" s="67"/>
      <c r="O18" s="67"/>
      <c r="P18" s="67"/>
      <c r="Q18" s="67"/>
      <c r="R18" s="67">
        <v>23470014</v>
      </c>
    </row>
    <row r="19" spans="1:18" ht="18.75" x14ac:dyDescent="0.25">
      <c r="E19" s="124"/>
      <c r="F19" s="124"/>
      <c r="G19" s="124"/>
      <c r="H19" s="124"/>
      <c r="I19" s="124"/>
      <c r="J19" s="130"/>
      <c r="Q19" s="214">
        <v>0.5</v>
      </c>
      <c r="R19" s="2">
        <f>R18/2</f>
        <v>11735007</v>
      </c>
    </row>
    <row r="20" spans="1:18" ht="15.75" thickBot="1" x14ac:dyDescent="0.3">
      <c r="Q20" s="2" t="s">
        <v>404</v>
      </c>
      <c r="R20" s="2">
        <v>12703000</v>
      </c>
    </row>
    <row r="21" spans="1:18" ht="15.75" thickBot="1" x14ac:dyDescent="0.3">
      <c r="A21" s="69" t="s">
        <v>218</v>
      </c>
      <c r="B21" s="70" t="s">
        <v>219</v>
      </c>
      <c r="C21" s="75"/>
      <c r="D21" s="75"/>
      <c r="E21" s="75"/>
      <c r="F21" s="75"/>
      <c r="G21" s="75" t="s">
        <v>220</v>
      </c>
      <c r="H21" s="69" t="s">
        <v>232</v>
      </c>
      <c r="I21" s="127"/>
      <c r="J21"/>
      <c r="K21" s="119"/>
      <c r="Q21" s="2" t="s">
        <v>300</v>
      </c>
      <c r="R21" s="215">
        <f>R19-R20</f>
        <v>-967993</v>
      </c>
    </row>
    <row r="22" spans="1:18" ht="15.75" thickBot="1" x14ac:dyDescent="0.3">
      <c r="A22" s="71" t="s">
        <v>221</v>
      </c>
      <c r="B22" s="72" t="s">
        <v>222</v>
      </c>
      <c r="C22" s="76"/>
      <c r="D22" s="76"/>
      <c r="E22" s="76"/>
      <c r="F22" s="76"/>
      <c r="G22" s="76" t="s">
        <v>223</v>
      </c>
      <c r="H22" s="71" t="s">
        <v>237</v>
      </c>
      <c r="I22" s="128"/>
      <c r="J22"/>
      <c r="Q22" s="216" t="s">
        <v>405</v>
      </c>
      <c r="R22" s="2">
        <v>0</v>
      </c>
    </row>
    <row r="23" spans="1:18" ht="15.75" thickBot="1" x14ac:dyDescent="0.3">
      <c r="A23" s="71" t="s">
        <v>221</v>
      </c>
      <c r="B23" s="72" t="s">
        <v>224</v>
      </c>
      <c r="C23" s="76"/>
      <c r="D23" s="76"/>
      <c r="E23" s="76"/>
      <c r="F23" s="76"/>
      <c r="G23" s="76" t="s">
        <v>225</v>
      </c>
      <c r="H23" s="71" t="s">
        <v>238</v>
      </c>
      <c r="I23" s="128"/>
      <c r="J23"/>
      <c r="Q23" s="217">
        <v>7.0000000000000007E-2</v>
      </c>
      <c r="R23" s="2">
        <v>0</v>
      </c>
    </row>
    <row r="24" spans="1:18" ht="15.75" thickBot="1" x14ac:dyDescent="0.3">
      <c r="A24" s="71" t="s">
        <v>226</v>
      </c>
      <c r="B24" s="72" t="s">
        <v>222</v>
      </c>
      <c r="C24" s="76"/>
      <c r="D24" s="76"/>
      <c r="E24" s="76"/>
      <c r="F24" s="76"/>
      <c r="G24" s="76" t="s">
        <v>227</v>
      </c>
      <c r="H24" s="71" t="s">
        <v>239</v>
      </c>
      <c r="I24" s="128"/>
      <c r="J24"/>
    </row>
    <row r="25" spans="1:18" ht="15.75" thickBot="1" x14ac:dyDescent="0.3">
      <c r="A25" s="71" t="s">
        <v>226</v>
      </c>
      <c r="B25" s="72" t="s">
        <v>224</v>
      </c>
      <c r="C25" s="76"/>
      <c r="D25" s="76"/>
      <c r="E25" s="76"/>
      <c r="F25" s="76"/>
      <c r="G25" s="76" t="s">
        <v>228</v>
      </c>
      <c r="H25" s="71" t="s">
        <v>240</v>
      </c>
      <c r="I25" s="128"/>
      <c r="J25"/>
    </row>
    <row r="26" spans="1:18" ht="15.75" thickBot="1" x14ac:dyDescent="0.3">
      <c r="A26" s="71" t="s">
        <v>229</v>
      </c>
      <c r="B26" s="72" t="s">
        <v>230</v>
      </c>
      <c r="C26" s="76"/>
      <c r="D26" s="76"/>
      <c r="E26" s="76"/>
      <c r="F26" s="76"/>
      <c r="G26" s="76" t="s">
        <v>231</v>
      </c>
      <c r="H26" s="71" t="s">
        <v>241</v>
      </c>
      <c r="I26" s="128"/>
      <c r="J26"/>
    </row>
    <row r="27" spans="1:18" ht="15.75" thickBot="1" x14ac:dyDescent="0.3">
      <c r="A27" s="71" t="s">
        <v>229</v>
      </c>
      <c r="B27" s="72" t="s">
        <v>232</v>
      </c>
      <c r="C27" s="76"/>
      <c r="D27" s="76"/>
      <c r="E27" s="76"/>
      <c r="F27" s="76"/>
      <c r="G27" s="76" t="s">
        <v>233</v>
      </c>
      <c r="H27" s="71"/>
      <c r="I27" s="128"/>
      <c r="J27"/>
    </row>
    <row r="28" spans="1:18" ht="15.75" thickBot="1" x14ac:dyDescent="0.3">
      <c r="A28" s="71" t="s">
        <v>234</v>
      </c>
      <c r="B28" s="72"/>
      <c r="C28" s="76"/>
      <c r="D28" s="76"/>
      <c r="E28" s="76"/>
      <c r="F28" s="76"/>
      <c r="G28" s="76" t="s">
        <v>242</v>
      </c>
      <c r="H28" s="71" t="s">
        <v>243</v>
      </c>
      <c r="I28" s="128"/>
      <c r="J28"/>
    </row>
    <row r="29" spans="1:18" ht="15.75" thickBot="1" x14ac:dyDescent="0.3">
      <c r="A29" s="73" t="s">
        <v>235</v>
      </c>
      <c r="B29" s="74"/>
      <c r="C29" s="74"/>
      <c r="D29" s="74"/>
      <c r="E29" s="74"/>
      <c r="F29" s="74"/>
      <c r="G29" s="77" t="s">
        <v>236</v>
      </c>
      <c r="H29" s="77" t="s">
        <v>244</v>
      </c>
      <c r="I29" s="129"/>
      <c r="J29"/>
    </row>
    <row r="31" spans="1:18" x14ac:dyDescent="0.25">
      <c r="G31" s="81" t="s">
        <v>246</v>
      </c>
      <c r="H31" s="81"/>
      <c r="I31" s="81"/>
      <c r="J31" s="82">
        <f>'на новую заявку'!I11+'на новую заявку'!I35+'на новую заявку'!I36+'на новую заявку'!I50</f>
        <v>0</v>
      </c>
    </row>
    <row r="35" spans="3:3" x14ac:dyDescent="0.25">
      <c r="C35" s="2" t="s">
        <v>274</v>
      </c>
    </row>
  </sheetData>
  <mergeCells count="4">
    <mergeCell ref="B1:J1"/>
    <mergeCell ref="K1:M1"/>
    <mergeCell ref="N1:R1"/>
    <mergeCell ref="C2:D2"/>
  </mergeCells>
  <pageMargins left="0.7" right="0.7" top="0.75" bottom="0.75"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7"/>
  <sheetViews>
    <sheetView zoomScale="70" zoomScaleNormal="70" workbookViewId="0">
      <selection activeCell="K8" sqref="K8"/>
    </sheetView>
  </sheetViews>
  <sheetFormatPr defaultRowHeight="15" x14ac:dyDescent="0.25"/>
  <cols>
    <col min="1" max="1" width="29.5703125" style="4" customWidth="1"/>
    <col min="2" max="3" width="25.140625" style="4" customWidth="1"/>
    <col min="4" max="5" width="16.85546875" style="11" customWidth="1"/>
    <col min="6" max="7" width="12.7109375" style="4" customWidth="1"/>
    <col min="8" max="8" width="14.5703125" style="4" hidden="1" customWidth="1"/>
    <col min="9" max="9" width="15.42578125" style="4" customWidth="1"/>
    <col min="10" max="11" width="10.5703125" style="4" bestFit="1" customWidth="1"/>
    <col min="12" max="12" width="9.28515625" style="4" bestFit="1" customWidth="1"/>
    <col min="13" max="16384" width="9.140625" style="4"/>
  </cols>
  <sheetData>
    <row r="1" spans="1:28" ht="23.25" x14ac:dyDescent="0.25">
      <c r="A1" s="497"/>
      <c r="B1" s="497"/>
      <c r="C1" s="497"/>
      <c r="D1" s="497"/>
      <c r="E1" s="497"/>
      <c r="F1" s="497"/>
      <c r="G1" s="497"/>
      <c r="H1" s="497"/>
      <c r="I1" s="2"/>
      <c r="J1" s="2"/>
      <c r="K1" s="2"/>
      <c r="L1" s="2"/>
      <c r="M1" s="2"/>
      <c r="N1" s="2"/>
      <c r="O1" s="2"/>
      <c r="P1" s="2"/>
      <c r="Q1" s="2"/>
      <c r="R1" s="2"/>
      <c r="S1" s="2"/>
      <c r="T1" s="2"/>
      <c r="U1" s="2"/>
      <c r="V1" s="2"/>
      <c r="W1" s="2"/>
      <c r="X1" s="2"/>
      <c r="Y1" s="2"/>
      <c r="Z1" s="2"/>
      <c r="AA1" s="2"/>
      <c r="AB1" s="2"/>
    </row>
    <row r="2" spans="1:28" ht="15" customHeight="1" x14ac:dyDescent="0.3">
      <c r="A2" s="522" t="s">
        <v>19</v>
      </c>
      <c r="B2" s="520" t="s">
        <v>286</v>
      </c>
      <c r="C2" s="247"/>
      <c r="D2" s="523" t="s">
        <v>160</v>
      </c>
      <c r="E2" s="526"/>
      <c r="F2" s="524" t="s">
        <v>161</v>
      </c>
      <c r="G2" s="528"/>
      <c r="H2" s="525" t="s">
        <v>162</v>
      </c>
      <c r="I2" s="514"/>
      <c r="J2" s="516" t="s">
        <v>298</v>
      </c>
      <c r="K2" s="517"/>
      <c r="L2" s="248"/>
      <c r="M2" s="2"/>
      <c r="N2" s="2"/>
      <c r="O2" s="2"/>
      <c r="P2" s="2"/>
      <c r="Q2" s="2"/>
      <c r="R2" s="2"/>
      <c r="S2" s="2"/>
      <c r="T2" s="2"/>
      <c r="U2" s="2"/>
      <c r="V2" s="2"/>
      <c r="W2" s="2"/>
      <c r="X2" s="2"/>
      <c r="Y2" s="2"/>
      <c r="Z2" s="2"/>
      <c r="AA2" s="2"/>
      <c r="AB2" s="2"/>
    </row>
    <row r="3" spans="1:28" ht="56.25" customHeight="1" x14ac:dyDescent="0.3">
      <c r="A3" s="522"/>
      <c r="B3" s="521"/>
      <c r="C3" s="249"/>
      <c r="D3" s="523"/>
      <c r="E3" s="527"/>
      <c r="F3" s="524"/>
      <c r="G3" s="529"/>
      <c r="H3" s="525"/>
      <c r="I3" s="515"/>
      <c r="J3" s="518"/>
      <c r="K3" s="519"/>
      <c r="L3" s="248"/>
      <c r="M3" s="2"/>
      <c r="N3" s="2"/>
      <c r="O3" s="2"/>
      <c r="P3" s="2"/>
      <c r="Q3" s="2"/>
      <c r="R3" s="2"/>
      <c r="S3" s="2"/>
      <c r="T3" s="2"/>
      <c r="U3" s="2"/>
      <c r="V3" s="2"/>
      <c r="W3" s="2"/>
      <c r="X3" s="2"/>
      <c r="Y3" s="2"/>
      <c r="Z3" s="2"/>
      <c r="AA3" s="2"/>
      <c r="AB3" s="2"/>
    </row>
    <row r="4" spans="1:28" ht="18.75" x14ac:dyDescent="0.3">
      <c r="A4" s="250" t="s">
        <v>0</v>
      </c>
      <c r="B4" s="250" t="s">
        <v>297</v>
      </c>
      <c r="C4" s="250" t="s">
        <v>296</v>
      </c>
      <c r="D4" s="250" t="s">
        <v>297</v>
      </c>
      <c r="E4" s="250" t="s">
        <v>296</v>
      </c>
      <c r="F4" s="250" t="s">
        <v>297</v>
      </c>
      <c r="G4" s="250" t="s">
        <v>296</v>
      </c>
      <c r="H4" s="250"/>
      <c r="I4" s="251"/>
      <c r="J4" s="251"/>
      <c r="K4" s="251"/>
      <c r="L4" s="248"/>
      <c r="M4" s="2"/>
      <c r="N4" s="2"/>
      <c r="O4" s="2"/>
      <c r="P4" s="2"/>
      <c r="Q4" s="2"/>
      <c r="R4" s="2"/>
      <c r="S4" s="2"/>
      <c r="T4" s="2"/>
      <c r="U4" s="2"/>
      <c r="V4" s="2"/>
      <c r="W4" s="2"/>
      <c r="X4" s="2"/>
      <c r="Y4" s="2"/>
      <c r="Z4" s="2"/>
      <c r="AA4" s="2"/>
      <c r="AB4" s="2"/>
    </row>
    <row r="5" spans="1:28" ht="75" x14ac:dyDescent="0.3">
      <c r="A5" s="90" t="s">
        <v>60</v>
      </c>
      <c r="B5" s="90">
        <v>16250</v>
      </c>
      <c r="C5" s="246" t="s">
        <v>285</v>
      </c>
      <c r="D5" s="246">
        <v>17500</v>
      </c>
      <c r="E5" s="246" t="s">
        <v>284</v>
      </c>
      <c r="F5" s="90">
        <v>18750</v>
      </c>
      <c r="G5" s="246" t="s">
        <v>283</v>
      </c>
      <c r="H5" s="56">
        <f>F5</f>
        <v>18750</v>
      </c>
      <c r="I5" s="246" t="s">
        <v>282</v>
      </c>
      <c r="J5" s="246" t="s">
        <v>297</v>
      </c>
      <c r="K5" s="246" t="s">
        <v>296</v>
      </c>
      <c r="L5" s="248"/>
      <c r="M5" s="2"/>
      <c r="N5" s="2"/>
      <c r="O5" s="2"/>
      <c r="P5" s="2"/>
      <c r="Q5" s="2"/>
      <c r="R5" s="2"/>
      <c r="S5" s="2"/>
      <c r="T5" s="2"/>
      <c r="U5" s="2"/>
      <c r="V5" s="2"/>
      <c r="W5" s="2"/>
      <c r="X5" s="2"/>
      <c r="Y5" s="2"/>
      <c r="Z5" s="2"/>
      <c r="AA5" s="2"/>
      <c r="AB5" s="2"/>
    </row>
    <row r="6" spans="1:28" ht="18.75" x14ac:dyDescent="0.3">
      <c r="A6" s="90" t="s">
        <v>423</v>
      </c>
      <c r="B6" s="90">
        <v>33</v>
      </c>
      <c r="C6" s="90">
        <v>33</v>
      </c>
      <c r="D6" s="246">
        <v>33</v>
      </c>
      <c r="E6" s="246">
        <v>24</v>
      </c>
      <c r="F6" s="90">
        <v>33</v>
      </c>
      <c r="G6" s="246">
        <v>19</v>
      </c>
      <c r="H6" s="56"/>
      <c r="I6" s="246"/>
      <c r="J6" s="251">
        <f>6500/B6</f>
        <v>196.96969696969697</v>
      </c>
      <c r="K6" s="251">
        <f>9750/C6</f>
        <v>295.45454545454544</v>
      </c>
      <c r="L6" s="248">
        <v>2018</v>
      </c>
      <c r="M6" s="2"/>
      <c r="N6" s="2"/>
      <c r="O6" s="2"/>
      <c r="P6" s="2"/>
      <c r="Q6" s="2"/>
      <c r="R6" s="2"/>
      <c r="S6" s="2"/>
      <c r="T6" s="2"/>
      <c r="U6" s="2"/>
      <c r="V6" s="2"/>
      <c r="W6" s="2"/>
      <c r="X6" s="2"/>
      <c r="Y6" s="2"/>
      <c r="Z6" s="2"/>
      <c r="AA6" s="2"/>
      <c r="AB6" s="2"/>
    </row>
    <row r="7" spans="1:28" ht="18.75" x14ac:dyDescent="0.3">
      <c r="A7" s="260" t="s">
        <v>292</v>
      </c>
      <c r="B7" s="260">
        <f>6500/100</f>
        <v>65</v>
      </c>
      <c r="C7" s="260">
        <f>9750/100</f>
        <v>97.5</v>
      </c>
      <c r="D7" s="460">
        <f>7000/100</f>
        <v>70</v>
      </c>
      <c r="E7" s="460">
        <f>10500/100</f>
        <v>105</v>
      </c>
      <c r="F7" s="260">
        <f>7500/100</f>
        <v>75</v>
      </c>
      <c r="G7" s="461">
        <f>11250/100</f>
        <v>112.5</v>
      </c>
      <c r="H7" s="56"/>
      <c r="I7" s="257" t="s">
        <v>288</v>
      </c>
      <c r="J7" s="251">
        <f>7000/D6</f>
        <v>212.12121212121212</v>
      </c>
      <c r="K7" s="251">
        <f>10500/E6</f>
        <v>437.5</v>
      </c>
      <c r="L7" s="248">
        <v>2019</v>
      </c>
      <c r="M7" s="2"/>
      <c r="N7" s="2"/>
      <c r="O7" s="2"/>
      <c r="P7" s="2"/>
      <c r="Q7" s="2"/>
      <c r="R7" s="2"/>
      <c r="S7" s="2"/>
      <c r="T7" s="2"/>
      <c r="U7" s="2"/>
      <c r="V7" s="2"/>
      <c r="W7" s="2"/>
      <c r="X7" s="2"/>
      <c r="Y7" s="2"/>
      <c r="Z7" s="2"/>
      <c r="AA7" s="2"/>
      <c r="AB7" s="2"/>
    </row>
    <row r="8" spans="1:28" ht="18.75" x14ac:dyDescent="0.3">
      <c r="A8" s="90" t="s">
        <v>300</v>
      </c>
      <c r="B8" s="90">
        <f t="shared" ref="B8:G8" si="0">B7-B6</f>
        <v>32</v>
      </c>
      <c r="C8" s="54">
        <f t="shared" si="0"/>
        <v>64.5</v>
      </c>
      <c r="D8" s="54">
        <f t="shared" si="0"/>
        <v>37</v>
      </c>
      <c r="E8" s="54">
        <f t="shared" si="0"/>
        <v>81</v>
      </c>
      <c r="F8" s="54">
        <f t="shared" si="0"/>
        <v>42</v>
      </c>
      <c r="G8" s="54">
        <f t="shared" si="0"/>
        <v>93.5</v>
      </c>
      <c r="H8" s="56"/>
      <c r="I8" s="90"/>
      <c r="J8" s="251">
        <f>7500/F6</f>
        <v>227.27272727272728</v>
      </c>
      <c r="K8" s="251">
        <f>11250/G6</f>
        <v>592.10526315789468</v>
      </c>
      <c r="L8" s="248">
        <v>2020</v>
      </c>
      <c r="M8" s="2"/>
      <c r="N8" s="2"/>
      <c r="O8" s="2"/>
      <c r="P8" s="2"/>
      <c r="Q8" s="2"/>
      <c r="R8" s="2"/>
      <c r="S8" s="2"/>
      <c r="T8" s="2"/>
      <c r="U8" s="2"/>
      <c r="V8" s="2"/>
      <c r="W8" s="2"/>
      <c r="X8" s="2"/>
      <c r="Y8" s="2"/>
      <c r="Z8" s="2"/>
      <c r="AA8" s="2"/>
      <c r="AB8" s="2"/>
    </row>
    <row r="9" spans="1:28" ht="112.5" x14ac:dyDescent="0.3">
      <c r="A9" s="90" t="s">
        <v>294</v>
      </c>
      <c r="B9" s="54">
        <f t="shared" ref="B9:G9" si="1">B7*15%</f>
        <v>9.75</v>
      </c>
      <c r="C9" s="54">
        <f t="shared" si="1"/>
        <v>14.625</v>
      </c>
      <c r="D9" s="54">
        <f t="shared" si="1"/>
        <v>10.5</v>
      </c>
      <c r="E9" s="54">
        <f t="shared" si="1"/>
        <v>15.75</v>
      </c>
      <c r="F9" s="54">
        <f t="shared" si="1"/>
        <v>11.25</v>
      </c>
      <c r="G9" s="54">
        <f t="shared" si="1"/>
        <v>16.875</v>
      </c>
      <c r="H9" s="56"/>
      <c r="I9" s="246" t="s">
        <v>299</v>
      </c>
      <c r="J9" s="258">
        <v>159.43065693430657</v>
      </c>
      <c r="K9" s="258">
        <v>150</v>
      </c>
      <c r="L9" s="248"/>
      <c r="M9" s="2"/>
      <c r="N9" s="2"/>
      <c r="O9" s="2"/>
      <c r="P9" s="2"/>
      <c r="Q9" s="2"/>
      <c r="R9" s="2"/>
      <c r="S9" s="2"/>
      <c r="T9" s="2"/>
      <c r="U9" s="2"/>
      <c r="V9" s="2"/>
      <c r="W9" s="2"/>
      <c r="X9" s="2"/>
      <c r="Y9" s="2"/>
      <c r="Z9" s="2"/>
      <c r="AA9" s="2"/>
      <c r="AB9" s="2"/>
    </row>
    <row r="10" spans="1:28" ht="37.5" x14ac:dyDescent="0.3">
      <c r="A10" s="56" t="s">
        <v>31</v>
      </c>
      <c r="B10" s="56">
        <v>14625</v>
      </c>
      <c r="C10" s="56"/>
      <c r="D10" s="246">
        <v>15750</v>
      </c>
      <c r="E10" s="246"/>
      <c r="F10" s="318">
        <v>16875</v>
      </c>
      <c r="G10" s="54"/>
      <c r="H10" s="56">
        <f>F10/2</f>
        <v>8437.5</v>
      </c>
      <c r="I10" s="251"/>
      <c r="J10" s="251"/>
      <c r="K10" s="251"/>
      <c r="L10" s="248"/>
      <c r="M10" s="2"/>
      <c r="N10" s="2"/>
      <c r="O10" s="2"/>
      <c r="P10" s="2"/>
      <c r="Q10" s="2"/>
      <c r="R10" s="2"/>
      <c r="S10" s="2"/>
      <c r="T10" s="2"/>
      <c r="U10" s="2"/>
      <c r="V10" s="2"/>
      <c r="W10" s="2"/>
      <c r="X10" s="2"/>
      <c r="Y10" s="2"/>
      <c r="Z10" s="2"/>
      <c r="AA10" s="2"/>
      <c r="AB10" s="2"/>
    </row>
    <row r="11" spans="1:28" ht="18.75" x14ac:dyDescent="0.3">
      <c r="A11" s="90" t="s">
        <v>32</v>
      </c>
      <c r="B11" s="90"/>
      <c r="C11" s="90"/>
      <c r="D11" s="255"/>
      <c r="E11" s="255"/>
      <c r="F11" s="90"/>
      <c r="G11" s="90"/>
      <c r="H11" s="90"/>
      <c r="I11" s="251"/>
      <c r="J11" s="251"/>
      <c r="K11" s="251"/>
      <c r="L11" s="248"/>
      <c r="M11" s="2"/>
      <c r="N11" s="2"/>
      <c r="O11" s="2"/>
      <c r="P11" s="2"/>
      <c r="Q11" s="2"/>
      <c r="R11" s="2"/>
      <c r="S11" s="2"/>
      <c r="T11" s="2"/>
      <c r="U11" s="2"/>
      <c r="V11" s="2"/>
      <c r="W11" s="2"/>
      <c r="X11" s="2"/>
      <c r="Y11" s="2"/>
      <c r="Z11" s="2"/>
      <c r="AA11" s="2"/>
      <c r="AB11" s="2"/>
    </row>
    <row r="12" spans="1:28" ht="18.75" x14ac:dyDescent="0.3">
      <c r="A12" s="56" t="s">
        <v>36</v>
      </c>
      <c r="B12" s="56"/>
      <c r="C12" s="56"/>
      <c r="D12" s="246"/>
      <c r="E12" s="246"/>
      <c r="F12" s="90"/>
      <c r="G12" s="90"/>
      <c r="H12" s="56"/>
      <c r="I12" s="251"/>
      <c r="J12" s="251"/>
      <c r="K12" s="251"/>
      <c r="L12" s="248"/>
      <c r="M12" s="2"/>
      <c r="N12" s="2"/>
      <c r="O12" s="2"/>
      <c r="P12" s="2"/>
      <c r="Q12" s="2"/>
      <c r="R12" s="2"/>
      <c r="S12" s="2"/>
      <c r="T12" s="2"/>
      <c r="U12" s="2"/>
      <c r="V12" s="2"/>
      <c r="W12" s="2"/>
      <c r="X12" s="2"/>
      <c r="Y12" s="2"/>
      <c r="Z12" s="2"/>
      <c r="AA12" s="2"/>
      <c r="AB12" s="2"/>
    </row>
    <row r="13" spans="1:28" ht="18.75" x14ac:dyDescent="0.3">
      <c r="A13" s="22" t="s">
        <v>47</v>
      </c>
      <c r="B13" s="22"/>
      <c r="C13" s="22"/>
      <c r="D13" s="22"/>
      <c r="E13" s="22"/>
      <c r="F13" s="22"/>
      <c r="G13" s="22"/>
      <c r="H13" s="22"/>
      <c r="I13" s="259"/>
      <c r="J13" s="259"/>
      <c r="K13" s="259"/>
      <c r="L13" s="252"/>
      <c r="M13" s="222"/>
      <c r="N13" s="2"/>
      <c r="O13" s="2"/>
      <c r="P13" s="2"/>
      <c r="Q13" s="2"/>
      <c r="R13" s="2"/>
      <c r="S13" s="2"/>
      <c r="T13" s="2"/>
      <c r="U13" s="2"/>
      <c r="V13" s="2"/>
      <c r="W13" s="2"/>
      <c r="X13" s="2"/>
      <c r="Y13" s="2"/>
      <c r="Z13" s="2"/>
      <c r="AA13" s="2"/>
      <c r="AB13" s="2"/>
    </row>
    <row r="14" spans="1:28" ht="18.75" x14ac:dyDescent="0.3">
      <c r="A14" s="90" t="s">
        <v>23</v>
      </c>
      <c r="B14" s="90"/>
      <c r="C14" s="90"/>
      <c r="D14" s="90">
        <v>1750</v>
      </c>
      <c r="E14" s="90"/>
      <c r="F14" s="90">
        <v>2125</v>
      </c>
      <c r="G14" s="90"/>
      <c r="H14" s="260">
        <v>2125</v>
      </c>
      <c r="I14" s="259"/>
      <c r="J14" s="259"/>
      <c r="K14" s="259"/>
      <c r="L14" s="252"/>
      <c r="M14" s="222"/>
      <c r="N14" s="2"/>
      <c r="O14" s="2"/>
      <c r="P14" s="2"/>
      <c r="Q14" s="2"/>
      <c r="R14" s="2"/>
      <c r="S14" s="2"/>
      <c r="T14" s="2"/>
      <c r="U14" s="2"/>
      <c r="V14" s="2"/>
      <c r="W14" s="2"/>
      <c r="X14" s="2"/>
      <c r="Y14" s="2"/>
      <c r="Z14" s="2"/>
      <c r="AA14" s="2"/>
      <c r="AB14" s="2"/>
    </row>
    <row r="15" spans="1:28" ht="18.75" x14ac:dyDescent="0.3">
      <c r="A15" s="90" t="s">
        <v>24</v>
      </c>
      <c r="B15" s="280">
        <v>0.6</v>
      </c>
      <c r="C15" s="90"/>
      <c r="D15" s="261">
        <v>0.65</v>
      </c>
      <c r="E15" s="261"/>
      <c r="F15" s="261">
        <v>0.7</v>
      </c>
      <c r="G15" s="261"/>
      <c r="H15" s="90"/>
      <c r="I15" s="259"/>
      <c r="J15" s="259"/>
      <c r="K15" s="259"/>
      <c r="L15" s="252"/>
      <c r="M15" s="2"/>
      <c r="N15" s="2"/>
      <c r="O15" s="2"/>
      <c r="P15" s="2"/>
      <c r="Q15" s="2"/>
      <c r="R15" s="2"/>
      <c r="S15" s="2"/>
      <c r="T15" s="2"/>
      <c r="U15" s="2"/>
      <c r="V15" s="2"/>
      <c r="W15" s="2"/>
      <c r="X15" s="2"/>
      <c r="Y15" s="2"/>
      <c r="Z15" s="2"/>
      <c r="AA15" s="2"/>
      <c r="AB15" s="2"/>
    </row>
    <row r="16" spans="1:28" ht="37.5" x14ac:dyDescent="0.3">
      <c r="A16" s="262" t="s">
        <v>301</v>
      </c>
      <c r="B16" s="90">
        <v>13</v>
      </c>
      <c r="C16" s="90"/>
      <c r="D16" s="246">
        <v>13</v>
      </c>
      <c r="E16" s="246"/>
      <c r="F16" s="90">
        <v>12</v>
      </c>
      <c r="G16" s="246"/>
      <c r="H16" s="56"/>
      <c r="I16" s="259"/>
      <c r="J16" s="259"/>
      <c r="K16" s="259"/>
      <c r="L16" s="252"/>
      <c r="M16" s="2"/>
      <c r="N16" s="2"/>
      <c r="O16" s="2"/>
      <c r="P16" s="2"/>
      <c r="Q16" s="2"/>
      <c r="R16" s="2"/>
      <c r="S16" s="2"/>
      <c r="T16" s="2"/>
      <c r="U16" s="2"/>
      <c r="V16" s="2"/>
      <c r="W16" s="2"/>
      <c r="X16" s="2"/>
      <c r="Y16" s="2"/>
      <c r="Z16" s="2"/>
      <c r="AA16" s="2"/>
      <c r="AB16" s="2"/>
    </row>
    <row r="17" spans="1:28" ht="18.75" x14ac:dyDescent="0.3">
      <c r="A17" s="260" t="s">
        <v>292</v>
      </c>
      <c r="B17" s="260">
        <v>26</v>
      </c>
      <c r="C17" s="260"/>
      <c r="D17" s="460">
        <v>26</v>
      </c>
      <c r="E17" s="460"/>
      <c r="F17" s="260">
        <v>26</v>
      </c>
      <c r="G17" s="246"/>
      <c r="H17" s="56"/>
      <c r="I17" s="259"/>
      <c r="J17" s="259"/>
      <c r="K17" s="259"/>
      <c r="L17" s="252"/>
      <c r="M17" s="222"/>
      <c r="N17" s="2"/>
      <c r="O17" s="2"/>
      <c r="P17" s="2"/>
      <c r="Q17" s="2"/>
      <c r="R17" s="2"/>
      <c r="S17" s="2"/>
      <c r="T17" s="2"/>
      <c r="U17" s="2"/>
      <c r="V17" s="2"/>
      <c r="W17" s="2"/>
      <c r="X17" s="2"/>
      <c r="Y17" s="2"/>
      <c r="Z17" s="2"/>
      <c r="AA17" s="2"/>
      <c r="AB17" s="2"/>
    </row>
    <row r="18" spans="1:28" ht="18.75" x14ac:dyDescent="0.3">
      <c r="A18" s="263" t="s">
        <v>293</v>
      </c>
      <c r="B18" s="253">
        <f>B17-B16</f>
        <v>13</v>
      </c>
      <c r="C18" s="253"/>
      <c r="D18" s="253">
        <f>D17-D16</f>
        <v>13</v>
      </c>
      <c r="E18" s="253"/>
      <c r="F18" s="253">
        <f>F17-F16</f>
        <v>14</v>
      </c>
      <c r="G18" s="264"/>
      <c r="H18" s="265"/>
      <c r="I18" s="259"/>
      <c r="J18" s="259"/>
      <c r="K18" s="259"/>
      <c r="L18" s="252"/>
      <c r="M18" s="222"/>
      <c r="N18" s="2"/>
      <c r="O18" s="2"/>
      <c r="P18" s="2"/>
      <c r="Q18" s="2"/>
      <c r="R18" s="2"/>
      <c r="S18" s="2"/>
      <c r="T18" s="2"/>
      <c r="U18" s="2"/>
      <c r="V18" s="2"/>
      <c r="W18" s="2"/>
      <c r="X18" s="2"/>
      <c r="Y18" s="2"/>
      <c r="Z18" s="2"/>
      <c r="AA18" s="2"/>
      <c r="AB18" s="2"/>
    </row>
    <row r="19" spans="1:28" ht="18.75" x14ac:dyDescent="0.3">
      <c r="A19" s="250" t="s">
        <v>9</v>
      </c>
      <c r="B19" s="250"/>
      <c r="C19" s="250"/>
      <c r="D19" s="250"/>
      <c r="E19" s="250"/>
      <c r="F19" s="250"/>
      <c r="G19" s="250"/>
      <c r="H19" s="250"/>
      <c r="I19" s="251"/>
      <c r="J19" s="251"/>
      <c r="K19" s="251"/>
      <c r="L19" s="2"/>
      <c r="M19" s="2"/>
      <c r="N19" s="2"/>
      <c r="O19" s="2"/>
      <c r="P19" s="2"/>
      <c r="Q19" s="2"/>
      <c r="R19" s="2"/>
      <c r="S19" s="2"/>
      <c r="T19" s="2"/>
      <c r="U19" s="2"/>
      <c r="V19" s="2"/>
      <c r="W19" s="2"/>
      <c r="X19" s="2"/>
      <c r="Y19" s="2"/>
      <c r="Z19" s="2"/>
      <c r="AA19" s="2"/>
      <c r="AB19" s="2"/>
    </row>
    <row r="20" spans="1:28" ht="18.75" x14ac:dyDescent="0.3">
      <c r="A20" s="90" t="s">
        <v>60</v>
      </c>
      <c r="B20" s="90">
        <v>4970</v>
      </c>
      <c r="C20" s="90"/>
      <c r="D20" s="255">
        <v>5325</v>
      </c>
      <c r="E20" s="255"/>
      <c r="F20" s="54">
        <v>5680</v>
      </c>
      <c r="G20" s="54"/>
      <c r="H20" s="54">
        <f>F20</f>
        <v>5680</v>
      </c>
      <c r="I20" s="90"/>
      <c r="J20" s="251"/>
      <c r="K20" s="251"/>
      <c r="L20" s="2"/>
      <c r="M20" s="2"/>
      <c r="N20" s="2"/>
      <c r="O20" s="2"/>
      <c r="P20" s="2"/>
      <c r="Q20" s="2"/>
      <c r="R20" s="2"/>
      <c r="S20" s="2"/>
      <c r="T20" s="2"/>
      <c r="U20" s="2"/>
      <c r="V20" s="2"/>
      <c r="W20" s="2"/>
      <c r="X20" s="2"/>
      <c r="Y20" s="2"/>
      <c r="Z20" s="2"/>
      <c r="AA20" s="2"/>
      <c r="AB20" s="2"/>
    </row>
    <row r="21" spans="1:28" ht="37.5" x14ac:dyDescent="0.3">
      <c r="A21" s="56" t="s">
        <v>31</v>
      </c>
      <c r="B21" s="56">
        <v>4473</v>
      </c>
      <c r="C21" s="56"/>
      <c r="D21" s="56">
        <v>4790</v>
      </c>
      <c r="E21" s="56"/>
      <c r="F21" s="54">
        <v>5110</v>
      </c>
      <c r="G21" s="54"/>
      <c r="H21" s="266">
        <f>F21/2</f>
        <v>2555</v>
      </c>
      <c r="I21" s="251"/>
      <c r="J21" s="251"/>
      <c r="K21" s="251"/>
      <c r="L21" s="2"/>
      <c r="M21" s="2"/>
      <c r="N21" s="2"/>
      <c r="O21" s="2"/>
      <c r="P21" s="2"/>
      <c r="Q21" s="2"/>
      <c r="R21" s="2"/>
      <c r="S21" s="2"/>
      <c r="T21" s="2"/>
      <c r="U21" s="2"/>
      <c r="V21" s="2"/>
      <c r="W21" s="2"/>
      <c r="X21" s="2"/>
      <c r="Y21" s="2"/>
      <c r="Z21" s="2"/>
      <c r="AA21" s="2"/>
      <c r="AB21" s="2"/>
    </row>
    <row r="22" spans="1:28" ht="18.75" x14ac:dyDescent="0.3">
      <c r="A22" s="90" t="s">
        <v>1</v>
      </c>
      <c r="B22" s="90"/>
      <c r="C22" s="90"/>
      <c r="D22" s="255"/>
      <c r="E22" s="255"/>
      <c r="F22" s="54"/>
      <c r="G22" s="54"/>
      <c r="H22" s="90"/>
      <c r="I22" s="251"/>
      <c r="J22" s="251"/>
      <c r="K22" s="251"/>
      <c r="L22" s="2"/>
      <c r="M22" s="2"/>
      <c r="N22" s="2"/>
      <c r="O22" s="2"/>
      <c r="P22" s="2"/>
      <c r="Q22" s="2"/>
      <c r="R22" s="2"/>
      <c r="S22" s="2"/>
      <c r="T22" s="2"/>
      <c r="U22" s="2"/>
      <c r="V22" s="2"/>
      <c r="W22" s="2"/>
      <c r="X22" s="2"/>
      <c r="Y22" s="2"/>
      <c r="Z22" s="2"/>
      <c r="AA22" s="2"/>
      <c r="AB22" s="2"/>
    </row>
    <row r="23" spans="1:28" ht="18.75" x14ac:dyDescent="0.3">
      <c r="A23" s="56" t="s">
        <v>36</v>
      </c>
      <c r="B23" s="56"/>
      <c r="C23" s="56"/>
      <c r="D23" s="246"/>
      <c r="E23" s="246"/>
      <c r="F23" s="54"/>
      <c r="G23" s="54"/>
      <c r="H23" s="56"/>
      <c r="I23" s="251"/>
      <c r="J23" s="251"/>
      <c r="K23" s="251"/>
      <c r="L23" s="2"/>
      <c r="M23" s="2"/>
      <c r="N23" s="2"/>
      <c r="O23" s="2"/>
      <c r="P23" s="2"/>
      <c r="Q23" s="2"/>
      <c r="R23" s="2"/>
      <c r="S23" s="2"/>
      <c r="T23" s="2"/>
      <c r="U23" s="2"/>
      <c r="V23" s="2"/>
      <c r="W23" s="2"/>
      <c r="X23" s="2"/>
      <c r="Y23" s="2"/>
      <c r="Z23" s="2"/>
      <c r="AA23" s="2"/>
      <c r="AB23" s="2"/>
    </row>
    <row r="24" spans="1:28" ht="18.75" x14ac:dyDescent="0.3">
      <c r="A24" s="90" t="s">
        <v>291</v>
      </c>
      <c r="B24" s="90">
        <v>13</v>
      </c>
      <c r="C24" s="90"/>
      <c r="D24" s="246">
        <v>9</v>
      </c>
      <c r="E24" s="246"/>
      <c r="F24" s="90">
        <v>7</v>
      </c>
      <c r="G24" s="246"/>
      <c r="H24" s="56"/>
      <c r="I24" s="267" t="s">
        <v>287</v>
      </c>
      <c r="J24" s="251">
        <f>B20/B24</f>
        <v>382.30769230769232</v>
      </c>
      <c r="K24" s="251">
        <v>2018</v>
      </c>
      <c r="L24" s="2"/>
      <c r="M24" s="2"/>
      <c r="N24" s="2"/>
      <c r="O24" s="2"/>
      <c r="P24" s="2"/>
      <c r="Q24" s="2"/>
      <c r="R24" s="2"/>
      <c r="S24" s="2"/>
      <c r="T24" s="2"/>
      <c r="U24" s="2"/>
      <c r="V24" s="2"/>
      <c r="W24" s="2"/>
      <c r="X24" s="2"/>
      <c r="Y24" s="2"/>
      <c r="Z24" s="2"/>
      <c r="AA24" s="2"/>
      <c r="AB24" s="2"/>
    </row>
    <row r="25" spans="1:28" ht="18.75" x14ac:dyDescent="0.3">
      <c r="A25" s="260" t="s">
        <v>292</v>
      </c>
      <c r="B25" s="318">
        <f>B20/150</f>
        <v>33.133333333333333</v>
      </c>
      <c r="C25" s="260"/>
      <c r="D25" s="461">
        <f>D20/150</f>
        <v>35.5</v>
      </c>
      <c r="E25" s="460"/>
      <c r="F25" s="318">
        <f>F20/150</f>
        <v>37.866666666666667</v>
      </c>
      <c r="G25" s="246"/>
      <c r="H25" s="56"/>
      <c r="I25" s="246"/>
      <c r="J25" s="251">
        <f>D20/D24</f>
        <v>591.66666666666663</v>
      </c>
      <c r="K25" s="251">
        <v>2019</v>
      </c>
      <c r="L25" s="2"/>
      <c r="M25" s="2"/>
      <c r="N25" s="2"/>
      <c r="O25" s="2"/>
      <c r="P25" s="2"/>
      <c r="Q25" s="2"/>
      <c r="R25" s="2"/>
      <c r="S25" s="2"/>
      <c r="T25" s="2"/>
      <c r="U25" s="2"/>
      <c r="V25" s="2"/>
      <c r="W25" s="2"/>
      <c r="X25" s="2"/>
      <c r="Y25" s="2"/>
      <c r="Z25" s="2"/>
      <c r="AA25" s="2"/>
      <c r="AB25" s="2"/>
    </row>
    <row r="26" spans="1:28" ht="18.75" x14ac:dyDescent="0.3">
      <c r="A26" s="90" t="s">
        <v>293</v>
      </c>
      <c r="B26" s="54">
        <f>B25-B24</f>
        <v>20.133333333333333</v>
      </c>
      <c r="C26" s="54"/>
      <c r="D26" s="54">
        <f>D25-D24</f>
        <v>26.5</v>
      </c>
      <c r="E26" s="54"/>
      <c r="F26" s="54">
        <f>F25-F24</f>
        <v>30.866666666666667</v>
      </c>
      <c r="G26" s="246"/>
      <c r="H26" s="56"/>
      <c r="I26" s="246"/>
      <c r="J26" s="251">
        <f>F20/F24</f>
        <v>811.42857142857144</v>
      </c>
      <c r="K26" s="251">
        <v>2020</v>
      </c>
      <c r="L26" s="2"/>
      <c r="M26" s="2"/>
      <c r="N26" s="2"/>
      <c r="O26" s="2"/>
      <c r="P26" s="2"/>
      <c r="Q26" s="2"/>
      <c r="R26" s="2"/>
      <c r="S26" s="2"/>
      <c r="T26" s="2"/>
      <c r="U26" s="2"/>
      <c r="V26" s="2"/>
      <c r="W26" s="2"/>
      <c r="X26" s="2"/>
      <c r="Y26" s="2"/>
      <c r="Z26" s="2"/>
      <c r="AA26" s="2"/>
      <c r="AB26" s="2"/>
    </row>
    <row r="27" spans="1:28" ht="112.5" x14ac:dyDescent="0.3">
      <c r="A27" s="90" t="s">
        <v>294</v>
      </c>
      <c r="B27" s="54">
        <f>B25*15%</f>
        <v>4.97</v>
      </c>
      <c r="C27" s="54"/>
      <c r="D27" s="54">
        <f>D25*15%</f>
        <v>5.3250000000000002</v>
      </c>
      <c r="E27" s="54"/>
      <c r="F27" s="54">
        <f>F25*15%</f>
        <v>5.68</v>
      </c>
      <c r="G27" s="246"/>
      <c r="H27" s="56"/>
      <c r="I27" s="246" t="s">
        <v>299</v>
      </c>
      <c r="J27" s="251"/>
      <c r="K27" s="251"/>
      <c r="L27" s="2"/>
      <c r="M27" s="2"/>
      <c r="N27" s="2"/>
      <c r="O27" s="2"/>
      <c r="P27" s="2"/>
      <c r="Q27" s="2"/>
      <c r="R27" s="2"/>
      <c r="S27" s="2"/>
      <c r="T27" s="2"/>
      <c r="U27" s="2"/>
      <c r="V27" s="2"/>
      <c r="W27" s="2"/>
      <c r="X27" s="2"/>
      <c r="Y27" s="2"/>
      <c r="Z27" s="2"/>
      <c r="AA27" s="2"/>
      <c r="AB27" s="2"/>
    </row>
    <row r="28" spans="1:28" ht="18.75" x14ac:dyDescent="0.3">
      <c r="A28" s="250" t="s">
        <v>13</v>
      </c>
      <c r="B28" s="250"/>
      <c r="C28" s="250"/>
      <c r="D28" s="250"/>
      <c r="E28" s="250"/>
      <c r="F28" s="250"/>
      <c r="G28" s="250"/>
      <c r="H28" s="250"/>
      <c r="I28" s="251"/>
      <c r="J28" s="251"/>
      <c r="K28" s="251"/>
      <c r="L28" s="2"/>
      <c r="M28" s="2"/>
      <c r="N28" s="2"/>
      <c r="O28" s="2"/>
      <c r="P28" s="2"/>
      <c r="Q28" s="2"/>
      <c r="R28" s="2"/>
      <c r="S28" s="2"/>
      <c r="T28" s="2"/>
      <c r="U28" s="2"/>
      <c r="V28" s="2"/>
      <c r="W28" s="2"/>
      <c r="X28" s="2"/>
      <c r="Y28" s="2"/>
      <c r="Z28" s="2"/>
      <c r="AA28" s="2"/>
      <c r="AB28" s="2"/>
    </row>
    <row r="29" spans="1:28" ht="18.75" x14ac:dyDescent="0.3">
      <c r="A29" s="268" t="s">
        <v>60</v>
      </c>
      <c r="B29" s="319">
        <v>6414</v>
      </c>
      <c r="C29" s="255"/>
      <c r="D29" s="255">
        <v>9260</v>
      </c>
      <c r="E29" s="255"/>
      <c r="F29" s="54">
        <v>10940</v>
      </c>
      <c r="G29" s="54"/>
      <c r="H29" s="269">
        <f>F29</f>
        <v>10940</v>
      </c>
      <c r="I29" s="90"/>
      <c r="J29" s="251"/>
      <c r="K29" s="251"/>
      <c r="L29" s="2"/>
      <c r="M29" s="2"/>
      <c r="N29" s="2"/>
      <c r="O29" s="2"/>
      <c r="P29" s="2"/>
      <c r="Q29" s="2"/>
      <c r="R29" s="2"/>
      <c r="S29" s="2"/>
      <c r="T29" s="2"/>
      <c r="U29" s="2"/>
      <c r="V29" s="2"/>
      <c r="W29" s="2"/>
      <c r="X29" s="2"/>
      <c r="Y29" s="2"/>
      <c r="Z29" s="2"/>
      <c r="AA29" s="2"/>
      <c r="AB29" s="2"/>
    </row>
    <row r="30" spans="1:28" ht="37.5" x14ac:dyDescent="0.3">
      <c r="A30" s="56" t="s">
        <v>31</v>
      </c>
      <c r="B30" s="317">
        <v>6000</v>
      </c>
      <c r="C30" s="56"/>
      <c r="D30" s="246">
        <v>8330</v>
      </c>
      <c r="E30" s="246"/>
      <c r="F30" s="260">
        <v>9840</v>
      </c>
      <c r="G30" s="90"/>
      <c r="H30" s="56">
        <f>F30/2</f>
        <v>4920</v>
      </c>
      <c r="I30" s="251"/>
      <c r="J30" s="251"/>
      <c r="K30" s="251"/>
      <c r="L30" s="2"/>
      <c r="M30" s="2"/>
      <c r="N30" s="2"/>
      <c r="O30" s="2"/>
      <c r="P30" s="2"/>
      <c r="Q30" s="2"/>
      <c r="R30" s="2"/>
      <c r="S30" s="2"/>
      <c r="T30" s="2"/>
      <c r="U30" s="2"/>
      <c r="V30" s="2"/>
      <c r="W30" s="2"/>
      <c r="X30" s="2"/>
      <c r="Y30" s="2"/>
      <c r="Z30" s="2"/>
      <c r="AA30" s="2"/>
      <c r="AB30" s="2"/>
    </row>
    <row r="31" spans="1:28" ht="18.75" x14ac:dyDescent="0.3">
      <c r="A31" s="90" t="s">
        <v>1</v>
      </c>
      <c r="B31" s="90"/>
      <c r="C31" s="90"/>
      <c r="D31" s="255"/>
      <c r="E31" s="255"/>
      <c r="F31" s="54"/>
      <c r="G31" s="54"/>
      <c r="H31" s="90"/>
      <c r="I31" s="251"/>
      <c r="J31" s="251"/>
      <c r="K31" s="251"/>
      <c r="L31" s="2"/>
      <c r="M31" s="2"/>
      <c r="N31" s="2"/>
      <c r="O31" s="2"/>
      <c r="P31" s="2"/>
      <c r="Q31" s="2"/>
      <c r="R31" s="2"/>
      <c r="S31" s="2"/>
      <c r="T31" s="2"/>
      <c r="U31" s="2"/>
      <c r="V31" s="2"/>
      <c r="W31" s="2"/>
      <c r="X31" s="2"/>
      <c r="Y31" s="2"/>
      <c r="Z31" s="2"/>
      <c r="AA31" s="2"/>
      <c r="AB31" s="2"/>
    </row>
    <row r="32" spans="1:28" ht="18.75" x14ac:dyDescent="0.3">
      <c r="A32" s="56" t="s">
        <v>36</v>
      </c>
      <c r="B32" s="56"/>
      <c r="C32" s="56"/>
      <c r="D32" s="246"/>
      <c r="E32" s="246"/>
      <c r="F32" s="54"/>
      <c r="G32" s="54"/>
      <c r="H32" s="56"/>
      <c r="I32" s="251"/>
      <c r="J32" s="251"/>
      <c r="K32" s="251"/>
      <c r="L32" s="2"/>
      <c r="M32" s="2"/>
      <c r="N32" s="2"/>
      <c r="O32" s="2"/>
      <c r="P32" s="2"/>
      <c r="Q32" s="2"/>
      <c r="R32" s="2"/>
      <c r="S32" s="2"/>
      <c r="T32" s="2"/>
      <c r="U32" s="2"/>
      <c r="V32" s="2"/>
      <c r="W32" s="2"/>
      <c r="X32" s="2"/>
      <c r="Y32" s="2"/>
      <c r="Z32" s="2"/>
      <c r="AA32" s="2"/>
      <c r="AB32" s="2"/>
    </row>
    <row r="33" spans="1:28" ht="18.75" x14ac:dyDescent="0.3">
      <c r="A33" s="90" t="s">
        <v>291</v>
      </c>
      <c r="B33" s="90">
        <v>22</v>
      </c>
      <c r="C33" s="90"/>
      <c r="D33" s="246">
        <v>22</v>
      </c>
      <c r="E33" s="246"/>
      <c r="F33" s="90">
        <v>19</v>
      </c>
      <c r="G33" s="246"/>
      <c r="H33" s="56"/>
      <c r="I33" s="246"/>
      <c r="J33" s="251">
        <f>B29/B33</f>
        <v>291.54545454545456</v>
      </c>
      <c r="K33" s="251">
        <v>2018</v>
      </c>
      <c r="L33" s="2"/>
      <c r="M33" s="2"/>
      <c r="N33" s="2"/>
      <c r="O33" s="2"/>
      <c r="P33" s="2"/>
      <c r="Q33" s="2"/>
      <c r="R33" s="2"/>
      <c r="S33" s="2"/>
      <c r="T33" s="2"/>
      <c r="U33" s="2"/>
      <c r="V33" s="2"/>
      <c r="W33" s="2"/>
      <c r="X33" s="2"/>
      <c r="Y33" s="2"/>
      <c r="Z33" s="2"/>
      <c r="AA33" s="2"/>
      <c r="AB33" s="2"/>
    </row>
    <row r="34" spans="1:28" ht="18.75" x14ac:dyDescent="0.3">
      <c r="A34" s="260" t="s">
        <v>292</v>
      </c>
      <c r="B34" s="318">
        <f>B29/100</f>
        <v>64.14</v>
      </c>
      <c r="C34" s="260"/>
      <c r="D34" s="461">
        <f>D29/100</f>
        <v>92.6</v>
      </c>
      <c r="E34" s="460"/>
      <c r="F34" s="318">
        <f>F29/100</f>
        <v>109.4</v>
      </c>
      <c r="G34" s="246"/>
      <c r="H34" s="56"/>
      <c r="I34" s="257" t="s">
        <v>288</v>
      </c>
      <c r="J34" s="251">
        <f>D29/D33</f>
        <v>420.90909090909093</v>
      </c>
      <c r="K34" s="251">
        <v>2019</v>
      </c>
      <c r="L34" s="2"/>
      <c r="M34" s="2"/>
      <c r="N34" s="2"/>
      <c r="O34" s="2"/>
      <c r="P34" s="2"/>
      <c r="Q34" s="2"/>
      <c r="R34" s="2"/>
      <c r="S34" s="2"/>
      <c r="T34" s="2"/>
      <c r="U34" s="2"/>
      <c r="V34" s="2"/>
      <c r="W34" s="2"/>
      <c r="X34" s="2"/>
      <c r="Y34" s="2"/>
      <c r="Z34" s="2"/>
      <c r="AA34" s="2"/>
      <c r="AB34" s="2"/>
    </row>
    <row r="35" spans="1:28" ht="18.75" x14ac:dyDescent="0.3">
      <c r="A35" s="90" t="s">
        <v>293</v>
      </c>
      <c r="B35" s="54">
        <f>B34-B33</f>
        <v>42.14</v>
      </c>
      <c r="C35" s="54"/>
      <c r="D35" s="54">
        <f>D34-D33</f>
        <v>70.599999999999994</v>
      </c>
      <c r="E35" s="54"/>
      <c r="F35" s="54">
        <f>F34-F33</f>
        <v>90.4</v>
      </c>
      <c r="G35" s="246"/>
      <c r="H35" s="56"/>
      <c r="I35" s="246"/>
      <c r="J35" s="251">
        <f>F29/F33</f>
        <v>575.78947368421052</v>
      </c>
      <c r="K35" s="251">
        <v>2020</v>
      </c>
      <c r="L35" s="2"/>
      <c r="M35" s="2"/>
      <c r="N35" s="2"/>
      <c r="O35" s="2"/>
      <c r="P35" s="2"/>
      <c r="Q35" s="2"/>
      <c r="R35" s="2"/>
      <c r="S35" s="2"/>
      <c r="T35" s="2"/>
      <c r="U35" s="2"/>
      <c r="V35" s="2"/>
      <c r="W35" s="2"/>
      <c r="X35" s="2"/>
      <c r="Y35" s="2"/>
      <c r="Z35" s="2"/>
      <c r="AA35" s="2"/>
      <c r="AB35" s="2"/>
    </row>
    <row r="36" spans="1:28" ht="112.5" x14ac:dyDescent="0.3">
      <c r="A36" s="90" t="s">
        <v>294</v>
      </c>
      <c r="B36" s="54">
        <f>B34*15%</f>
        <v>9.6210000000000004</v>
      </c>
      <c r="C36" s="54"/>
      <c r="D36" s="54">
        <f>D34*15%</f>
        <v>13.889999999999999</v>
      </c>
      <c r="E36" s="54"/>
      <c r="F36" s="54">
        <f>F34*15%</f>
        <v>16.41</v>
      </c>
      <c r="G36" s="246"/>
      <c r="H36" s="56"/>
      <c r="I36" s="246" t="s">
        <v>299</v>
      </c>
      <c r="J36" s="251"/>
      <c r="K36" s="251"/>
      <c r="L36" s="2"/>
      <c r="M36" s="2"/>
      <c r="N36" s="2"/>
      <c r="O36" s="2"/>
      <c r="P36" s="2"/>
      <c r="Q36" s="2"/>
      <c r="R36" s="2"/>
      <c r="S36" s="2"/>
      <c r="T36" s="2"/>
      <c r="U36" s="2"/>
      <c r="V36" s="2"/>
      <c r="W36" s="2"/>
      <c r="X36" s="2"/>
      <c r="Y36" s="2"/>
      <c r="Z36" s="2"/>
      <c r="AA36" s="2"/>
      <c r="AB36" s="2"/>
    </row>
    <row r="37" spans="1:28" ht="21" x14ac:dyDescent="0.35">
      <c r="A37" s="254" t="s">
        <v>14</v>
      </c>
      <c r="B37" s="254"/>
      <c r="C37" s="254"/>
      <c r="D37" s="254"/>
      <c r="E37" s="254"/>
      <c r="F37" s="254"/>
      <c r="G37" s="254"/>
      <c r="H37" s="254"/>
      <c r="I37" s="270"/>
      <c r="J37" s="270"/>
      <c r="K37" s="270"/>
      <c r="L37" s="2"/>
      <c r="M37" s="2"/>
      <c r="N37" s="2"/>
      <c r="O37" s="2"/>
      <c r="P37" s="2"/>
      <c r="Q37" s="2"/>
      <c r="R37" s="2"/>
      <c r="S37" s="2"/>
      <c r="T37" s="2"/>
      <c r="U37" s="2"/>
      <c r="V37" s="2"/>
      <c r="W37" s="2"/>
      <c r="X37" s="2"/>
      <c r="Y37" s="2"/>
      <c r="Z37" s="2"/>
      <c r="AA37" s="2"/>
      <c r="AB37" s="2"/>
    </row>
    <row r="38" spans="1:28" ht="30" x14ac:dyDescent="0.25">
      <c r="A38" s="271" t="s">
        <v>52</v>
      </c>
      <c r="B38" s="271">
        <v>1600</v>
      </c>
      <c r="C38" s="271"/>
      <c r="D38" s="12" t="s">
        <v>179</v>
      </c>
      <c r="E38" s="12"/>
      <c r="F38" s="271"/>
      <c r="G38" s="271"/>
      <c r="H38" s="271"/>
      <c r="I38" s="270"/>
      <c r="J38" s="270"/>
      <c r="K38" s="272">
        <v>84.896125772038189</v>
      </c>
      <c r="L38" s="2"/>
      <c r="M38" s="2"/>
      <c r="N38" s="2"/>
      <c r="O38" s="2"/>
      <c r="P38" s="2"/>
      <c r="Q38" s="2"/>
      <c r="R38" s="2"/>
      <c r="S38" s="2"/>
      <c r="T38" s="2"/>
      <c r="U38" s="2"/>
      <c r="V38" s="2"/>
      <c r="W38" s="2"/>
      <c r="X38" s="2"/>
      <c r="Y38" s="2"/>
      <c r="Z38" s="2"/>
      <c r="AA38" s="2"/>
      <c r="AB38" s="2"/>
    </row>
    <row r="39" spans="1:28" ht="30" x14ac:dyDescent="0.25">
      <c r="A39" s="12" t="s">
        <v>31</v>
      </c>
      <c r="B39" s="12">
        <v>5600</v>
      </c>
      <c r="C39" s="12"/>
      <c r="D39" s="273">
        <v>5950</v>
      </c>
      <c r="E39" s="273"/>
      <c r="F39" s="271">
        <v>6800</v>
      </c>
      <c r="G39" s="271"/>
      <c r="H39" s="271">
        <f>F39/2</f>
        <v>3400</v>
      </c>
      <c r="I39" s="270"/>
      <c r="J39" s="270"/>
      <c r="K39" s="270"/>
      <c r="L39" s="2"/>
      <c r="M39" s="2"/>
      <c r="N39" s="2"/>
      <c r="O39" s="2"/>
      <c r="P39" s="2"/>
      <c r="Q39" s="2"/>
      <c r="R39" s="2"/>
      <c r="S39" s="2"/>
      <c r="T39" s="2"/>
      <c r="U39" s="2"/>
      <c r="V39" s="2"/>
      <c r="W39" s="2"/>
      <c r="X39" s="2"/>
      <c r="Y39" s="2"/>
      <c r="Z39" s="2"/>
      <c r="AA39" s="2"/>
      <c r="AB39" s="2"/>
    </row>
    <row r="40" spans="1:28" x14ac:dyDescent="0.25">
      <c r="A40" s="12" t="s">
        <v>1</v>
      </c>
      <c r="B40" s="12"/>
      <c r="C40" s="12"/>
      <c r="D40" s="273"/>
      <c r="E40" s="273"/>
      <c r="F40" s="271"/>
      <c r="G40" s="271"/>
      <c r="H40" s="271"/>
      <c r="I40" s="270"/>
      <c r="J40" s="270"/>
      <c r="K40" s="270"/>
      <c r="L40" s="2"/>
      <c r="M40" s="2"/>
      <c r="N40" s="2"/>
      <c r="O40" s="2"/>
      <c r="P40" s="2"/>
      <c r="Q40" s="2"/>
      <c r="R40" s="2"/>
      <c r="S40" s="2"/>
      <c r="T40" s="2"/>
      <c r="U40" s="2"/>
      <c r="V40" s="2"/>
      <c r="W40" s="2"/>
      <c r="X40" s="2"/>
      <c r="Y40" s="2"/>
      <c r="Z40" s="2"/>
      <c r="AA40" s="2"/>
      <c r="AB40" s="2"/>
    </row>
    <row r="41" spans="1:28" x14ac:dyDescent="0.25">
      <c r="A41" s="12" t="s">
        <v>36</v>
      </c>
      <c r="B41" s="12"/>
      <c r="C41" s="12"/>
      <c r="D41" s="245"/>
      <c r="E41" s="245"/>
      <c r="F41" s="274"/>
      <c r="G41" s="274"/>
      <c r="H41" s="12"/>
      <c r="I41" s="270"/>
      <c r="J41" s="270"/>
      <c r="K41" s="270"/>
      <c r="L41" s="2"/>
      <c r="M41" s="2"/>
      <c r="N41" s="2"/>
      <c r="O41" s="2"/>
      <c r="P41" s="2"/>
      <c r="Q41" s="2"/>
      <c r="R41" s="2"/>
      <c r="S41" s="2"/>
      <c r="T41" s="2"/>
      <c r="U41" s="2"/>
      <c r="V41" s="2"/>
      <c r="W41" s="2"/>
      <c r="X41" s="2"/>
      <c r="Y41" s="2"/>
      <c r="Z41" s="2"/>
      <c r="AA41" s="2"/>
      <c r="AB41" s="2"/>
    </row>
    <row r="42" spans="1:28" x14ac:dyDescent="0.25">
      <c r="A42" s="275" t="s">
        <v>305</v>
      </c>
      <c r="B42" s="275">
        <v>13</v>
      </c>
      <c r="C42" s="275"/>
      <c r="D42" s="276">
        <v>13</v>
      </c>
      <c r="E42" s="276"/>
      <c r="F42" s="277">
        <v>13</v>
      </c>
      <c r="G42" s="277"/>
      <c r="H42" s="275"/>
      <c r="I42" s="270"/>
      <c r="J42" s="270"/>
      <c r="K42" s="270"/>
      <c r="L42" s="2"/>
      <c r="M42" s="2"/>
      <c r="N42" s="2"/>
      <c r="O42" s="2"/>
      <c r="P42" s="2"/>
      <c r="Q42" s="2"/>
      <c r="R42" s="2"/>
      <c r="S42" s="2"/>
      <c r="T42" s="2"/>
      <c r="U42" s="2"/>
      <c r="V42" s="2"/>
      <c r="W42" s="2"/>
      <c r="X42" s="2"/>
      <c r="Y42" s="2"/>
      <c r="Z42" s="2"/>
      <c r="AA42" s="2"/>
      <c r="AB42" s="2"/>
    </row>
    <row r="43" spans="1:28" ht="18.75" x14ac:dyDescent="0.3">
      <c r="A43" s="22" t="s">
        <v>45</v>
      </c>
      <c r="B43" s="22"/>
      <c r="C43" s="22"/>
      <c r="D43" s="22"/>
      <c r="E43" s="22"/>
      <c r="F43" s="22"/>
      <c r="G43" s="22"/>
      <c r="H43" s="22"/>
      <c r="I43" s="251"/>
      <c r="J43" s="251"/>
      <c r="K43" s="251"/>
      <c r="L43" s="2"/>
      <c r="M43" s="2"/>
      <c r="N43" s="2"/>
      <c r="O43" s="2"/>
      <c r="P43" s="2"/>
      <c r="Q43" s="2"/>
      <c r="R43" s="2"/>
      <c r="S43" s="2"/>
      <c r="T43" s="2"/>
      <c r="U43" s="2"/>
      <c r="V43" s="2"/>
      <c r="W43" s="2"/>
      <c r="X43" s="2"/>
      <c r="Y43" s="2"/>
      <c r="Z43" s="2"/>
      <c r="AA43" s="2"/>
      <c r="AB43" s="2"/>
    </row>
    <row r="44" spans="1:28" ht="37.5" x14ac:dyDescent="0.3">
      <c r="A44" s="90" t="s">
        <v>46</v>
      </c>
      <c r="B44" s="90"/>
      <c r="C44" s="90"/>
      <c r="D44" s="246" t="s">
        <v>21</v>
      </c>
      <c r="E44" s="246"/>
      <c r="F44" s="90"/>
      <c r="G44" s="90"/>
      <c r="H44" s="246" t="s">
        <v>183</v>
      </c>
      <c r="I44" s="251"/>
      <c r="J44" s="251"/>
      <c r="K44" s="251"/>
      <c r="L44" s="2"/>
      <c r="M44" s="2"/>
      <c r="N44" s="2"/>
      <c r="O44" s="2"/>
      <c r="P44" s="2"/>
      <c r="Q44" s="2"/>
      <c r="R44" s="2"/>
      <c r="S44" s="2"/>
      <c r="T44" s="2"/>
      <c r="U44" s="2"/>
      <c r="V44" s="2"/>
      <c r="W44" s="2"/>
      <c r="X44" s="2"/>
      <c r="Y44" s="2"/>
      <c r="Z44" s="2"/>
      <c r="AA44" s="2"/>
      <c r="AB44" s="2"/>
    </row>
    <row r="45" spans="1:28" ht="18.75" x14ac:dyDescent="0.3">
      <c r="A45" s="90" t="s">
        <v>22</v>
      </c>
      <c r="B45" s="90">
        <v>4373</v>
      </c>
      <c r="C45" s="90">
        <f>B45*70%</f>
        <v>3061.1</v>
      </c>
      <c r="D45" s="255">
        <v>5873</v>
      </c>
      <c r="E45" s="255">
        <f>D45*70%</f>
        <v>4111.0999999999995</v>
      </c>
      <c r="F45" s="54">
        <v>7587</v>
      </c>
      <c r="G45" s="54">
        <f>F45*70%</f>
        <v>5310.9</v>
      </c>
      <c r="H45" s="54">
        <f>F45</f>
        <v>7587</v>
      </c>
      <c r="I45" s="90"/>
      <c r="J45" s="90"/>
      <c r="K45" s="90"/>
      <c r="L45" s="45"/>
      <c r="M45" s="45"/>
      <c r="N45" s="45"/>
      <c r="O45" s="45"/>
      <c r="P45" s="45"/>
      <c r="Q45" s="45"/>
      <c r="R45" s="45"/>
      <c r="S45" s="45"/>
      <c r="T45" s="45"/>
      <c r="U45" s="45"/>
      <c r="V45" s="45"/>
      <c r="W45" s="45"/>
      <c r="X45" s="45"/>
      <c r="Y45" s="45"/>
      <c r="Z45" s="45"/>
      <c r="AA45" s="45"/>
      <c r="AB45" s="45"/>
    </row>
    <row r="46" spans="1:28" ht="18.75" x14ac:dyDescent="0.3">
      <c r="A46" s="90" t="s">
        <v>268</v>
      </c>
      <c r="B46" s="90"/>
      <c r="C46" s="90"/>
      <c r="D46" s="256">
        <f>(D45*80%)*180/12*7</f>
        <v>493332.00000000012</v>
      </c>
      <c r="E46" s="256"/>
      <c r="F46" s="256">
        <f>(F45*70%)*180</f>
        <v>955961.99999999988</v>
      </c>
      <c r="G46" s="256"/>
      <c r="H46" s="256">
        <f>(H45*70%)*180/12*6</f>
        <v>477980.99999999988</v>
      </c>
      <c r="I46" s="90"/>
      <c r="J46" s="90"/>
      <c r="K46" s="90"/>
      <c r="L46" s="45"/>
      <c r="M46" s="45"/>
      <c r="N46" s="45"/>
      <c r="O46" s="45"/>
      <c r="P46" s="45"/>
      <c r="Q46" s="45"/>
      <c r="R46" s="45"/>
      <c r="S46" s="45"/>
      <c r="T46" s="45"/>
      <c r="U46" s="45"/>
      <c r="V46" s="45"/>
      <c r="W46" s="45"/>
      <c r="X46" s="45"/>
      <c r="Y46" s="45"/>
      <c r="Z46" s="45"/>
      <c r="AA46" s="45"/>
      <c r="AB46" s="45"/>
    </row>
    <row r="47" spans="1:28" ht="18.75" x14ac:dyDescent="0.3">
      <c r="A47" s="90" t="s">
        <v>291</v>
      </c>
      <c r="B47" s="90"/>
      <c r="C47" s="90">
        <v>16</v>
      </c>
      <c r="D47" s="90"/>
      <c r="E47" s="246">
        <v>21</v>
      </c>
      <c r="F47" s="90"/>
      <c r="G47" s="90">
        <v>14</v>
      </c>
      <c r="H47" s="56"/>
      <c r="I47" s="246"/>
      <c r="J47" s="251">
        <f>C45/C47</f>
        <v>191.31874999999999</v>
      </c>
      <c r="K47" s="251">
        <v>2018</v>
      </c>
      <c r="L47" s="2"/>
      <c r="M47" s="2"/>
      <c r="N47" s="2"/>
      <c r="O47" s="2"/>
      <c r="P47" s="2"/>
      <c r="Q47" s="2"/>
      <c r="R47" s="2"/>
      <c r="S47" s="2"/>
      <c r="T47" s="2"/>
      <c r="U47" s="2"/>
      <c r="V47" s="2"/>
      <c r="W47" s="2"/>
      <c r="X47" s="2"/>
      <c r="Y47" s="2"/>
      <c r="Z47" s="2"/>
      <c r="AA47" s="2"/>
      <c r="AB47" s="2"/>
    </row>
    <row r="48" spans="1:28" ht="18.75" x14ac:dyDescent="0.3">
      <c r="A48" s="260" t="s">
        <v>292</v>
      </c>
      <c r="B48" s="260"/>
      <c r="C48" s="318">
        <f>C45/100</f>
        <v>30.611000000000001</v>
      </c>
      <c r="D48" s="460"/>
      <c r="E48" s="461">
        <f>E45/100</f>
        <v>41.110999999999997</v>
      </c>
      <c r="F48" s="260"/>
      <c r="G48" s="461">
        <f>G45/100</f>
        <v>53.108999999999995</v>
      </c>
      <c r="H48" s="56"/>
      <c r="I48" s="257" t="s">
        <v>288</v>
      </c>
      <c r="J48" s="251">
        <f>E45/E47</f>
        <v>195.76666666666665</v>
      </c>
      <c r="K48" s="251">
        <v>2019</v>
      </c>
      <c r="L48" s="2"/>
      <c r="M48" s="2"/>
      <c r="N48" s="2"/>
      <c r="O48" s="2"/>
      <c r="P48" s="2"/>
      <c r="Q48" s="2"/>
      <c r="R48" s="2"/>
      <c r="S48" s="2"/>
      <c r="T48" s="2"/>
      <c r="U48" s="2"/>
      <c r="V48" s="2"/>
      <c r="W48" s="2"/>
      <c r="X48" s="2"/>
      <c r="Y48" s="2"/>
      <c r="Z48" s="2"/>
      <c r="AA48" s="2"/>
      <c r="AB48" s="2"/>
    </row>
    <row r="49" spans="1:29" ht="18.75" x14ac:dyDescent="0.3">
      <c r="A49" s="90" t="s">
        <v>293</v>
      </c>
      <c r="B49" s="90"/>
      <c r="C49" s="54">
        <f>C48-C47</f>
        <v>14.611000000000001</v>
      </c>
      <c r="D49" s="54"/>
      <c r="E49" s="54">
        <f>E48-E47</f>
        <v>20.110999999999997</v>
      </c>
      <c r="F49" s="54"/>
      <c r="G49" s="54">
        <f>G48-G47</f>
        <v>39.108999999999995</v>
      </c>
      <c r="H49" s="56"/>
      <c r="I49" s="246"/>
      <c r="J49" s="251">
        <f>G45/G47</f>
        <v>379.34999999999997</v>
      </c>
      <c r="K49" s="251">
        <v>2020</v>
      </c>
      <c r="L49" s="2"/>
      <c r="M49" s="2"/>
      <c r="N49" s="2"/>
      <c r="O49" s="2"/>
      <c r="P49" s="2"/>
      <c r="Q49" s="2"/>
      <c r="R49" s="2"/>
      <c r="S49" s="2"/>
      <c r="T49" s="2"/>
      <c r="U49" s="2"/>
      <c r="V49" s="2"/>
      <c r="W49" s="2"/>
      <c r="X49" s="2"/>
      <c r="Y49" s="2"/>
      <c r="Z49" s="2"/>
      <c r="AA49" s="2"/>
      <c r="AB49" s="2"/>
    </row>
    <row r="50" spans="1:29" ht="18.75" x14ac:dyDescent="0.3">
      <c r="A50" s="90" t="s">
        <v>294</v>
      </c>
      <c r="B50" s="90"/>
      <c r="C50" s="54">
        <f>C48*15%</f>
        <v>4.5916499999999996</v>
      </c>
      <c r="D50" s="54"/>
      <c r="E50" s="54">
        <f>E48*15%</f>
        <v>6.1666499999999997</v>
      </c>
      <c r="F50" s="54"/>
      <c r="G50" s="54">
        <f>G48*15%</f>
        <v>7.9663499999999985</v>
      </c>
      <c r="H50" s="56"/>
      <c r="I50" s="246"/>
      <c r="J50" s="251"/>
      <c r="K50" s="251"/>
      <c r="L50" s="2"/>
      <c r="M50" s="2"/>
      <c r="N50" s="2"/>
      <c r="O50" s="2"/>
      <c r="P50" s="2"/>
      <c r="Q50" s="2"/>
      <c r="R50" s="2"/>
      <c r="S50" s="2"/>
      <c r="T50" s="2"/>
      <c r="U50" s="2"/>
      <c r="V50" s="2"/>
      <c r="W50" s="2"/>
      <c r="X50" s="2"/>
      <c r="Y50" s="2"/>
      <c r="Z50" s="2"/>
      <c r="AA50" s="2"/>
      <c r="AB50" s="2"/>
    </row>
    <row r="51" spans="1:29" ht="21" x14ac:dyDescent="0.35">
      <c r="A51" s="254" t="s">
        <v>422</v>
      </c>
      <c r="B51" s="254"/>
      <c r="C51" s="254"/>
      <c r="D51" s="254"/>
      <c r="E51" s="254"/>
      <c r="F51" s="254"/>
      <c r="G51" s="254"/>
      <c r="H51" s="278"/>
      <c r="I51" s="279"/>
      <c r="J51" s="279"/>
      <c r="K51" s="279"/>
      <c r="L51" s="45"/>
      <c r="M51" s="45"/>
      <c r="N51" s="45"/>
      <c r="O51" s="45"/>
      <c r="P51" s="45"/>
      <c r="Q51" s="45"/>
      <c r="R51" s="45"/>
      <c r="S51" s="45"/>
      <c r="T51" s="45"/>
      <c r="U51" s="45"/>
      <c r="V51" s="45"/>
      <c r="W51" s="45"/>
      <c r="X51" s="45"/>
      <c r="Y51" s="45"/>
      <c r="Z51" s="45"/>
      <c r="AA51" s="45"/>
      <c r="AB51" s="45"/>
      <c r="AC51" s="126"/>
    </row>
    <row r="52" spans="1:29" ht="30.75" x14ac:dyDescent="0.25">
      <c r="A52" s="132" t="s">
        <v>306</v>
      </c>
      <c r="B52" s="133" t="s">
        <v>307</v>
      </c>
      <c r="C52" s="134" t="s">
        <v>321</v>
      </c>
      <c r="D52" s="135" t="s">
        <v>308</v>
      </c>
      <c r="E52" s="135" t="s">
        <v>309</v>
      </c>
      <c r="F52" s="135" t="s">
        <v>310</v>
      </c>
      <c r="G52" s="2"/>
      <c r="H52" s="2"/>
      <c r="I52" s="2"/>
      <c r="J52" s="2"/>
      <c r="K52" s="2"/>
      <c r="L52" s="2"/>
      <c r="M52" s="2"/>
      <c r="N52" s="2"/>
      <c r="O52" s="2"/>
      <c r="P52" s="2"/>
      <c r="Q52" s="2"/>
      <c r="R52" s="2"/>
      <c r="S52" s="2"/>
      <c r="T52" s="2"/>
      <c r="U52" s="2"/>
      <c r="V52" s="2"/>
      <c r="W52" s="2"/>
      <c r="X52" s="2"/>
      <c r="Y52" s="2"/>
      <c r="Z52" s="2"/>
      <c r="AA52" s="2"/>
      <c r="AB52" s="2"/>
      <c r="AC52" s="2"/>
    </row>
    <row r="53" spans="1:29" ht="30" x14ac:dyDescent="0.25">
      <c r="A53" s="136" t="s">
        <v>311</v>
      </c>
      <c r="B53" s="137">
        <v>0.5</v>
      </c>
      <c r="C53" s="131">
        <v>200</v>
      </c>
      <c r="D53" s="138">
        <v>3</v>
      </c>
      <c r="E53" s="138">
        <v>3</v>
      </c>
      <c r="F53" s="139">
        <v>3</v>
      </c>
      <c r="G53" s="2"/>
      <c r="H53" s="2"/>
      <c r="I53" s="2" t="s">
        <v>322</v>
      </c>
      <c r="J53" s="2"/>
      <c r="K53" s="2"/>
      <c r="L53" s="2"/>
      <c r="M53" s="2"/>
      <c r="N53" s="2"/>
      <c r="O53" s="2"/>
      <c r="P53" s="2"/>
      <c r="Q53" s="2"/>
      <c r="R53" s="2"/>
      <c r="S53" s="2"/>
      <c r="T53" s="2"/>
      <c r="U53" s="2"/>
      <c r="V53" s="2"/>
      <c r="W53" s="2"/>
      <c r="X53" s="2"/>
      <c r="Y53" s="2"/>
      <c r="Z53" s="2"/>
      <c r="AA53" s="2"/>
      <c r="AB53" s="2"/>
      <c r="AC53" s="2"/>
    </row>
    <row r="54" spans="1:29" ht="30" x14ac:dyDescent="0.25">
      <c r="A54" s="136" t="s">
        <v>312</v>
      </c>
      <c r="B54" s="137">
        <v>0.5</v>
      </c>
      <c r="C54" s="131">
        <v>200</v>
      </c>
      <c r="D54" s="138">
        <v>0</v>
      </c>
      <c r="E54" s="138">
        <v>0</v>
      </c>
      <c r="F54" s="139">
        <v>0</v>
      </c>
      <c r="G54" s="2"/>
      <c r="H54" s="2"/>
      <c r="I54" s="2"/>
      <c r="J54" s="2"/>
      <c r="K54" s="2"/>
      <c r="L54" s="2"/>
      <c r="M54" s="2"/>
      <c r="N54" s="2"/>
      <c r="O54" s="2"/>
      <c r="P54" s="2"/>
      <c r="Q54" s="2"/>
      <c r="R54" s="2"/>
      <c r="S54" s="2"/>
      <c r="T54" s="2"/>
      <c r="U54" s="2"/>
      <c r="V54" s="2"/>
      <c r="W54" s="2"/>
      <c r="X54" s="2"/>
      <c r="Y54" s="2"/>
      <c r="Z54" s="2"/>
      <c r="AA54" s="2"/>
      <c r="AB54" s="2"/>
      <c r="AC54" s="2"/>
    </row>
    <row r="55" spans="1:29" x14ac:dyDescent="0.25">
      <c r="A55" s="136" t="s">
        <v>313</v>
      </c>
      <c r="B55" s="137">
        <v>0.5</v>
      </c>
      <c r="C55" s="131">
        <v>300</v>
      </c>
      <c r="D55" s="138">
        <v>2</v>
      </c>
      <c r="E55" s="138">
        <v>2</v>
      </c>
      <c r="F55" s="139">
        <v>2</v>
      </c>
      <c r="G55" s="2"/>
      <c r="H55" s="2"/>
      <c r="I55" s="2"/>
      <c r="J55" s="2"/>
      <c r="K55" s="2"/>
      <c r="L55" s="2"/>
      <c r="M55" s="2"/>
      <c r="N55" s="2"/>
      <c r="O55" s="2"/>
      <c r="P55" s="2"/>
      <c r="Q55" s="2"/>
      <c r="R55" s="2"/>
      <c r="S55" s="2"/>
      <c r="T55" s="2"/>
      <c r="U55" s="2"/>
      <c r="V55" s="2"/>
      <c r="W55" s="2"/>
      <c r="X55" s="2"/>
      <c r="Y55" s="2"/>
      <c r="Z55" s="2"/>
      <c r="AA55" s="2"/>
      <c r="AB55" s="2"/>
      <c r="AC55" s="2"/>
    </row>
    <row r="56" spans="1:29" ht="30" x14ac:dyDescent="0.25">
      <c r="A56" s="136" t="s">
        <v>314</v>
      </c>
      <c r="B56" s="137">
        <v>0.5</v>
      </c>
      <c r="C56" s="131">
        <v>250</v>
      </c>
      <c r="D56" s="138">
        <v>6</v>
      </c>
      <c r="E56" s="138">
        <v>6</v>
      </c>
      <c r="F56" s="139">
        <v>0</v>
      </c>
      <c r="G56" s="2"/>
      <c r="H56" s="2"/>
      <c r="I56" s="2"/>
      <c r="J56" s="2"/>
      <c r="K56" s="2"/>
      <c r="L56" s="2"/>
      <c r="M56" s="2"/>
      <c r="N56" s="2"/>
      <c r="O56" s="2"/>
      <c r="P56" s="2"/>
      <c r="Q56" s="2"/>
      <c r="R56" s="2"/>
      <c r="S56" s="2"/>
      <c r="T56" s="2"/>
      <c r="U56" s="2"/>
      <c r="V56" s="2"/>
      <c r="W56" s="2"/>
      <c r="X56" s="2"/>
      <c r="Y56" s="2"/>
      <c r="Z56" s="2"/>
      <c r="AA56" s="2"/>
      <c r="AB56" s="2"/>
      <c r="AC56" s="2"/>
    </row>
    <row r="57" spans="1:29" x14ac:dyDescent="0.25">
      <c r="A57" s="136" t="s">
        <v>315</v>
      </c>
      <c r="B57" s="137">
        <v>0.5</v>
      </c>
      <c r="C57" s="131">
        <v>250</v>
      </c>
      <c r="D57" s="138">
        <v>2</v>
      </c>
      <c r="E57" s="138">
        <v>2</v>
      </c>
      <c r="F57" s="139">
        <v>2</v>
      </c>
      <c r="G57" s="2"/>
      <c r="H57" s="2"/>
      <c r="I57" s="2"/>
      <c r="J57" s="2"/>
      <c r="K57" s="2"/>
      <c r="L57" s="2"/>
      <c r="M57" s="2"/>
      <c r="N57" s="2"/>
      <c r="O57" s="2"/>
      <c r="P57" s="2"/>
      <c r="Q57" s="2"/>
      <c r="R57" s="2"/>
      <c r="S57" s="2"/>
      <c r="T57" s="2"/>
      <c r="U57" s="2"/>
      <c r="V57" s="2"/>
      <c r="W57" s="2"/>
      <c r="X57" s="2"/>
      <c r="Y57" s="2"/>
      <c r="Z57" s="2"/>
      <c r="AA57" s="2"/>
      <c r="AB57" s="2"/>
      <c r="AC57" s="2"/>
    </row>
    <row r="58" spans="1:29" x14ac:dyDescent="0.25">
      <c r="A58" s="136" t="s">
        <v>316</v>
      </c>
      <c r="B58" s="137" t="s">
        <v>304</v>
      </c>
      <c r="C58" s="140">
        <v>400</v>
      </c>
      <c r="D58" s="123">
        <v>7</v>
      </c>
      <c r="E58" s="123">
        <v>7</v>
      </c>
      <c r="F58" s="141">
        <v>7</v>
      </c>
      <c r="G58" s="2"/>
      <c r="H58" s="2"/>
      <c r="I58" s="2"/>
      <c r="J58" s="2"/>
      <c r="K58" s="2"/>
      <c r="L58" s="2"/>
      <c r="M58" s="2"/>
      <c r="N58" s="2"/>
      <c r="O58" s="2"/>
      <c r="P58" s="2"/>
      <c r="Q58" s="2"/>
      <c r="R58" s="2"/>
      <c r="S58" s="2"/>
      <c r="T58" s="2"/>
      <c r="U58" s="2"/>
      <c r="V58" s="2"/>
      <c r="W58" s="2"/>
      <c r="X58" s="2"/>
      <c r="Y58" s="2"/>
      <c r="Z58" s="2"/>
      <c r="AA58" s="2"/>
      <c r="AB58" s="2"/>
      <c r="AC58" s="2"/>
    </row>
    <row r="59" spans="1:29" x14ac:dyDescent="0.25">
      <c r="A59" s="136" t="s">
        <v>317</v>
      </c>
      <c r="B59" s="137" t="s">
        <v>304</v>
      </c>
      <c r="C59" s="140">
        <v>120</v>
      </c>
      <c r="D59" s="123">
        <v>7</v>
      </c>
      <c r="E59" s="123">
        <v>7</v>
      </c>
      <c r="F59" s="141">
        <v>7</v>
      </c>
      <c r="G59" s="2"/>
      <c r="H59" s="2"/>
      <c r="I59" s="2"/>
      <c r="J59" s="2"/>
      <c r="K59" s="2"/>
      <c r="L59" s="2"/>
      <c r="M59" s="2"/>
      <c r="N59" s="2"/>
      <c r="O59" s="2"/>
      <c r="P59" s="2"/>
      <c r="Q59" s="2"/>
      <c r="R59" s="2"/>
      <c r="S59" s="2"/>
      <c r="T59" s="2"/>
      <c r="U59" s="2"/>
      <c r="V59" s="2"/>
      <c r="W59" s="2"/>
      <c r="X59" s="2"/>
      <c r="Y59" s="2"/>
      <c r="Z59" s="2"/>
      <c r="AA59" s="2"/>
      <c r="AB59" s="2"/>
      <c r="AC59" s="2"/>
    </row>
    <row r="60" spans="1:29" ht="30" x14ac:dyDescent="0.25">
      <c r="A60" s="136" t="s">
        <v>318</v>
      </c>
      <c r="B60" s="137" t="s">
        <v>304</v>
      </c>
      <c r="C60" s="140">
        <v>40</v>
      </c>
      <c r="D60" s="123">
        <v>7</v>
      </c>
      <c r="E60" s="123">
        <v>7</v>
      </c>
      <c r="F60" s="141">
        <v>7</v>
      </c>
      <c r="G60" s="2"/>
      <c r="H60" s="2"/>
      <c r="I60" s="2"/>
      <c r="J60" s="2"/>
      <c r="K60" s="2"/>
      <c r="L60" s="2"/>
      <c r="M60" s="2"/>
      <c r="N60" s="2"/>
      <c r="O60" s="2"/>
      <c r="P60" s="2"/>
      <c r="Q60" s="2"/>
      <c r="R60" s="2"/>
      <c r="S60" s="2"/>
      <c r="T60" s="2"/>
      <c r="U60" s="2"/>
      <c r="V60" s="2"/>
      <c r="W60" s="2"/>
      <c r="X60" s="2"/>
      <c r="Y60" s="2"/>
      <c r="Z60" s="2"/>
      <c r="AA60" s="2"/>
      <c r="AB60" s="2"/>
      <c r="AC60" s="2"/>
    </row>
    <row r="61" spans="1:29" ht="30" x14ac:dyDescent="0.25">
      <c r="A61" s="136" t="s">
        <v>319</v>
      </c>
      <c r="B61" s="137" t="s">
        <v>304</v>
      </c>
      <c r="C61" s="140">
        <v>100</v>
      </c>
      <c r="D61" s="123">
        <v>7</v>
      </c>
      <c r="E61" s="123">
        <v>7</v>
      </c>
      <c r="F61" s="141">
        <v>7</v>
      </c>
      <c r="G61" s="2"/>
      <c r="H61" s="2"/>
      <c r="I61" s="2"/>
      <c r="J61" s="2"/>
      <c r="K61" s="2"/>
      <c r="L61" s="2"/>
      <c r="M61" s="2"/>
      <c r="N61" s="2"/>
      <c r="O61" s="2"/>
      <c r="P61" s="2"/>
      <c r="Q61" s="2"/>
      <c r="R61" s="2"/>
      <c r="S61" s="2"/>
      <c r="T61" s="2"/>
      <c r="U61" s="2"/>
      <c r="V61" s="2"/>
      <c r="W61" s="2"/>
      <c r="X61" s="2"/>
      <c r="Y61" s="2"/>
      <c r="Z61" s="2"/>
      <c r="AA61" s="2"/>
      <c r="AB61" s="2"/>
      <c r="AC61" s="2"/>
    </row>
    <row r="62" spans="1:29" x14ac:dyDescent="0.25">
      <c r="A62" s="136" t="s">
        <v>320</v>
      </c>
      <c r="B62" s="137" t="s">
        <v>304</v>
      </c>
      <c r="C62" s="140">
        <v>40</v>
      </c>
      <c r="D62" s="123">
        <v>7</v>
      </c>
      <c r="E62" s="123">
        <v>7</v>
      </c>
      <c r="F62" s="123">
        <v>7</v>
      </c>
      <c r="G62" s="2"/>
      <c r="H62" s="2"/>
      <c r="I62" s="2"/>
      <c r="J62" s="2"/>
      <c r="K62" s="2"/>
      <c r="L62" s="2"/>
      <c r="M62" s="2"/>
      <c r="N62" s="2"/>
      <c r="O62" s="2"/>
      <c r="P62" s="2"/>
      <c r="Q62" s="2"/>
      <c r="R62" s="2"/>
      <c r="S62" s="2"/>
      <c r="T62" s="2"/>
      <c r="U62" s="2"/>
      <c r="V62" s="2"/>
      <c r="W62" s="2"/>
      <c r="X62" s="2"/>
      <c r="Y62" s="2"/>
      <c r="Z62" s="2"/>
      <c r="AA62" s="2"/>
      <c r="AB62" s="2"/>
      <c r="AC62" s="2"/>
    </row>
    <row r="63" spans="1:29" x14ac:dyDescent="0.25">
      <c r="A63" s="2"/>
      <c r="B63" s="2"/>
      <c r="C63" s="2"/>
      <c r="D63" s="45"/>
      <c r="E63" s="45"/>
      <c r="F63" s="2"/>
      <c r="G63" s="2"/>
      <c r="H63" s="2"/>
      <c r="I63" s="2"/>
      <c r="J63" s="2"/>
      <c r="K63" s="2"/>
      <c r="L63" s="2"/>
      <c r="M63" s="2"/>
      <c r="N63" s="2"/>
      <c r="O63" s="2"/>
      <c r="P63" s="2"/>
      <c r="Q63" s="2"/>
      <c r="R63" s="2"/>
      <c r="S63" s="2"/>
      <c r="T63" s="2"/>
      <c r="U63" s="2"/>
      <c r="V63" s="2"/>
      <c r="W63" s="2"/>
      <c r="X63" s="2"/>
      <c r="Y63" s="2"/>
      <c r="Z63" s="2"/>
      <c r="AA63" s="2"/>
      <c r="AB63" s="2"/>
      <c r="AC63" s="2"/>
    </row>
    <row r="64" spans="1:29" x14ac:dyDescent="0.25">
      <c r="A64" s="2"/>
      <c r="B64" s="2"/>
      <c r="C64" s="2"/>
      <c r="D64" s="45"/>
      <c r="E64" s="45"/>
      <c r="F64" s="2"/>
      <c r="G64" s="2"/>
      <c r="H64" s="2"/>
      <c r="I64" s="2"/>
      <c r="J64" s="2"/>
      <c r="K64" s="2"/>
      <c r="L64" s="2"/>
      <c r="M64" s="2"/>
      <c r="N64" s="2"/>
      <c r="O64" s="2"/>
      <c r="P64" s="2"/>
      <c r="Q64" s="2"/>
      <c r="R64" s="2"/>
      <c r="S64" s="2"/>
      <c r="T64" s="2"/>
      <c r="U64" s="2"/>
      <c r="V64" s="2"/>
      <c r="W64" s="2"/>
      <c r="X64" s="2"/>
      <c r="Y64" s="2"/>
      <c r="Z64" s="2"/>
      <c r="AA64" s="2"/>
      <c r="AB64" s="2"/>
      <c r="AC64" s="2"/>
    </row>
    <row r="65" spans="1:29" x14ac:dyDescent="0.25">
      <c r="A65" s="2"/>
      <c r="B65" s="2"/>
      <c r="C65" s="2"/>
      <c r="D65" s="45"/>
      <c r="E65" s="45"/>
      <c r="F65" s="2"/>
      <c r="G65" s="2"/>
      <c r="H65" s="2"/>
      <c r="I65" s="2"/>
      <c r="J65" s="2"/>
      <c r="K65" s="2"/>
      <c r="L65" s="2"/>
      <c r="M65" s="2"/>
      <c r="N65" s="2"/>
      <c r="O65" s="2"/>
      <c r="P65" s="2"/>
      <c r="Q65" s="2"/>
      <c r="R65" s="2"/>
      <c r="S65" s="2"/>
      <c r="T65" s="2"/>
      <c r="U65" s="2"/>
      <c r="V65" s="2"/>
      <c r="W65" s="2"/>
      <c r="X65" s="2"/>
      <c r="Y65" s="2"/>
      <c r="Z65" s="2"/>
      <c r="AA65" s="2"/>
      <c r="AB65" s="2"/>
      <c r="AC65" s="2"/>
    </row>
    <row r="66" spans="1:29" x14ac:dyDescent="0.25">
      <c r="A66" s="2"/>
      <c r="B66" s="2"/>
      <c r="C66" s="2"/>
      <c r="D66" s="45"/>
      <c r="E66" s="45"/>
      <c r="F66" s="2"/>
      <c r="G66" s="2"/>
      <c r="H66" s="2"/>
      <c r="I66" s="2"/>
      <c r="J66" s="2"/>
      <c r="K66" s="2"/>
      <c r="L66" s="2"/>
      <c r="M66" s="2"/>
      <c r="N66" s="2"/>
      <c r="O66" s="2"/>
      <c r="P66" s="2"/>
      <c r="Q66" s="2"/>
      <c r="R66" s="2"/>
      <c r="S66" s="2"/>
      <c r="T66" s="2"/>
      <c r="U66" s="2"/>
      <c r="V66" s="2"/>
      <c r="W66" s="2"/>
      <c r="X66" s="2"/>
      <c r="Y66" s="2"/>
      <c r="Z66" s="2"/>
      <c r="AA66" s="2"/>
      <c r="AB66" s="2"/>
      <c r="AC66" s="2"/>
    </row>
    <row r="67" spans="1:29" x14ac:dyDescent="0.25">
      <c r="A67" s="2"/>
      <c r="B67" s="2"/>
      <c r="C67" s="2"/>
      <c r="D67" s="45"/>
      <c r="E67" s="45"/>
      <c r="F67" s="2"/>
      <c r="G67" s="2"/>
      <c r="H67" s="2"/>
      <c r="I67" s="2"/>
      <c r="J67" s="2"/>
      <c r="K67" s="2"/>
      <c r="L67" s="2"/>
      <c r="M67" s="2"/>
      <c r="N67" s="2"/>
      <c r="O67" s="2"/>
      <c r="P67" s="2"/>
      <c r="Q67" s="2"/>
      <c r="R67" s="2"/>
      <c r="S67" s="2"/>
      <c r="T67" s="2"/>
      <c r="U67" s="2"/>
      <c r="V67" s="2"/>
      <c r="W67" s="2"/>
      <c r="X67" s="2"/>
      <c r="Y67" s="2"/>
      <c r="Z67" s="2"/>
      <c r="AA67" s="2"/>
      <c r="AB67" s="2"/>
      <c r="AC67" s="2"/>
    </row>
    <row r="68" spans="1:29" x14ac:dyDescent="0.25">
      <c r="A68" s="2"/>
      <c r="B68" s="2"/>
      <c r="C68" s="2"/>
      <c r="D68" s="45"/>
      <c r="E68" s="45"/>
      <c r="F68" s="2"/>
      <c r="G68" s="2"/>
      <c r="H68" s="2"/>
      <c r="I68" s="2"/>
      <c r="J68" s="2"/>
      <c r="K68" s="2"/>
      <c r="L68" s="2"/>
      <c r="M68" s="2"/>
      <c r="N68" s="2"/>
      <c r="O68" s="2"/>
      <c r="P68" s="2"/>
      <c r="Q68" s="2"/>
      <c r="R68" s="2"/>
      <c r="S68" s="2"/>
      <c r="T68" s="2"/>
      <c r="U68" s="2"/>
      <c r="V68" s="2"/>
      <c r="W68" s="2"/>
      <c r="X68" s="2"/>
      <c r="Y68" s="2"/>
      <c r="Z68" s="2"/>
      <c r="AA68" s="2"/>
      <c r="AB68" s="2"/>
      <c r="AC68" s="2"/>
    </row>
    <row r="69" spans="1:29" x14ac:dyDescent="0.25">
      <c r="A69" s="2"/>
      <c r="B69" s="2"/>
      <c r="C69" s="2"/>
      <c r="D69" s="45"/>
      <c r="E69" s="45"/>
      <c r="F69" s="2"/>
      <c r="G69" s="2"/>
      <c r="H69" s="2"/>
      <c r="I69" s="2"/>
      <c r="J69" s="2"/>
      <c r="K69" s="2"/>
      <c r="L69" s="2"/>
      <c r="M69" s="2"/>
      <c r="N69" s="2"/>
      <c r="O69" s="2"/>
      <c r="P69" s="2"/>
      <c r="Q69" s="2"/>
      <c r="R69" s="2"/>
      <c r="S69" s="2"/>
      <c r="T69" s="2"/>
      <c r="U69" s="2"/>
      <c r="V69" s="2"/>
      <c r="W69" s="2"/>
      <c r="X69" s="2"/>
      <c r="Y69" s="2"/>
      <c r="Z69" s="2"/>
      <c r="AA69" s="2"/>
      <c r="AB69" s="2"/>
      <c r="AC69" s="2"/>
    </row>
    <row r="70" spans="1:29" x14ac:dyDescent="0.25">
      <c r="A70" s="2"/>
      <c r="B70" s="2"/>
      <c r="C70" s="2"/>
      <c r="D70" s="45"/>
      <c r="E70" s="45"/>
      <c r="F70" s="2"/>
      <c r="G70" s="2"/>
      <c r="H70" s="2"/>
      <c r="I70" s="2"/>
      <c r="J70" s="2"/>
      <c r="K70" s="2"/>
      <c r="L70" s="2"/>
      <c r="M70" s="2"/>
      <c r="N70" s="2"/>
      <c r="O70" s="2"/>
      <c r="P70" s="2"/>
      <c r="Q70" s="2"/>
      <c r="R70" s="2"/>
      <c r="S70" s="2"/>
      <c r="T70" s="2"/>
      <c r="U70" s="2"/>
      <c r="V70" s="2"/>
      <c r="W70" s="2"/>
      <c r="X70" s="2"/>
      <c r="Y70" s="2"/>
      <c r="Z70" s="2"/>
      <c r="AA70" s="2"/>
      <c r="AB70" s="2"/>
      <c r="AC70" s="2"/>
    </row>
    <row r="71" spans="1:29" x14ac:dyDescent="0.25">
      <c r="A71" s="2"/>
      <c r="B71" s="2"/>
      <c r="C71" s="2"/>
      <c r="D71" s="45"/>
      <c r="E71" s="45"/>
      <c r="F71" s="2"/>
      <c r="G71" s="2"/>
      <c r="H71" s="2"/>
      <c r="I71" s="2"/>
      <c r="J71" s="2"/>
      <c r="K71" s="2"/>
      <c r="L71" s="2"/>
      <c r="M71" s="2"/>
      <c r="N71" s="2"/>
      <c r="O71" s="2"/>
      <c r="P71" s="2"/>
      <c r="Q71" s="2"/>
      <c r="R71" s="2"/>
      <c r="S71" s="2"/>
      <c r="T71" s="2"/>
      <c r="U71" s="2"/>
      <c r="V71" s="2"/>
      <c r="W71" s="2"/>
      <c r="X71" s="2"/>
      <c r="Y71" s="2"/>
      <c r="Z71" s="2"/>
      <c r="AA71" s="2"/>
      <c r="AB71" s="2"/>
      <c r="AC71" s="2"/>
    </row>
    <row r="72" spans="1:29" x14ac:dyDescent="0.25">
      <c r="A72" s="2"/>
      <c r="B72" s="2"/>
      <c r="C72" s="2"/>
      <c r="D72" s="45"/>
      <c r="E72" s="45"/>
      <c r="F72" s="2"/>
      <c r="G72" s="2"/>
      <c r="H72" s="2"/>
      <c r="I72" s="2"/>
      <c r="J72" s="2"/>
      <c r="K72" s="2"/>
      <c r="L72" s="2"/>
      <c r="M72" s="2"/>
      <c r="N72" s="2"/>
      <c r="O72" s="2"/>
      <c r="P72" s="2"/>
      <c r="Q72" s="2"/>
      <c r="R72" s="2"/>
      <c r="S72" s="2"/>
      <c r="T72" s="2"/>
      <c r="U72" s="2"/>
      <c r="V72" s="2"/>
      <c r="W72" s="2"/>
      <c r="X72" s="2"/>
      <c r="Y72" s="2"/>
      <c r="Z72" s="2"/>
      <c r="AA72" s="2"/>
      <c r="AB72" s="2"/>
      <c r="AC72" s="2"/>
    </row>
    <row r="73" spans="1:29" x14ac:dyDescent="0.25">
      <c r="A73" s="2"/>
      <c r="B73" s="2"/>
      <c r="C73" s="2"/>
      <c r="D73" s="45"/>
      <c r="E73" s="45"/>
      <c r="F73" s="2"/>
      <c r="G73" s="2"/>
      <c r="H73" s="2"/>
      <c r="I73" s="2"/>
      <c r="J73" s="2"/>
      <c r="K73" s="2"/>
      <c r="L73" s="2"/>
      <c r="M73" s="2"/>
      <c r="N73" s="2"/>
      <c r="O73" s="2"/>
      <c r="P73" s="2"/>
      <c r="Q73" s="2"/>
      <c r="R73" s="2"/>
      <c r="S73" s="2"/>
      <c r="T73" s="2"/>
      <c r="U73" s="2"/>
      <c r="V73" s="2"/>
      <c r="W73" s="2"/>
      <c r="X73" s="2"/>
      <c r="Y73" s="2"/>
      <c r="Z73" s="2"/>
      <c r="AA73" s="2"/>
      <c r="AB73" s="2"/>
      <c r="AC73" s="2"/>
    </row>
    <row r="74" spans="1:29" x14ac:dyDescent="0.25">
      <c r="A74" s="2"/>
      <c r="B74" s="2"/>
      <c r="C74" s="2"/>
      <c r="D74" s="45"/>
      <c r="E74" s="45"/>
      <c r="F74" s="2"/>
      <c r="G74" s="2"/>
      <c r="H74" s="2"/>
      <c r="I74" s="2"/>
      <c r="J74" s="2"/>
      <c r="K74" s="2"/>
      <c r="L74" s="2"/>
      <c r="M74" s="2"/>
      <c r="N74" s="2"/>
      <c r="O74" s="2"/>
      <c r="P74" s="2"/>
      <c r="Q74" s="2"/>
      <c r="R74" s="2"/>
      <c r="S74" s="2"/>
      <c r="T74" s="2"/>
      <c r="U74" s="2"/>
      <c r="V74" s="2"/>
      <c r="W74" s="2"/>
      <c r="X74" s="2"/>
      <c r="Y74" s="2"/>
      <c r="Z74" s="2"/>
      <c r="AA74" s="2"/>
      <c r="AB74" s="2"/>
      <c r="AC74" s="2"/>
    </row>
    <row r="75" spans="1:29" x14ac:dyDescent="0.25">
      <c r="A75" s="2"/>
      <c r="B75" s="2"/>
      <c r="C75" s="2"/>
      <c r="D75" s="45"/>
      <c r="E75" s="45"/>
      <c r="F75" s="2"/>
      <c r="G75" s="2"/>
      <c r="H75" s="2"/>
      <c r="I75" s="2"/>
      <c r="J75" s="2"/>
      <c r="K75" s="2"/>
      <c r="L75" s="2"/>
      <c r="M75" s="2"/>
      <c r="N75" s="2"/>
      <c r="O75" s="2"/>
      <c r="P75" s="2"/>
      <c r="Q75" s="2"/>
      <c r="R75" s="2"/>
      <c r="S75" s="2"/>
      <c r="T75" s="2"/>
      <c r="U75" s="2"/>
      <c r="V75" s="2"/>
      <c r="W75" s="2"/>
      <c r="X75" s="2"/>
      <c r="Y75" s="2"/>
      <c r="Z75" s="2"/>
      <c r="AA75" s="2"/>
      <c r="AB75" s="2"/>
      <c r="AC75" s="2"/>
    </row>
    <row r="76" spans="1:29" x14ac:dyDescent="0.25">
      <c r="A76" s="2"/>
      <c r="B76" s="2"/>
      <c r="C76" s="2"/>
      <c r="D76" s="45"/>
      <c r="E76" s="45"/>
      <c r="F76" s="2"/>
      <c r="G76" s="2"/>
      <c r="H76" s="2"/>
      <c r="I76" s="2"/>
      <c r="J76" s="2"/>
      <c r="K76" s="2"/>
      <c r="L76" s="2"/>
      <c r="M76" s="2"/>
      <c r="N76" s="2"/>
      <c r="O76" s="2"/>
      <c r="P76" s="2"/>
      <c r="Q76" s="2"/>
      <c r="R76" s="2"/>
      <c r="S76" s="2"/>
      <c r="T76" s="2"/>
      <c r="U76" s="2"/>
      <c r="V76" s="2"/>
      <c r="W76" s="2"/>
      <c r="X76" s="2"/>
      <c r="Y76" s="2"/>
      <c r="Z76" s="2"/>
      <c r="AA76" s="2"/>
      <c r="AB76" s="2"/>
      <c r="AC76" s="2"/>
    </row>
    <row r="77" spans="1:29" x14ac:dyDescent="0.25">
      <c r="A77" s="2"/>
      <c r="B77" s="2"/>
      <c r="C77" s="2"/>
      <c r="D77" s="45"/>
      <c r="E77" s="45"/>
      <c r="F77" s="2"/>
      <c r="G77" s="2"/>
      <c r="H77" s="2"/>
      <c r="I77" s="2"/>
      <c r="J77" s="2"/>
      <c r="K77" s="2"/>
      <c r="L77" s="2"/>
      <c r="M77" s="2"/>
      <c r="N77" s="2"/>
      <c r="O77" s="2"/>
      <c r="P77" s="2"/>
      <c r="Q77" s="2"/>
      <c r="R77" s="2"/>
      <c r="S77" s="2"/>
      <c r="T77" s="2"/>
      <c r="U77" s="2"/>
      <c r="V77" s="2"/>
      <c r="W77" s="2"/>
      <c r="X77" s="2"/>
      <c r="Y77" s="2"/>
      <c r="Z77" s="2"/>
      <c r="AA77" s="2"/>
      <c r="AB77" s="2"/>
      <c r="AC77" s="2"/>
    </row>
    <row r="78" spans="1:29" x14ac:dyDescent="0.25">
      <c r="A78" s="2"/>
      <c r="B78" s="2"/>
      <c r="C78" s="2"/>
      <c r="D78" s="45"/>
      <c r="E78" s="45"/>
      <c r="F78" s="2"/>
      <c r="G78" s="2"/>
      <c r="H78" s="2"/>
      <c r="I78" s="2"/>
      <c r="J78" s="2"/>
      <c r="K78" s="2"/>
      <c r="L78" s="2"/>
      <c r="M78" s="2"/>
      <c r="N78" s="2"/>
      <c r="O78" s="2"/>
      <c r="P78" s="2"/>
      <c r="Q78" s="2"/>
      <c r="R78" s="2"/>
      <c r="S78" s="2"/>
      <c r="T78" s="2"/>
      <c r="U78" s="2"/>
      <c r="V78" s="2"/>
      <c r="W78" s="2"/>
      <c r="X78" s="2"/>
      <c r="Y78" s="2"/>
      <c r="Z78" s="2"/>
      <c r="AA78" s="2"/>
      <c r="AB78" s="2"/>
      <c r="AC78" s="2"/>
    </row>
    <row r="79" spans="1:29" x14ac:dyDescent="0.25">
      <c r="A79" s="2"/>
      <c r="B79" s="2"/>
      <c r="C79" s="2"/>
      <c r="D79" s="45"/>
      <c r="E79" s="45"/>
      <c r="F79" s="2"/>
      <c r="G79" s="2"/>
      <c r="H79" s="2"/>
      <c r="I79" s="2"/>
      <c r="J79" s="2"/>
      <c r="K79" s="2"/>
      <c r="L79" s="2"/>
      <c r="M79" s="2"/>
      <c r="N79" s="2"/>
      <c r="O79" s="2"/>
      <c r="P79" s="2"/>
      <c r="Q79" s="2"/>
      <c r="R79" s="2"/>
      <c r="S79" s="2"/>
      <c r="T79" s="2"/>
      <c r="U79" s="2"/>
      <c r="V79" s="2"/>
      <c r="W79" s="2"/>
      <c r="X79" s="2"/>
      <c r="Y79" s="2"/>
      <c r="Z79" s="2"/>
      <c r="AA79" s="2"/>
      <c r="AB79" s="2"/>
      <c r="AC79" s="2"/>
    </row>
    <row r="80" spans="1:29" x14ac:dyDescent="0.25">
      <c r="A80" s="2"/>
      <c r="B80" s="2"/>
      <c r="C80" s="2"/>
      <c r="D80" s="45"/>
      <c r="E80" s="45"/>
      <c r="F80" s="2"/>
      <c r="G80" s="2"/>
      <c r="H80" s="2"/>
      <c r="I80" s="2"/>
      <c r="J80" s="2"/>
      <c r="K80" s="2"/>
      <c r="L80" s="2"/>
      <c r="M80" s="2"/>
      <c r="N80" s="2"/>
      <c r="O80" s="2"/>
      <c r="P80" s="2"/>
      <c r="Q80" s="2"/>
      <c r="R80" s="2"/>
      <c r="S80" s="2"/>
      <c r="T80" s="2"/>
      <c r="U80" s="2"/>
      <c r="V80" s="2"/>
      <c r="W80" s="2"/>
      <c r="X80" s="2"/>
      <c r="Y80" s="2"/>
      <c r="Z80" s="2"/>
      <c r="AA80" s="2"/>
      <c r="AB80" s="2"/>
      <c r="AC80" s="2"/>
    </row>
    <row r="81" spans="1:29" x14ac:dyDescent="0.25">
      <c r="A81" s="2"/>
      <c r="B81" s="2"/>
      <c r="C81" s="2"/>
      <c r="D81" s="45"/>
      <c r="E81" s="45"/>
      <c r="F81" s="2"/>
      <c r="G81" s="2"/>
      <c r="H81" s="2"/>
      <c r="I81" s="2"/>
      <c r="J81" s="2"/>
      <c r="K81" s="2"/>
      <c r="L81" s="2"/>
      <c r="M81" s="2"/>
      <c r="N81" s="2"/>
      <c r="O81" s="2"/>
      <c r="P81" s="2"/>
      <c r="Q81" s="2"/>
      <c r="R81" s="2"/>
      <c r="S81" s="2"/>
      <c r="T81" s="2"/>
      <c r="U81" s="2"/>
      <c r="V81" s="2"/>
      <c r="W81" s="2"/>
      <c r="X81" s="2"/>
      <c r="Y81" s="2"/>
      <c r="Z81" s="2"/>
      <c r="AA81" s="2"/>
      <c r="AB81" s="2"/>
      <c r="AC81" s="2"/>
    </row>
    <row r="82" spans="1:29" x14ac:dyDescent="0.25">
      <c r="A82" s="2"/>
      <c r="B82" s="2"/>
      <c r="C82" s="2"/>
      <c r="D82" s="45"/>
      <c r="E82" s="45"/>
      <c r="F82" s="2"/>
      <c r="G82" s="2"/>
      <c r="H82" s="2"/>
      <c r="I82" s="2"/>
      <c r="J82" s="2"/>
      <c r="K82" s="2"/>
      <c r="L82" s="2"/>
      <c r="M82" s="2"/>
      <c r="N82" s="2"/>
      <c r="O82" s="2"/>
      <c r="P82" s="2"/>
      <c r="Q82" s="2"/>
      <c r="R82" s="2"/>
      <c r="S82" s="2"/>
      <c r="T82" s="2"/>
      <c r="U82" s="2"/>
      <c r="V82" s="2"/>
      <c r="W82" s="2"/>
      <c r="X82" s="2"/>
      <c r="Y82" s="2"/>
      <c r="Z82" s="2"/>
      <c r="AA82" s="2"/>
      <c r="AB82" s="2"/>
      <c r="AC82" s="2"/>
    </row>
    <row r="83" spans="1:29" x14ac:dyDescent="0.25">
      <c r="A83" s="2"/>
      <c r="B83" s="2"/>
      <c r="C83" s="2"/>
      <c r="D83" s="45"/>
      <c r="E83" s="45"/>
      <c r="F83" s="2"/>
      <c r="G83" s="2"/>
      <c r="H83" s="2"/>
      <c r="I83" s="2"/>
      <c r="J83" s="2"/>
      <c r="K83" s="2"/>
      <c r="L83" s="2"/>
      <c r="M83" s="2"/>
      <c r="N83" s="2"/>
      <c r="O83" s="2"/>
      <c r="P83" s="2"/>
      <c r="Q83" s="2"/>
      <c r="R83" s="2"/>
      <c r="S83" s="2"/>
      <c r="T83" s="2"/>
      <c r="U83" s="2"/>
      <c r="V83" s="2"/>
      <c r="W83" s="2"/>
      <c r="X83" s="2"/>
      <c r="Y83" s="2"/>
      <c r="Z83" s="2"/>
      <c r="AA83" s="2"/>
      <c r="AB83" s="2"/>
      <c r="AC83" s="2"/>
    </row>
    <row r="84" spans="1:29" x14ac:dyDescent="0.25">
      <c r="A84" s="2"/>
      <c r="B84" s="2"/>
      <c r="C84" s="2"/>
      <c r="D84" s="45"/>
      <c r="E84" s="45"/>
      <c r="F84" s="2"/>
      <c r="G84" s="2"/>
      <c r="H84" s="2"/>
      <c r="I84" s="2"/>
      <c r="J84" s="2"/>
      <c r="K84" s="2"/>
      <c r="L84" s="2"/>
      <c r="M84" s="2"/>
      <c r="N84" s="2"/>
      <c r="O84" s="2"/>
      <c r="P84" s="2"/>
      <c r="Q84" s="2"/>
      <c r="R84" s="2"/>
      <c r="S84" s="2"/>
      <c r="T84" s="2"/>
      <c r="U84" s="2"/>
      <c r="V84" s="2"/>
      <c r="W84" s="2"/>
      <c r="X84" s="2"/>
      <c r="Y84" s="2"/>
      <c r="Z84" s="2"/>
      <c r="AA84" s="2"/>
      <c r="AB84" s="2"/>
      <c r="AC84" s="2"/>
    </row>
    <row r="85" spans="1:29" x14ac:dyDescent="0.25">
      <c r="A85" s="2"/>
      <c r="B85" s="2"/>
      <c r="C85" s="2"/>
      <c r="D85" s="45"/>
      <c r="E85" s="45"/>
      <c r="F85" s="2"/>
      <c r="G85" s="2"/>
      <c r="H85" s="2"/>
      <c r="I85" s="2"/>
      <c r="J85" s="2"/>
      <c r="K85" s="2"/>
      <c r="L85" s="2"/>
      <c r="M85" s="2"/>
      <c r="N85" s="2"/>
      <c r="O85" s="2"/>
      <c r="P85" s="2"/>
      <c r="Q85" s="2"/>
      <c r="R85" s="2"/>
      <c r="S85" s="2"/>
      <c r="T85" s="2"/>
      <c r="U85" s="2"/>
      <c r="V85" s="2"/>
      <c r="W85" s="2"/>
      <c r="X85" s="2"/>
      <c r="Y85" s="2"/>
      <c r="Z85" s="2"/>
      <c r="AA85" s="2"/>
      <c r="AB85" s="2"/>
      <c r="AC85" s="2"/>
    </row>
    <row r="86" spans="1:29" x14ac:dyDescent="0.25">
      <c r="I86" s="2"/>
      <c r="J86" s="2"/>
      <c r="K86" s="2"/>
      <c r="L86" s="2"/>
      <c r="M86" s="2"/>
      <c r="N86" s="2"/>
      <c r="O86" s="2"/>
      <c r="P86" s="2"/>
      <c r="Q86" s="2"/>
      <c r="R86" s="2"/>
      <c r="S86" s="2"/>
      <c r="T86" s="2"/>
      <c r="U86" s="2"/>
      <c r="V86" s="2"/>
      <c r="W86" s="2"/>
      <c r="X86" s="2"/>
      <c r="Y86" s="2"/>
      <c r="Z86" s="2"/>
      <c r="AA86" s="2"/>
      <c r="AB86" s="2"/>
      <c r="AC86" s="2"/>
    </row>
    <row r="87" spans="1:29" x14ac:dyDescent="0.25">
      <c r="I87" s="2"/>
      <c r="J87" s="2"/>
      <c r="K87" s="2"/>
      <c r="L87" s="2"/>
      <c r="M87" s="2"/>
      <c r="N87" s="2"/>
      <c r="O87" s="2"/>
      <c r="P87" s="2"/>
      <c r="Q87" s="2"/>
      <c r="R87" s="2"/>
      <c r="S87" s="2"/>
      <c r="T87" s="2"/>
      <c r="U87" s="2"/>
      <c r="V87" s="2"/>
      <c r="W87" s="2"/>
      <c r="X87" s="2"/>
      <c r="Y87" s="2"/>
      <c r="Z87" s="2"/>
      <c r="AA87" s="2"/>
      <c r="AB87" s="2"/>
      <c r="AC87" s="2"/>
    </row>
    <row r="88" spans="1:29" x14ac:dyDescent="0.25">
      <c r="I88" s="2"/>
      <c r="J88" s="2"/>
      <c r="K88" s="2"/>
      <c r="L88" s="2"/>
      <c r="M88" s="2"/>
      <c r="N88" s="2"/>
      <c r="O88" s="2"/>
      <c r="P88" s="2"/>
      <c r="Q88" s="2"/>
      <c r="R88" s="2"/>
      <c r="S88" s="2"/>
      <c r="T88" s="2"/>
      <c r="U88" s="2"/>
      <c r="V88" s="2"/>
      <c r="W88" s="2"/>
      <c r="X88" s="2"/>
      <c r="Y88" s="2"/>
      <c r="Z88" s="2"/>
      <c r="AA88" s="2"/>
      <c r="AB88" s="2"/>
      <c r="AC88" s="2"/>
    </row>
    <row r="89" spans="1:29" x14ac:dyDescent="0.25">
      <c r="I89" s="2"/>
      <c r="J89" s="2"/>
      <c r="K89" s="2"/>
      <c r="L89" s="2"/>
      <c r="M89" s="2"/>
      <c r="N89" s="2"/>
      <c r="O89" s="2"/>
      <c r="P89" s="2"/>
      <c r="Q89" s="2"/>
      <c r="R89" s="2"/>
      <c r="S89" s="2"/>
      <c r="T89" s="2"/>
      <c r="U89" s="2"/>
      <c r="V89" s="2"/>
      <c r="W89" s="2"/>
      <c r="X89" s="2"/>
      <c r="Y89" s="2"/>
      <c r="Z89" s="2"/>
      <c r="AA89" s="2"/>
      <c r="AB89" s="2"/>
      <c r="AC89" s="2"/>
    </row>
    <row r="90" spans="1:29" x14ac:dyDescent="0.25">
      <c r="I90" s="2"/>
      <c r="J90" s="2"/>
      <c r="K90" s="2"/>
      <c r="L90" s="2"/>
      <c r="M90" s="2"/>
      <c r="N90" s="2"/>
      <c r="O90" s="2"/>
      <c r="P90" s="2"/>
      <c r="Q90" s="2"/>
      <c r="R90" s="2"/>
      <c r="S90" s="2"/>
      <c r="T90" s="2"/>
      <c r="U90" s="2"/>
      <c r="V90" s="2"/>
      <c r="W90" s="2"/>
      <c r="X90" s="2"/>
      <c r="Y90" s="2"/>
      <c r="Z90" s="2"/>
      <c r="AA90" s="2"/>
      <c r="AB90" s="2"/>
      <c r="AC90" s="2"/>
    </row>
    <row r="91" spans="1:29" x14ac:dyDescent="0.25">
      <c r="I91" s="2"/>
      <c r="J91" s="2"/>
      <c r="K91" s="2"/>
      <c r="L91" s="2"/>
      <c r="M91" s="2"/>
      <c r="N91" s="2"/>
      <c r="O91" s="2"/>
      <c r="P91" s="2"/>
      <c r="Q91" s="2"/>
      <c r="R91" s="2"/>
      <c r="S91" s="2"/>
      <c r="T91" s="2"/>
      <c r="U91" s="2"/>
      <c r="V91" s="2"/>
      <c r="W91" s="2"/>
      <c r="X91" s="2"/>
      <c r="Y91" s="2"/>
      <c r="Z91" s="2"/>
      <c r="AA91" s="2"/>
      <c r="AB91" s="2"/>
      <c r="AC91" s="2"/>
    </row>
    <row r="92" spans="1:29" x14ac:dyDescent="0.25">
      <c r="I92" s="2"/>
      <c r="J92" s="2"/>
      <c r="K92" s="2"/>
      <c r="L92" s="2"/>
      <c r="M92" s="2"/>
      <c r="N92" s="2"/>
      <c r="O92" s="2"/>
      <c r="P92" s="2"/>
      <c r="Q92" s="2"/>
      <c r="R92" s="2"/>
      <c r="S92" s="2"/>
      <c r="T92" s="2"/>
      <c r="U92" s="2"/>
      <c r="V92" s="2"/>
      <c r="W92" s="2"/>
      <c r="X92" s="2"/>
      <c r="Y92" s="2"/>
      <c r="Z92" s="2"/>
      <c r="AA92" s="2"/>
      <c r="AB92" s="2"/>
      <c r="AC92" s="2"/>
    </row>
    <row r="93" spans="1:29" x14ac:dyDescent="0.25">
      <c r="I93" s="2"/>
      <c r="J93" s="2"/>
      <c r="K93" s="2"/>
      <c r="L93" s="2"/>
      <c r="M93" s="2"/>
      <c r="N93" s="2"/>
      <c r="O93" s="2"/>
      <c r="P93" s="2"/>
      <c r="Q93" s="2"/>
      <c r="R93" s="2"/>
      <c r="S93" s="2"/>
      <c r="T93" s="2"/>
      <c r="U93" s="2"/>
      <c r="V93" s="2"/>
      <c r="W93" s="2"/>
      <c r="X93" s="2"/>
      <c r="Y93" s="2"/>
      <c r="Z93" s="2"/>
      <c r="AA93" s="2"/>
      <c r="AB93" s="2"/>
      <c r="AC93" s="2"/>
    </row>
    <row r="94" spans="1:29" x14ac:dyDescent="0.25">
      <c r="I94" s="2"/>
      <c r="J94" s="2"/>
      <c r="K94" s="2"/>
      <c r="L94" s="2"/>
      <c r="M94" s="2"/>
      <c r="N94" s="2"/>
      <c r="O94" s="2"/>
      <c r="P94" s="2"/>
      <c r="Q94" s="2"/>
      <c r="R94" s="2"/>
      <c r="S94" s="2"/>
      <c r="T94" s="2"/>
      <c r="U94" s="2"/>
      <c r="V94" s="2"/>
      <c r="W94" s="2"/>
      <c r="X94" s="2"/>
      <c r="Y94" s="2"/>
      <c r="Z94" s="2"/>
      <c r="AA94" s="2"/>
      <c r="AB94" s="2"/>
      <c r="AC94" s="2"/>
    </row>
    <row r="95" spans="1:29" x14ac:dyDescent="0.25">
      <c r="I95" s="2"/>
      <c r="J95" s="2"/>
      <c r="K95" s="2"/>
      <c r="L95" s="2"/>
      <c r="M95" s="2"/>
      <c r="N95" s="2"/>
      <c r="O95" s="2"/>
      <c r="P95" s="2"/>
      <c r="Q95" s="2"/>
      <c r="R95" s="2"/>
      <c r="S95" s="2"/>
      <c r="T95" s="2"/>
      <c r="U95" s="2"/>
      <c r="V95" s="2"/>
      <c r="W95" s="2"/>
      <c r="X95" s="2"/>
      <c r="Y95" s="2"/>
      <c r="Z95" s="2"/>
      <c r="AA95" s="2"/>
      <c r="AB95" s="2"/>
      <c r="AC95" s="2"/>
    </row>
    <row r="96" spans="1:29" x14ac:dyDescent="0.25">
      <c r="I96" s="2"/>
      <c r="J96" s="2"/>
      <c r="K96" s="2"/>
      <c r="L96" s="2"/>
      <c r="M96" s="2"/>
      <c r="N96" s="2"/>
      <c r="O96" s="2"/>
      <c r="P96" s="2"/>
      <c r="Q96" s="2"/>
      <c r="R96" s="2"/>
      <c r="S96" s="2"/>
      <c r="T96" s="2"/>
      <c r="U96" s="2"/>
      <c r="V96" s="2"/>
      <c r="W96" s="2"/>
      <c r="X96" s="2"/>
      <c r="Y96" s="2"/>
      <c r="Z96" s="2"/>
      <c r="AA96" s="2"/>
      <c r="AB96" s="2"/>
      <c r="AC96" s="2"/>
    </row>
    <row r="97" spans="9:29" x14ac:dyDescent="0.25">
      <c r="I97" s="2"/>
      <c r="J97" s="2"/>
      <c r="K97" s="2"/>
      <c r="L97" s="2"/>
      <c r="M97" s="2"/>
      <c r="N97" s="2"/>
      <c r="O97" s="2"/>
      <c r="P97" s="2"/>
      <c r="Q97" s="2"/>
      <c r="R97" s="2"/>
      <c r="S97" s="2"/>
      <c r="T97" s="2"/>
      <c r="U97" s="2"/>
      <c r="V97" s="2"/>
      <c r="W97" s="2"/>
      <c r="X97" s="2"/>
      <c r="Y97" s="2"/>
      <c r="Z97" s="2"/>
      <c r="AA97" s="2"/>
      <c r="AB97" s="2"/>
      <c r="AC97" s="2"/>
    </row>
    <row r="98" spans="9:29" x14ac:dyDescent="0.25">
      <c r="I98" s="2"/>
      <c r="J98" s="2"/>
      <c r="K98" s="2"/>
      <c r="L98" s="2"/>
      <c r="M98" s="2"/>
      <c r="N98" s="2"/>
      <c r="O98" s="2"/>
      <c r="P98" s="2"/>
      <c r="Q98" s="2"/>
      <c r="R98" s="2"/>
      <c r="S98" s="2"/>
      <c r="T98" s="2"/>
      <c r="U98" s="2"/>
      <c r="V98" s="2"/>
      <c r="W98" s="2"/>
      <c r="X98" s="2"/>
      <c r="Y98" s="2"/>
      <c r="Z98" s="2"/>
      <c r="AA98" s="2"/>
      <c r="AB98" s="2"/>
      <c r="AC98" s="2"/>
    </row>
    <row r="99" spans="9:29" x14ac:dyDescent="0.25">
      <c r="I99" s="2"/>
      <c r="J99" s="2"/>
      <c r="K99" s="2"/>
      <c r="L99" s="2"/>
      <c r="M99" s="2"/>
      <c r="N99" s="2"/>
      <c r="O99" s="2"/>
      <c r="P99" s="2"/>
      <c r="Q99" s="2"/>
      <c r="R99" s="2"/>
      <c r="S99" s="2"/>
      <c r="T99" s="2"/>
      <c r="U99" s="2"/>
      <c r="V99" s="2"/>
      <c r="W99" s="2"/>
      <c r="X99" s="2"/>
      <c r="Y99" s="2"/>
      <c r="Z99" s="2"/>
      <c r="AA99" s="2"/>
      <c r="AB99" s="2"/>
      <c r="AC99" s="2"/>
    </row>
    <row r="100" spans="9:29" x14ac:dyDescent="0.25">
      <c r="I100" s="2"/>
      <c r="J100" s="2"/>
      <c r="K100" s="2"/>
      <c r="L100" s="2"/>
      <c r="M100" s="2"/>
      <c r="N100" s="2"/>
      <c r="O100" s="2"/>
      <c r="P100" s="2"/>
      <c r="Q100" s="2"/>
      <c r="R100" s="2"/>
      <c r="S100" s="2"/>
      <c r="T100" s="2"/>
      <c r="U100" s="2"/>
      <c r="V100" s="2"/>
      <c r="W100" s="2"/>
      <c r="X100" s="2"/>
      <c r="Y100" s="2"/>
      <c r="Z100" s="2"/>
      <c r="AA100" s="2"/>
      <c r="AB100" s="2"/>
      <c r="AC100" s="2"/>
    </row>
    <row r="101" spans="9:29" x14ac:dyDescent="0.25">
      <c r="I101" s="2"/>
      <c r="J101" s="2"/>
      <c r="K101" s="2"/>
      <c r="L101" s="2"/>
      <c r="M101" s="2"/>
      <c r="N101" s="2"/>
      <c r="O101" s="2"/>
      <c r="P101" s="2"/>
      <c r="Q101" s="2"/>
      <c r="R101" s="2"/>
      <c r="S101" s="2"/>
      <c r="T101" s="2"/>
      <c r="U101" s="2"/>
      <c r="V101" s="2"/>
      <c r="W101" s="2"/>
      <c r="X101" s="2"/>
      <c r="Y101" s="2"/>
      <c r="Z101" s="2"/>
      <c r="AA101" s="2"/>
      <c r="AB101" s="2"/>
      <c r="AC101" s="2"/>
    </row>
    <row r="102" spans="9:29" x14ac:dyDescent="0.25">
      <c r="I102" s="2"/>
      <c r="J102" s="2"/>
      <c r="K102" s="2"/>
      <c r="L102" s="2"/>
      <c r="M102" s="2"/>
      <c r="N102" s="2"/>
      <c r="O102" s="2"/>
      <c r="P102" s="2"/>
      <c r="Q102" s="2"/>
      <c r="R102" s="2"/>
      <c r="S102" s="2"/>
      <c r="T102" s="2"/>
      <c r="U102" s="2"/>
      <c r="V102" s="2"/>
      <c r="W102" s="2"/>
      <c r="X102" s="2"/>
      <c r="Y102" s="2"/>
      <c r="Z102" s="2"/>
      <c r="AA102" s="2"/>
      <c r="AB102" s="2"/>
      <c r="AC102" s="2"/>
    </row>
    <row r="103" spans="9:29" x14ac:dyDescent="0.25">
      <c r="I103" s="2"/>
      <c r="J103" s="2"/>
      <c r="K103" s="2"/>
      <c r="L103" s="2"/>
      <c r="M103" s="2"/>
      <c r="N103" s="2"/>
      <c r="O103" s="2"/>
      <c r="P103" s="2"/>
      <c r="Q103" s="2"/>
      <c r="R103" s="2"/>
      <c r="S103" s="2"/>
      <c r="T103" s="2"/>
      <c r="U103" s="2"/>
      <c r="V103" s="2"/>
      <c r="W103" s="2"/>
      <c r="X103" s="2"/>
      <c r="Y103" s="2"/>
      <c r="Z103" s="2"/>
      <c r="AA103" s="2"/>
      <c r="AB103" s="2"/>
      <c r="AC103" s="2"/>
    </row>
    <row r="104" spans="9:29" x14ac:dyDescent="0.25">
      <c r="I104" s="2"/>
      <c r="J104" s="2"/>
      <c r="K104" s="2"/>
      <c r="L104" s="2"/>
      <c r="M104" s="2"/>
      <c r="N104" s="2"/>
      <c r="O104" s="2"/>
      <c r="P104" s="2"/>
      <c r="Q104" s="2"/>
      <c r="R104" s="2"/>
      <c r="S104" s="2"/>
      <c r="T104" s="2"/>
      <c r="U104" s="2"/>
      <c r="V104" s="2"/>
      <c r="W104" s="2"/>
      <c r="X104" s="2"/>
      <c r="Y104" s="2"/>
      <c r="Z104" s="2"/>
      <c r="AA104" s="2"/>
      <c r="AB104" s="2"/>
      <c r="AC104" s="2"/>
    </row>
    <row r="105" spans="9:29" x14ac:dyDescent="0.25">
      <c r="I105" s="2"/>
      <c r="J105" s="2"/>
      <c r="K105" s="2"/>
      <c r="L105" s="2"/>
      <c r="M105" s="2"/>
      <c r="N105" s="2"/>
      <c r="O105" s="2"/>
      <c r="P105" s="2"/>
      <c r="Q105" s="2"/>
      <c r="R105" s="2"/>
      <c r="S105" s="2"/>
      <c r="T105" s="2"/>
      <c r="U105" s="2"/>
      <c r="V105" s="2"/>
      <c r="W105" s="2"/>
      <c r="X105" s="2"/>
      <c r="Y105" s="2"/>
      <c r="Z105" s="2"/>
      <c r="AA105" s="2"/>
      <c r="AB105" s="2"/>
      <c r="AC105" s="2"/>
    </row>
    <row r="106" spans="9:29" x14ac:dyDescent="0.25">
      <c r="I106" s="2"/>
      <c r="J106" s="2"/>
      <c r="K106" s="2"/>
      <c r="L106" s="2"/>
      <c r="M106" s="2"/>
      <c r="N106" s="2"/>
      <c r="O106" s="2"/>
      <c r="P106" s="2"/>
      <c r="Q106" s="2"/>
      <c r="R106" s="2"/>
      <c r="S106" s="2"/>
      <c r="T106" s="2"/>
      <c r="U106" s="2"/>
      <c r="V106" s="2"/>
      <c r="W106" s="2"/>
      <c r="X106" s="2"/>
      <c r="Y106" s="2"/>
      <c r="Z106" s="2"/>
      <c r="AA106" s="2"/>
      <c r="AB106" s="2"/>
      <c r="AC106" s="2"/>
    </row>
    <row r="107" spans="9:29" x14ac:dyDescent="0.25">
      <c r="I107" s="2"/>
      <c r="J107" s="2"/>
      <c r="K107" s="2"/>
      <c r="L107" s="2"/>
      <c r="M107" s="2"/>
      <c r="N107" s="2"/>
      <c r="O107" s="2"/>
      <c r="P107" s="2"/>
      <c r="Q107" s="2"/>
      <c r="R107" s="2"/>
      <c r="S107" s="2"/>
      <c r="T107" s="2"/>
      <c r="U107" s="2"/>
      <c r="V107" s="2"/>
      <c r="W107" s="2"/>
      <c r="X107" s="2"/>
      <c r="Y107" s="2"/>
      <c r="Z107" s="2"/>
      <c r="AA107" s="2"/>
      <c r="AB107" s="2"/>
      <c r="AC107" s="2"/>
    </row>
    <row r="108" spans="9:29" x14ac:dyDescent="0.25">
      <c r="I108" s="2"/>
      <c r="J108" s="2"/>
      <c r="K108" s="2"/>
      <c r="L108" s="2"/>
      <c r="M108" s="2"/>
      <c r="N108" s="2"/>
      <c r="O108" s="2"/>
      <c r="P108" s="2"/>
      <c r="Q108" s="2"/>
      <c r="R108" s="2"/>
      <c r="S108" s="2"/>
      <c r="T108" s="2"/>
      <c r="U108" s="2"/>
      <c r="V108" s="2"/>
      <c r="W108" s="2"/>
      <c r="X108" s="2"/>
      <c r="Y108" s="2"/>
      <c r="Z108" s="2"/>
      <c r="AA108" s="2"/>
      <c r="AB108" s="2"/>
      <c r="AC108" s="2"/>
    </row>
    <row r="109" spans="9:29" x14ac:dyDescent="0.25">
      <c r="I109" s="2"/>
      <c r="J109" s="2"/>
      <c r="K109" s="2"/>
      <c r="L109" s="2"/>
      <c r="M109" s="2"/>
      <c r="N109" s="2"/>
      <c r="O109" s="2"/>
      <c r="P109" s="2"/>
      <c r="Q109" s="2"/>
      <c r="R109" s="2"/>
      <c r="S109" s="2"/>
      <c r="T109" s="2"/>
      <c r="U109" s="2"/>
      <c r="V109" s="2"/>
      <c r="W109" s="2"/>
      <c r="X109" s="2"/>
      <c r="Y109" s="2"/>
      <c r="Z109" s="2"/>
      <c r="AA109" s="2"/>
      <c r="AB109" s="2"/>
      <c r="AC109" s="2"/>
    </row>
    <row r="110" spans="9:29" x14ac:dyDescent="0.25">
      <c r="I110" s="2"/>
      <c r="J110" s="2"/>
      <c r="K110" s="2"/>
      <c r="L110" s="2"/>
      <c r="M110" s="2"/>
      <c r="N110" s="2"/>
      <c r="O110" s="2"/>
      <c r="P110" s="2"/>
      <c r="Q110" s="2"/>
      <c r="R110" s="2"/>
      <c r="S110" s="2"/>
      <c r="T110" s="2"/>
      <c r="U110" s="2"/>
      <c r="V110" s="2"/>
      <c r="W110" s="2"/>
      <c r="X110" s="2"/>
      <c r="Y110" s="2"/>
      <c r="Z110" s="2"/>
      <c r="AA110" s="2"/>
      <c r="AB110" s="2"/>
      <c r="AC110" s="2"/>
    </row>
    <row r="111" spans="9:29" x14ac:dyDescent="0.25">
      <c r="I111" s="2"/>
      <c r="J111" s="2"/>
      <c r="K111" s="2"/>
      <c r="L111" s="2"/>
      <c r="M111" s="2"/>
      <c r="N111" s="2"/>
      <c r="O111" s="2"/>
      <c r="P111" s="2"/>
      <c r="Q111" s="2"/>
      <c r="R111" s="2"/>
      <c r="S111" s="2"/>
      <c r="T111" s="2"/>
      <c r="U111" s="2"/>
      <c r="V111" s="2"/>
      <c r="W111" s="2"/>
      <c r="X111" s="2"/>
      <c r="Y111" s="2"/>
      <c r="Z111" s="2"/>
      <c r="AA111" s="2"/>
      <c r="AB111" s="2"/>
      <c r="AC111" s="2"/>
    </row>
    <row r="112" spans="9:29" x14ac:dyDescent="0.25">
      <c r="I112" s="2"/>
      <c r="J112" s="2"/>
      <c r="K112" s="2"/>
      <c r="L112" s="2"/>
      <c r="M112" s="2"/>
      <c r="N112" s="2"/>
      <c r="O112" s="2"/>
      <c r="P112" s="2"/>
      <c r="Q112" s="2"/>
      <c r="R112" s="2"/>
      <c r="S112" s="2"/>
      <c r="T112" s="2"/>
      <c r="U112" s="2"/>
      <c r="V112" s="2"/>
      <c r="W112" s="2"/>
      <c r="X112" s="2"/>
      <c r="Y112" s="2"/>
      <c r="Z112" s="2"/>
      <c r="AA112" s="2"/>
      <c r="AB112" s="2"/>
      <c r="AC112" s="2"/>
    </row>
    <row r="113" spans="9:29" x14ac:dyDescent="0.25">
      <c r="I113" s="2"/>
      <c r="J113" s="2"/>
      <c r="K113" s="2"/>
      <c r="L113" s="2"/>
      <c r="M113" s="2"/>
      <c r="N113" s="2"/>
      <c r="O113" s="2"/>
      <c r="P113" s="2"/>
      <c r="Q113" s="2"/>
      <c r="R113" s="2"/>
      <c r="S113" s="2"/>
      <c r="T113" s="2"/>
      <c r="U113" s="2"/>
      <c r="V113" s="2"/>
      <c r="W113" s="2"/>
      <c r="X113" s="2"/>
      <c r="Y113" s="2"/>
      <c r="Z113" s="2"/>
      <c r="AA113" s="2"/>
      <c r="AB113" s="2"/>
      <c r="AC113" s="2"/>
    </row>
    <row r="114" spans="9:29" x14ac:dyDescent="0.25">
      <c r="I114" s="2"/>
      <c r="J114" s="2"/>
      <c r="K114" s="2"/>
      <c r="L114" s="2"/>
      <c r="M114" s="2"/>
      <c r="N114" s="2"/>
      <c r="O114" s="2"/>
      <c r="P114" s="2"/>
      <c r="Q114" s="2"/>
      <c r="R114" s="2"/>
      <c r="S114" s="2"/>
      <c r="T114" s="2"/>
      <c r="U114" s="2"/>
      <c r="V114" s="2"/>
      <c r="W114" s="2"/>
      <c r="X114" s="2"/>
      <c r="Y114" s="2"/>
      <c r="Z114" s="2"/>
      <c r="AA114" s="2"/>
      <c r="AB114" s="2"/>
      <c r="AC114" s="2"/>
    </row>
    <row r="115" spans="9:29" x14ac:dyDescent="0.25">
      <c r="I115" s="2"/>
      <c r="J115" s="2"/>
      <c r="K115" s="2"/>
      <c r="L115" s="2"/>
      <c r="M115" s="2"/>
      <c r="N115" s="2"/>
      <c r="O115" s="2"/>
      <c r="P115" s="2"/>
      <c r="Q115" s="2"/>
      <c r="R115" s="2"/>
      <c r="S115" s="2"/>
      <c r="T115" s="2"/>
      <c r="U115" s="2"/>
      <c r="V115" s="2"/>
      <c r="W115" s="2"/>
      <c r="X115" s="2"/>
      <c r="Y115" s="2"/>
      <c r="Z115" s="2"/>
      <c r="AA115" s="2"/>
      <c r="AB115" s="2"/>
      <c r="AC115" s="2"/>
    </row>
    <row r="116" spans="9:29" x14ac:dyDescent="0.25">
      <c r="I116" s="2"/>
      <c r="J116" s="2"/>
      <c r="K116" s="2"/>
      <c r="L116" s="2"/>
      <c r="M116" s="2"/>
      <c r="N116" s="2"/>
      <c r="O116" s="2"/>
      <c r="P116" s="2"/>
      <c r="Q116" s="2"/>
      <c r="R116" s="2"/>
      <c r="S116" s="2"/>
      <c r="T116" s="2"/>
      <c r="U116" s="2"/>
      <c r="V116" s="2"/>
      <c r="W116" s="2"/>
      <c r="X116" s="2"/>
      <c r="Y116" s="2"/>
      <c r="Z116" s="2"/>
      <c r="AA116" s="2"/>
      <c r="AB116" s="2"/>
      <c r="AC116" s="2"/>
    </row>
    <row r="117" spans="9:29" x14ac:dyDescent="0.25">
      <c r="I117" s="2"/>
      <c r="J117" s="2"/>
      <c r="K117" s="2"/>
      <c r="L117" s="2"/>
      <c r="M117" s="2"/>
      <c r="N117" s="2"/>
      <c r="O117" s="2"/>
      <c r="P117" s="2"/>
      <c r="Q117" s="2"/>
      <c r="R117" s="2"/>
      <c r="S117" s="2"/>
      <c r="T117" s="2"/>
      <c r="U117" s="2"/>
      <c r="V117" s="2"/>
      <c r="W117" s="2"/>
      <c r="X117" s="2"/>
      <c r="Y117" s="2"/>
      <c r="Z117" s="2"/>
      <c r="AA117" s="2"/>
      <c r="AB117" s="2"/>
      <c r="AC117" s="2"/>
    </row>
    <row r="118" spans="9:29" x14ac:dyDescent="0.25">
      <c r="I118" s="2"/>
      <c r="J118" s="2"/>
      <c r="K118" s="2"/>
      <c r="L118" s="2"/>
      <c r="M118" s="2"/>
      <c r="N118" s="2"/>
      <c r="O118" s="2"/>
      <c r="P118" s="2"/>
      <c r="Q118" s="2"/>
      <c r="R118" s="2"/>
      <c r="S118" s="2"/>
      <c r="T118" s="2"/>
      <c r="U118" s="2"/>
      <c r="V118" s="2"/>
      <c r="W118" s="2"/>
      <c r="X118" s="2"/>
      <c r="Y118" s="2"/>
      <c r="Z118" s="2"/>
      <c r="AA118" s="2"/>
      <c r="AB118" s="2"/>
      <c r="AC118" s="2"/>
    </row>
    <row r="119" spans="9:29" x14ac:dyDescent="0.25">
      <c r="I119" s="2"/>
      <c r="J119" s="2"/>
      <c r="K119" s="2"/>
      <c r="L119" s="2"/>
      <c r="M119" s="2"/>
      <c r="N119" s="2"/>
      <c r="O119" s="2"/>
      <c r="P119" s="2"/>
      <c r="Q119" s="2"/>
      <c r="R119" s="2"/>
      <c r="S119" s="2"/>
      <c r="T119" s="2"/>
      <c r="U119" s="2"/>
      <c r="V119" s="2"/>
      <c r="W119" s="2"/>
      <c r="X119" s="2"/>
      <c r="Y119" s="2"/>
      <c r="Z119" s="2"/>
      <c r="AA119" s="2"/>
      <c r="AB119" s="2"/>
      <c r="AC119" s="2"/>
    </row>
    <row r="120" spans="9:29" x14ac:dyDescent="0.25">
      <c r="I120" s="2"/>
      <c r="J120" s="2"/>
      <c r="K120" s="2"/>
      <c r="L120" s="2"/>
      <c r="M120" s="2"/>
      <c r="N120" s="2"/>
      <c r="O120" s="2"/>
      <c r="P120" s="2"/>
      <c r="Q120" s="2"/>
      <c r="R120" s="2"/>
      <c r="S120" s="2"/>
      <c r="T120" s="2"/>
      <c r="U120" s="2"/>
      <c r="V120" s="2"/>
      <c r="W120" s="2"/>
      <c r="X120" s="2"/>
      <c r="Y120" s="2"/>
      <c r="Z120" s="2"/>
      <c r="AA120" s="2"/>
      <c r="AB120" s="2"/>
      <c r="AC120" s="2"/>
    </row>
    <row r="121" spans="9:29" x14ac:dyDescent="0.25">
      <c r="I121" s="2"/>
      <c r="J121" s="2"/>
      <c r="K121" s="2"/>
      <c r="L121" s="2"/>
      <c r="M121" s="2"/>
      <c r="N121" s="2"/>
      <c r="O121" s="2"/>
      <c r="P121" s="2"/>
      <c r="Q121" s="2"/>
      <c r="R121" s="2"/>
      <c r="S121" s="2"/>
      <c r="T121" s="2"/>
      <c r="U121" s="2"/>
      <c r="V121" s="2"/>
      <c r="W121" s="2"/>
      <c r="X121" s="2"/>
      <c r="Y121" s="2"/>
      <c r="Z121" s="2"/>
      <c r="AA121" s="2"/>
      <c r="AB121" s="2"/>
      <c r="AC121" s="2"/>
    </row>
    <row r="122" spans="9:29" x14ac:dyDescent="0.25">
      <c r="I122" s="2"/>
      <c r="J122" s="2"/>
      <c r="K122" s="2"/>
      <c r="L122" s="2"/>
      <c r="M122" s="2"/>
      <c r="N122" s="2"/>
      <c r="O122" s="2"/>
      <c r="P122" s="2"/>
      <c r="Q122" s="2"/>
      <c r="R122" s="2"/>
      <c r="S122" s="2"/>
      <c r="T122" s="2"/>
      <c r="U122" s="2"/>
      <c r="V122" s="2"/>
      <c r="W122" s="2"/>
      <c r="X122" s="2"/>
      <c r="Y122" s="2"/>
      <c r="Z122" s="2"/>
      <c r="AA122" s="2"/>
      <c r="AB122" s="2"/>
      <c r="AC122" s="2"/>
    </row>
    <row r="123" spans="9:29" x14ac:dyDescent="0.25">
      <c r="I123" s="2"/>
      <c r="J123" s="2"/>
      <c r="K123" s="2"/>
      <c r="L123" s="2"/>
      <c r="M123" s="2"/>
      <c r="N123" s="2"/>
      <c r="O123" s="2"/>
      <c r="P123" s="2"/>
      <c r="Q123" s="2"/>
      <c r="R123" s="2"/>
      <c r="S123" s="2"/>
      <c r="T123" s="2"/>
      <c r="U123" s="2"/>
      <c r="V123" s="2"/>
      <c r="W123" s="2"/>
      <c r="X123" s="2"/>
      <c r="Y123" s="2"/>
      <c r="Z123" s="2"/>
      <c r="AA123" s="2"/>
      <c r="AB123" s="2"/>
      <c r="AC123" s="2"/>
    </row>
    <row r="124" spans="9:29" x14ac:dyDescent="0.25">
      <c r="I124" s="2"/>
      <c r="J124" s="2"/>
      <c r="K124" s="2"/>
      <c r="L124" s="2"/>
      <c r="M124" s="2"/>
      <c r="N124" s="2"/>
      <c r="O124" s="2"/>
      <c r="P124" s="2"/>
      <c r="Q124" s="2"/>
      <c r="R124" s="2"/>
      <c r="S124" s="2"/>
      <c r="T124" s="2"/>
      <c r="U124" s="2"/>
      <c r="V124" s="2"/>
      <c r="W124" s="2"/>
      <c r="X124" s="2"/>
      <c r="Y124" s="2"/>
      <c r="Z124" s="2"/>
      <c r="AA124" s="2"/>
      <c r="AB124" s="2"/>
      <c r="AC124" s="2"/>
    </row>
    <row r="125" spans="9:29" x14ac:dyDescent="0.25">
      <c r="I125" s="2"/>
      <c r="J125" s="2"/>
      <c r="K125" s="2"/>
      <c r="L125" s="2"/>
      <c r="M125" s="2"/>
      <c r="N125" s="2"/>
      <c r="O125" s="2"/>
      <c r="P125" s="2"/>
      <c r="Q125" s="2"/>
      <c r="R125" s="2"/>
      <c r="S125" s="2"/>
      <c r="T125" s="2"/>
      <c r="U125" s="2"/>
      <c r="V125" s="2"/>
      <c r="W125" s="2"/>
      <c r="X125" s="2"/>
      <c r="Y125" s="2"/>
      <c r="Z125" s="2"/>
      <c r="AA125" s="2"/>
      <c r="AB125" s="2"/>
      <c r="AC125" s="2"/>
    </row>
    <row r="126" spans="9:29" x14ac:dyDescent="0.25">
      <c r="I126" s="2"/>
      <c r="J126" s="2"/>
      <c r="K126" s="2"/>
      <c r="L126" s="2"/>
      <c r="M126" s="2"/>
      <c r="N126" s="2"/>
      <c r="O126" s="2"/>
      <c r="P126" s="2"/>
      <c r="Q126" s="2"/>
      <c r="R126" s="2"/>
      <c r="S126" s="2"/>
      <c r="T126" s="2"/>
      <c r="U126" s="2"/>
      <c r="V126" s="2"/>
      <c r="W126" s="2"/>
      <c r="X126" s="2"/>
      <c r="Y126" s="2"/>
      <c r="Z126" s="2"/>
      <c r="AA126" s="2"/>
      <c r="AB126" s="2"/>
      <c r="AC126" s="2"/>
    </row>
    <row r="127" spans="9:29" x14ac:dyDescent="0.25">
      <c r="I127" s="2"/>
      <c r="J127" s="2"/>
      <c r="K127" s="2"/>
      <c r="L127" s="2"/>
      <c r="M127" s="2"/>
      <c r="N127" s="2"/>
      <c r="O127" s="2"/>
      <c r="P127" s="2"/>
      <c r="Q127" s="2"/>
      <c r="R127" s="2"/>
      <c r="S127" s="2"/>
      <c r="T127" s="2"/>
      <c r="U127" s="2"/>
      <c r="V127" s="2"/>
      <c r="W127" s="2"/>
      <c r="X127" s="2"/>
      <c r="Y127" s="2"/>
      <c r="Z127" s="2"/>
      <c r="AA127" s="2"/>
      <c r="AB127" s="2"/>
      <c r="AC127" s="2"/>
    </row>
    <row r="128" spans="9:29" x14ac:dyDescent="0.25">
      <c r="I128" s="2"/>
      <c r="J128" s="2"/>
      <c r="K128" s="2"/>
      <c r="L128" s="2"/>
      <c r="M128" s="2"/>
      <c r="N128" s="2"/>
      <c r="O128" s="2"/>
      <c r="P128" s="2"/>
      <c r="Q128" s="2"/>
      <c r="R128" s="2"/>
      <c r="S128" s="2"/>
      <c r="T128" s="2"/>
      <c r="U128" s="2"/>
      <c r="V128" s="2"/>
      <c r="W128" s="2"/>
      <c r="X128" s="2"/>
      <c r="Y128" s="2"/>
      <c r="Z128" s="2"/>
      <c r="AA128" s="2"/>
      <c r="AB128" s="2"/>
      <c r="AC128" s="2"/>
    </row>
    <row r="129" spans="9:29" x14ac:dyDescent="0.25">
      <c r="I129" s="2"/>
      <c r="J129" s="2"/>
      <c r="K129" s="2"/>
      <c r="L129" s="2"/>
      <c r="M129" s="2"/>
      <c r="N129" s="2"/>
      <c r="O129" s="2"/>
      <c r="P129" s="2"/>
      <c r="Q129" s="2"/>
      <c r="R129" s="2"/>
      <c r="S129" s="2"/>
      <c r="T129" s="2"/>
      <c r="U129" s="2"/>
      <c r="V129" s="2"/>
      <c r="W129" s="2"/>
      <c r="X129" s="2"/>
      <c r="Y129" s="2"/>
      <c r="Z129" s="2"/>
      <c r="AA129" s="2"/>
      <c r="AB129" s="2"/>
      <c r="AC129" s="2"/>
    </row>
    <row r="130" spans="9:29" x14ac:dyDescent="0.25">
      <c r="I130" s="2"/>
      <c r="J130" s="2"/>
      <c r="K130" s="2"/>
      <c r="L130" s="2"/>
      <c r="M130" s="2"/>
      <c r="N130" s="2"/>
      <c r="O130" s="2"/>
      <c r="P130" s="2"/>
      <c r="Q130" s="2"/>
      <c r="R130" s="2"/>
      <c r="S130" s="2"/>
      <c r="T130" s="2"/>
      <c r="U130" s="2"/>
      <c r="V130" s="2"/>
      <c r="W130" s="2"/>
      <c r="X130" s="2"/>
      <c r="Y130" s="2"/>
      <c r="Z130" s="2"/>
      <c r="AA130" s="2"/>
      <c r="AB130" s="2"/>
      <c r="AC130" s="2"/>
    </row>
    <row r="131" spans="9:29" x14ac:dyDescent="0.25">
      <c r="I131" s="2"/>
      <c r="J131" s="2"/>
      <c r="K131" s="2"/>
      <c r="L131" s="2"/>
      <c r="M131" s="2"/>
      <c r="N131" s="2"/>
      <c r="O131" s="2"/>
      <c r="P131" s="2"/>
      <c r="Q131" s="2"/>
      <c r="R131" s="2"/>
      <c r="S131" s="2"/>
      <c r="T131" s="2"/>
      <c r="U131" s="2"/>
      <c r="V131" s="2"/>
      <c r="W131" s="2"/>
      <c r="X131" s="2"/>
      <c r="Y131" s="2"/>
      <c r="Z131" s="2"/>
      <c r="AA131" s="2"/>
      <c r="AB131" s="2"/>
      <c r="AC131" s="2"/>
    </row>
    <row r="132" spans="9:29" x14ac:dyDescent="0.25">
      <c r="I132" s="2"/>
      <c r="J132" s="2"/>
      <c r="K132" s="2"/>
      <c r="L132" s="2"/>
      <c r="M132" s="2"/>
      <c r="N132" s="2"/>
      <c r="O132" s="2"/>
      <c r="P132" s="2"/>
      <c r="Q132" s="2"/>
      <c r="R132" s="2"/>
      <c r="S132" s="2"/>
      <c r="T132" s="2"/>
      <c r="U132" s="2"/>
      <c r="V132" s="2"/>
      <c r="W132" s="2"/>
      <c r="X132" s="2"/>
      <c r="Y132" s="2"/>
      <c r="Z132" s="2"/>
      <c r="AA132" s="2"/>
      <c r="AB132" s="2"/>
      <c r="AC132" s="2"/>
    </row>
    <row r="133" spans="9:29" x14ac:dyDescent="0.25">
      <c r="I133" s="2"/>
      <c r="J133" s="2"/>
      <c r="K133" s="2"/>
      <c r="L133" s="2"/>
      <c r="M133" s="2"/>
      <c r="N133" s="2"/>
      <c r="O133" s="2"/>
      <c r="P133" s="2"/>
      <c r="Q133" s="2"/>
      <c r="R133" s="2"/>
      <c r="S133" s="2"/>
      <c r="T133" s="2"/>
      <c r="U133" s="2"/>
      <c r="V133" s="2"/>
      <c r="W133" s="2"/>
      <c r="X133" s="2"/>
      <c r="Y133" s="2"/>
      <c r="Z133" s="2"/>
      <c r="AA133" s="2"/>
      <c r="AB133" s="2"/>
      <c r="AC133" s="2"/>
    </row>
    <row r="134" spans="9:29" x14ac:dyDescent="0.25">
      <c r="I134" s="2"/>
      <c r="J134" s="2"/>
      <c r="K134" s="2"/>
      <c r="L134" s="2"/>
      <c r="M134" s="2"/>
      <c r="N134" s="2"/>
      <c r="O134" s="2"/>
      <c r="P134" s="2"/>
      <c r="Q134" s="2"/>
      <c r="R134" s="2"/>
      <c r="S134" s="2"/>
      <c r="T134" s="2"/>
      <c r="U134" s="2"/>
      <c r="V134" s="2"/>
      <c r="W134" s="2"/>
      <c r="X134" s="2"/>
      <c r="Y134" s="2"/>
      <c r="Z134" s="2"/>
      <c r="AA134" s="2"/>
      <c r="AB134" s="2"/>
      <c r="AC134" s="2"/>
    </row>
    <row r="135" spans="9:29" x14ac:dyDescent="0.25">
      <c r="I135" s="2"/>
      <c r="J135" s="2"/>
      <c r="K135" s="2"/>
      <c r="L135" s="2"/>
      <c r="M135" s="2"/>
      <c r="N135" s="2"/>
      <c r="O135" s="2"/>
      <c r="P135" s="2"/>
      <c r="Q135" s="2"/>
      <c r="R135" s="2"/>
      <c r="S135" s="2"/>
      <c r="T135" s="2"/>
      <c r="U135" s="2"/>
      <c r="V135" s="2"/>
      <c r="W135" s="2"/>
      <c r="X135" s="2"/>
      <c r="Y135" s="2"/>
      <c r="Z135" s="2"/>
      <c r="AA135" s="2"/>
      <c r="AB135" s="2"/>
      <c r="AC135" s="2"/>
    </row>
    <row r="136" spans="9:29" x14ac:dyDescent="0.25">
      <c r="I136" s="2"/>
      <c r="J136" s="2"/>
      <c r="K136" s="2"/>
      <c r="L136" s="2"/>
      <c r="M136" s="2"/>
      <c r="N136" s="2"/>
      <c r="O136" s="2"/>
      <c r="P136" s="2"/>
      <c r="Q136" s="2"/>
      <c r="R136" s="2"/>
      <c r="S136" s="2"/>
      <c r="T136" s="2"/>
      <c r="U136" s="2"/>
      <c r="V136" s="2"/>
      <c r="W136" s="2"/>
      <c r="X136" s="2"/>
      <c r="Y136" s="2"/>
      <c r="Z136" s="2"/>
      <c r="AA136" s="2"/>
      <c r="AB136" s="2"/>
      <c r="AC136" s="2"/>
    </row>
    <row r="137" spans="9:29" x14ac:dyDescent="0.25">
      <c r="I137" s="2"/>
      <c r="J137" s="2"/>
      <c r="K137" s="2"/>
      <c r="L137" s="2"/>
      <c r="M137" s="2"/>
      <c r="N137" s="2"/>
      <c r="O137" s="2"/>
      <c r="P137" s="2"/>
      <c r="Q137" s="2"/>
      <c r="R137" s="2"/>
      <c r="S137" s="2"/>
      <c r="T137" s="2"/>
      <c r="U137" s="2"/>
      <c r="V137" s="2"/>
      <c r="W137" s="2"/>
      <c r="X137" s="2"/>
      <c r="Y137" s="2"/>
      <c r="Z137" s="2"/>
      <c r="AA137" s="2"/>
      <c r="AB137" s="2"/>
      <c r="AC137" s="2"/>
    </row>
    <row r="138" spans="9:29" x14ac:dyDescent="0.25">
      <c r="I138" s="2"/>
      <c r="J138" s="2"/>
      <c r="K138" s="2"/>
      <c r="L138" s="2"/>
      <c r="M138" s="2"/>
      <c r="N138" s="2"/>
      <c r="O138" s="2"/>
      <c r="P138" s="2"/>
      <c r="Q138" s="2"/>
      <c r="R138" s="2"/>
      <c r="S138" s="2"/>
      <c r="T138" s="2"/>
      <c r="U138" s="2"/>
      <c r="V138" s="2"/>
      <c r="W138" s="2"/>
      <c r="X138" s="2"/>
      <c r="Y138" s="2"/>
      <c r="Z138" s="2"/>
      <c r="AA138" s="2"/>
      <c r="AB138" s="2"/>
      <c r="AC138" s="2"/>
    </row>
    <row r="139" spans="9:29" x14ac:dyDescent="0.25">
      <c r="I139" s="2"/>
      <c r="J139" s="2"/>
      <c r="K139" s="2"/>
      <c r="L139" s="2"/>
      <c r="M139" s="2"/>
      <c r="N139" s="2"/>
      <c r="O139" s="2"/>
      <c r="P139" s="2"/>
      <c r="Q139" s="2"/>
      <c r="R139" s="2"/>
      <c r="S139" s="2"/>
      <c r="T139" s="2"/>
      <c r="U139" s="2"/>
      <c r="V139" s="2"/>
      <c r="W139" s="2"/>
      <c r="X139" s="2"/>
      <c r="Y139" s="2"/>
      <c r="Z139" s="2"/>
      <c r="AA139" s="2"/>
      <c r="AB139" s="2"/>
      <c r="AC139" s="2"/>
    </row>
    <row r="140" spans="9:29" x14ac:dyDescent="0.25">
      <c r="I140" s="2"/>
      <c r="J140" s="2"/>
      <c r="K140" s="2"/>
      <c r="L140" s="2"/>
      <c r="M140" s="2"/>
      <c r="N140" s="2"/>
      <c r="O140" s="2"/>
      <c r="P140" s="2"/>
      <c r="Q140" s="2"/>
      <c r="R140" s="2"/>
      <c r="S140" s="2"/>
      <c r="T140" s="2"/>
      <c r="U140" s="2"/>
      <c r="V140" s="2"/>
      <c r="W140" s="2"/>
      <c r="X140" s="2"/>
      <c r="Y140" s="2"/>
      <c r="Z140" s="2"/>
      <c r="AA140" s="2"/>
      <c r="AB140" s="2"/>
      <c r="AC140" s="2"/>
    </row>
    <row r="141" spans="9:29" x14ac:dyDescent="0.25">
      <c r="I141" s="2"/>
      <c r="J141" s="2"/>
      <c r="K141" s="2"/>
      <c r="L141" s="2"/>
      <c r="M141" s="2"/>
      <c r="N141" s="2"/>
      <c r="O141" s="2"/>
      <c r="P141" s="2"/>
      <c r="Q141" s="2"/>
      <c r="R141" s="2"/>
      <c r="S141" s="2"/>
      <c r="T141" s="2"/>
      <c r="U141" s="2"/>
      <c r="V141" s="2"/>
      <c r="W141" s="2"/>
      <c r="X141" s="2"/>
      <c r="Y141" s="2"/>
      <c r="Z141" s="2"/>
      <c r="AA141" s="2"/>
      <c r="AB141" s="2"/>
      <c r="AC141" s="2"/>
    </row>
    <row r="142" spans="9:29" x14ac:dyDescent="0.25">
      <c r="I142" s="2"/>
      <c r="J142" s="2"/>
      <c r="K142" s="2"/>
      <c r="L142" s="2"/>
      <c r="M142" s="2"/>
      <c r="N142" s="2"/>
      <c r="O142" s="2"/>
      <c r="P142" s="2"/>
      <c r="Q142" s="2"/>
      <c r="R142" s="2"/>
      <c r="S142" s="2"/>
      <c r="T142" s="2"/>
      <c r="U142" s="2"/>
      <c r="V142" s="2"/>
      <c r="W142" s="2"/>
      <c r="X142" s="2"/>
      <c r="Y142" s="2"/>
      <c r="Z142" s="2"/>
      <c r="AA142" s="2"/>
      <c r="AB142" s="2"/>
      <c r="AC142" s="2"/>
    </row>
    <row r="143" spans="9:29" x14ac:dyDescent="0.25">
      <c r="I143" s="2"/>
      <c r="J143" s="2"/>
      <c r="K143" s="2"/>
      <c r="L143" s="2"/>
      <c r="M143" s="2"/>
      <c r="N143" s="2"/>
      <c r="O143" s="2"/>
      <c r="P143" s="2"/>
      <c r="Q143" s="2"/>
      <c r="R143" s="2"/>
      <c r="S143" s="2"/>
      <c r="T143" s="2"/>
      <c r="U143" s="2"/>
      <c r="V143" s="2"/>
      <c r="W143" s="2"/>
      <c r="X143" s="2"/>
      <c r="Y143" s="2"/>
      <c r="Z143" s="2"/>
      <c r="AA143" s="2"/>
      <c r="AB143" s="2"/>
      <c r="AC143" s="2"/>
    </row>
    <row r="144" spans="9:29" x14ac:dyDescent="0.25">
      <c r="I144" s="2"/>
      <c r="J144" s="2"/>
      <c r="K144" s="2"/>
      <c r="L144" s="2"/>
      <c r="M144" s="2"/>
      <c r="N144" s="2"/>
      <c r="O144" s="2"/>
      <c r="P144" s="2"/>
      <c r="Q144" s="2"/>
      <c r="R144" s="2"/>
      <c r="S144" s="2"/>
      <c r="T144" s="2"/>
      <c r="U144" s="2"/>
      <c r="V144" s="2"/>
      <c r="W144" s="2"/>
      <c r="X144" s="2"/>
      <c r="Y144" s="2"/>
      <c r="Z144" s="2"/>
      <c r="AA144" s="2"/>
      <c r="AB144" s="2"/>
      <c r="AC144" s="2"/>
    </row>
    <row r="145" spans="9:29" x14ac:dyDescent="0.25">
      <c r="I145" s="2"/>
      <c r="J145" s="2"/>
      <c r="K145" s="2"/>
      <c r="L145" s="2"/>
      <c r="M145" s="2"/>
      <c r="N145" s="2"/>
      <c r="O145" s="2"/>
      <c r="P145" s="2"/>
      <c r="Q145" s="2"/>
      <c r="R145" s="2"/>
      <c r="S145" s="2"/>
      <c r="T145" s="2"/>
      <c r="U145" s="2"/>
      <c r="V145" s="2"/>
      <c r="W145" s="2"/>
      <c r="X145" s="2"/>
      <c r="Y145" s="2"/>
      <c r="Z145" s="2"/>
      <c r="AA145" s="2"/>
      <c r="AB145" s="2"/>
      <c r="AC145" s="2"/>
    </row>
    <row r="146" spans="9:29" x14ac:dyDescent="0.25">
      <c r="I146" s="2"/>
      <c r="J146" s="2"/>
      <c r="K146" s="2"/>
      <c r="L146" s="2"/>
      <c r="M146" s="2"/>
      <c r="N146" s="2"/>
      <c r="O146" s="2"/>
      <c r="P146" s="2"/>
      <c r="Q146" s="2"/>
      <c r="R146" s="2"/>
      <c r="S146" s="2"/>
      <c r="T146" s="2"/>
      <c r="U146" s="2"/>
      <c r="V146" s="2"/>
      <c r="W146" s="2"/>
      <c r="X146" s="2"/>
      <c r="Y146" s="2"/>
      <c r="Z146" s="2"/>
      <c r="AA146" s="2"/>
      <c r="AB146" s="2"/>
      <c r="AC146" s="2"/>
    </row>
    <row r="147" spans="9:29" x14ac:dyDescent="0.25">
      <c r="I147" s="2"/>
      <c r="J147" s="2"/>
      <c r="K147" s="2"/>
      <c r="L147" s="2"/>
      <c r="M147" s="2"/>
      <c r="N147" s="2"/>
      <c r="O147" s="2"/>
      <c r="P147" s="2"/>
      <c r="Q147" s="2"/>
      <c r="R147" s="2"/>
      <c r="S147" s="2"/>
      <c r="T147" s="2"/>
      <c r="U147" s="2"/>
      <c r="V147" s="2"/>
      <c r="W147" s="2"/>
      <c r="X147" s="2"/>
      <c r="Y147" s="2"/>
      <c r="Z147" s="2"/>
      <c r="AA147" s="2"/>
      <c r="AB147" s="2"/>
      <c r="AC147" s="2"/>
    </row>
    <row r="148" spans="9:29" x14ac:dyDescent="0.25">
      <c r="I148" s="2"/>
      <c r="J148" s="2"/>
      <c r="K148" s="2"/>
      <c r="L148" s="2"/>
      <c r="M148" s="2"/>
      <c r="N148" s="2"/>
      <c r="O148" s="2"/>
      <c r="P148" s="2"/>
      <c r="Q148" s="2"/>
      <c r="R148" s="2"/>
      <c r="S148" s="2"/>
      <c r="T148" s="2"/>
      <c r="U148" s="2"/>
      <c r="V148" s="2"/>
      <c r="W148" s="2"/>
      <c r="X148" s="2"/>
      <c r="Y148" s="2"/>
      <c r="Z148" s="2"/>
      <c r="AA148" s="2"/>
      <c r="AB148" s="2"/>
      <c r="AC148" s="2"/>
    </row>
    <row r="149" spans="9:29" x14ac:dyDescent="0.25">
      <c r="I149" s="2"/>
      <c r="J149" s="2"/>
      <c r="K149" s="2"/>
      <c r="L149" s="2"/>
      <c r="M149" s="2"/>
      <c r="N149" s="2"/>
      <c r="O149" s="2"/>
      <c r="P149" s="2"/>
      <c r="Q149" s="2"/>
      <c r="R149" s="2"/>
      <c r="S149" s="2"/>
      <c r="T149" s="2"/>
      <c r="U149" s="2"/>
      <c r="V149" s="2"/>
      <c r="W149" s="2"/>
      <c r="X149" s="2"/>
      <c r="Y149" s="2"/>
      <c r="Z149" s="2"/>
      <c r="AA149" s="2"/>
      <c r="AB149" s="2"/>
      <c r="AC149" s="2"/>
    </row>
    <row r="150" spans="9:29" x14ac:dyDescent="0.25">
      <c r="I150" s="2"/>
      <c r="J150" s="2"/>
      <c r="K150" s="2"/>
      <c r="L150" s="2"/>
      <c r="M150" s="2"/>
      <c r="N150" s="2"/>
      <c r="O150" s="2"/>
      <c r="P150" s="2"/>
      <c r="Q150" s="2"/>
      <c r="R150" s="2"/>
      <c r="S150" s="2"/>
      <c r="T150" s="2"/>
      <c r="U150" s="2"/>
      <c r="V150" s="2"/>
      <c r="W150" s="2"/>
      <c r="X150" s="2"/>
      <c r="Y150" s="2"/>
      <c r="Z150" s="2"/>
      <c r="AA150" s="2"/>
      <c r="AB150" s="2"/>
      <c r="AC150" s="2"/>
    </row>
    <row r="151" spans="9:29" x14ac:dyDescent="0.25">
      <c r="I151" s="2"/>
      <c r="J151" s="2"/>
      <c r="K151" s="2"/>
      <c r="L151" s="2"/>
      <c r="M151" s="2"/>
      <c r="N151" s="2"/>
      <c r="O151" s="2"/>
      <c r="P151" s="2"/>
      <c r="Q151" s="2"/>
      <c r="R151" s="2"/>
      <c r="S151" s="2"/>
      <c r="T151" s="2"/>
      <c r="U151" s="2"/>
      <c r="V151" s="2"/>
      <c r="W151" s="2"/>
      <c r="X151" s="2"/>
      <c r="Y151" s="2"/>
      <c r="Z151" s="2"/>
      <c r="AA151" s="2"/>
      <c r="AB151" s="2"/>
      <c r="AC151" s="2"/>
    </row>
    <row r="152" spans="9:29" x14ac:dyDescent="0.25">
      <c r="I152" s="2"/>
      <c r="J152" s="2"/>
      <c r="K152" s="2"/>
      <c r="L152" s="2"/>
      <c r="M152" s="2"/>
      <c r="N152" s="2"/>
      <c r="O152" s="2"/>
      <c r="P152" s="2"/>
      <c r="Q152" s="2"/>
      <c r="R152" s="2"/>
      <c r="S152" s="2"/>
      <c r="T152" s="2"/>
      <c r="U152" s="2"/>
      <c r="V152" s="2"/>
      <c r="W152" s="2"/>
      <c r="X152" s="2"/>
      <c r="Y152" s="2"/>
      <c r="Z152" s="2"/>
      <c r="AA152" s="2"/>
      <c r="AB152" s="2"/>
      <c r="AC152" s="2"/>
    </row>
    <row r="153" spans="9:29" x14ac:dyDescent="0.25">
      <c r="I153" s="2"/>
      <c r="J153" s="2"/>
      <c r="K153" s="2"/>
      <c r="L153" s="2"/>
      <c r="M153" s="2"/>
      <c r="N153" s="2"/>
      <c r="O153" s="2"/>
      <c r="P153" s="2"/>
      <c r="Q153" s="2"/>
      <c r="R153" s="2"/>
      <c r="S153" s="2"/>
      <c r="T153" s="2"/>
      <c r="U153" s="2"/>
      <c r="V153" s="2"/>
      <c r="W153" s="2"/>
      <c r="X153" s="2"/>
      <c r="Y153" s="2"/>
      <c r="Z153" s="2"/>
      <c r="AA153" s="2"/>
      <c r="AB153" s="2"/>
      <c r="AC153" s="2"/>
    </row>
    <row r="154" spans="9:29" x14ac:dyDescent="0.25">
      <c r="I154" s="2"/>
      <c r="J154" s="2"/>
      <c r="K154" s="2"/>
      <c r="L154" s="2"/>
      <c r="M154" s="2"/>
      <c r="N154" s="2"/>
      <c r="O154" s="2"/>
      <c r="P154" s="2"/>
      <c r="Q154" s="2"/>
      <c r="R154" s="2"/>
      <c r="S154" s="2"/>
      <c r="T154" s="2"/>
      <c r="U154" s="2"/>
      <c r="V154" s="2"/>
      <c r="W154" s="2"/>
      <c r="X154" s="2"/>
      <c r="Y154" s="2"/>
      <c r="Z154" s="2"/>
      <c r="AA154" s="2"/>
      <c r="AB154" s="2"/>
      <c r="AC154" s="2"/>
    </row>
    <row r="155" spans="9:29" x14ac:dyDescent="0.25">
      <c r="I155" s="2"/>
      <c r="J155" s="2"/>
      <c r="K155" s="2"/>
      <c r="L155" s="2"/>
      <c r="M155" s="2"/>
      <c r="N155" s="2"/>
      <c r="O155" s="2"/>
      <c r="P155" s="2"/>
      <c r="Q155" s="2"/>
      <c r="R155" s="2"/>
      <c r="S155" s="2"/>
      <c r="T155" s="2"/>
      <c r="U155" s="2"/>
      <c r="V155" s="2"/>
      <c r="W155" s="2"/>
      <c r="X155" s="2"/>
      <c r="Y155" s="2"/>
      <c r="Z155" s="2"/>
      <c r="AA155" s="2"/>
      <c r="AB155" s="2"/>
      <c r="AC155" s="2"/>
    </row>
    <row r="156" spans="9:29" x14ac:dyDescent="0.25">
      <c r="I156" s="2"/>
      <c r="J156" s="2"/>
      <c r="K156" s="2"/>
      <c r="L156" s="2"/>
      <c r="M156" s="2"/>
      <c r="N156" s="2"/>
      <c r="O156" s="2"/>
      <c r="P156" s="2"/>
      <c r="Q156" s="2"/>
      <c r="R156" s="2"/>
      <c r="S156" s="2"/>
      <c r="T156" s="2"/>
      <c r="U156" s="2"/>
      <c r="V156" s="2"/>
      <c r="W156" s="2"/>
      <c r="X156" s="2"/>
      <c r="Y156" s="2"/>
      <c r="Z156" s="2"/>
      <c r="AA156" s="2"/>
      <c r="AB156" s="2"/>
      <c r="AC156" s="2"/>
    </row>
    <row r="157" spans="9:29" x14ac:dyDescent="0.25">
      <c r="I157" s="2"/>
      <c r="J157" s="2"/>
      <c r="K157" s="2"/>
      <c r="L157" s="2"/>
      <c r="M157" s="2"/>
      <c r="N157" s="2"/>
      <c r="O157" s="2"/>
      <c r="P157" s="2"/>
      <c r="Q157" s="2"/>
      <c r="R157" s="2"/>
      <c r="S157" s="2"/>
      <c r="T157" s="2"/>
      <c r="U157" s="2"/>
      <c r="V157" s="2"/>
      <c r="W157" s="2"/>
      <c r="X157" s="2"/>
      <c r="Y157" s="2"/>
      <c r="Z157" s="2"/>
      <c r="AA157" s="2"/>
      <c r="AB157" s="2"/>
      <c r="AC157" s="2"/>
    </row>
    <row r="158" spans="9:29" x14ac:dyDescent="0.25">
      <c r="I158" s="2"/>
      <c r="J158" s="2"/>
      <c r="K158" s="2"/>
      <c r="L158" s="2"/>
      <c r="M158" s="2"/>
      <c r="N158" s="2"/>
      <c r="O158" s="2"/>
      <c r="P158" s="2"/>
      <c r="Q158" s="2"/>
      <c r="R158" s="2"/>
      <c r="S158" s="2"/>
      <c r="T158" s="2"/>
      <c r="U158" s="2"/>
      <c r="V158" s="2"/>
      <c r="W158" s="2"/>
      <c r="X158" s="2"/>
      <c r="Y158" s="2"/>
      <c r="Z158" s="2"/>
      <c r="AA158" s="2"/>
      <c r="AB158" s="2"/>
      <c r="AC158" s="2"/>
    </row>
    <row r="159" spans="9:29" x14ac:dyDescent="0.25">
      <c r="I159" s="2"/>
      <c r="J159" s="2"/>
      <c r="K159" s="2"/>
      <c r="L159" s="2"/>
      <c r="M159" s="2"/>
      <c r="N159" s="2"/>
      <c r="O159" s="2"/>
      <c r="P159" s="2"/>
      <c r="Q159" s="2"/>
      <c r="R159" s="2"/>
      <c r="S159" s="2"/>
      <c r="T159" s="2"/>
      <c r="U159" s="2"/>
      <c r="V159" s="2"/>
      <c r="W159" s="2"/>
      <c r="X159" s="2"/>
      <c r="Y159" s="2"/>
      <c r="Z159" s="2"/>
      <c r="AA159" s="2"/>
      <c r="AB159" s="2"/>
      <c r="AC159" s="2"/>
    </row>
    <row r="160" spans="9:29" x14ac:dyDescent="0.25">
      <c r="I160" s="2"/>
      <c r="J160" s="2"/>
      <c r="K160" s="2"/>
      <c r="L160" s="2"/>
      <c r="M160" s="2"/>
      <c r="N160" s="2"/>
      <c r="O160" s="2"/>
      <c r="P160" s="2"/>
      <c r="Q160" s="2"/>
      <c r="R160" s="2"/>
      <c r="S160" s="2"/>
      <c r="T160" s="2"/>
      <c r="U160" s="2"/>
      <c r="V160" s="2"/>
      <c r="W160" s="2"/>
      <c r="X160" s="2"/>
      <c r="Y160" s="2"/>
      <c r="Z160" s="2"/>
      <c r="AA160" s="2"/>
      <c r="AB160" s="2"/>
      <c r="AC160" s="2"/>
    </row>
    <row r="161" spans="9:29" x14ac:dyDescent="0.25">
      <c r="I161" s="2"/>
      <c r="J161" s="2"/>
      <c r="K161" s="2"/>
      <c r="L161" s="2"/>
      <c r="M161" s="2"/>
      <c r="N161" s="2"/>
      <c r="O161" s="2"/>
      <c r="P161" s="2"/>
      <c r="Q161" s="2"/>
      <c r="R161" s="2"/>
      <c r="S161" s="2"/>
      <c r="T161" s="2"/>
      <c r="U161" s="2"/>
      <c r="V161" s="2"/>
      <c r="W161" s="2"/>
      <c r="X161" s="2"/>
      <c r="Y161" s="2"/>
      <c r="Z161" s="2"/>
      <c r="AA161" s="2"/>
      <c r="AB161" s="2"/>
      <c r="AC161" s="2"/>
    </row>
    <row r="162" spans="9:29" x14ac:dyDescent="0.25">
      <c r="I162" s="2"/>
      <c r="J162" s="2"/>
      <c r="K162" s="2"/>
      <c r="L162" s="2"/>
      <c r="M162" s="2"/>
      <c r="N162" s="2"/>
      <c r="O162" s="2"/>
      <c r="P162" s="2"/>
      <c r="Q162" s="2"/>
      <c r="R162" s="2"/>
      <c r="S162" s="2"/>
      <c r="T162" s="2"/>
      <c r="U162" s="2"/>
      <c r="V162" s="2"/>
      <c r="W162" s="2"/>
      <c r="X162" s="2"/>
      <c r="Y162" s="2"/>
      <c r="Z162" s="2"/>
      <c r="AA162" s="2"/>
      <c r="AB162" s="2"/>
      <c r="AC162" s="2"/>
    </row>
    <row r="163" spans="9:29" x14ac:dyDescent="0.25">
      <c r="I163" s="2"/>
      <c r="J163" s="2"/>
      <c r="K163" s="2"/>
      <c r="L163" s="2"/>
      <c r="M163" s="2"/>
      <c r="N163" s="2"/>
      <c r="O163" s="2"/>
      <c r="P163" s="2"/>
      <c r="Q163" s="2"/>
      <c r="R163" s="2"/>
      <c r="S163" s="2"/>
      <c r="T163" s="2"/>
      <c r="U163" s="2"/>
      <c r="V163" s="2"/>
      <c r="W163" s="2"/>
      <c r="X163" s="2"/>
      <c r="Y163" s="2"/>
      <c r="Z163" s="2"/>
      <c r="AA163" s="2"/>
      <c r="AB163" s="2"/>
      <c r="AC163" s="2"/>
    </row>
    <row r="164" spans="9:29" x14ac:dyDescent="0.25">
      <c r="I164" s="2"/>
      <c r="J164" s="2"/>
      <c r="K164" s="2"/>
      <c r="L164" s="2"/>
      <c r="M164" s="2"/>
      <c r="N164" s="2"/>
      <c r="O164" s="2"/>
      <c r="P164" s="2"/>
      <c r="Q164" s="2"/>
      <c r="R164" s="2"/>
      <c r="S164" s="2"/>
      <c r="T164" s="2"/>
      <c r="U164" s="2"/>
      <c r="V164" s="2"/>
      <c r="W164" s="2"/>
      <c r="X164" s="2"/>
      <c r="Y164" s="2"/>
      <c r="Z164" s="2"/>
      <c r="AA164" s="2"/>
      <c r="AB164" s="2"/>
      <c r="AC164" s="2"/>
    </row>
    <row r="165" spans="9:29" x14ac:dyDescent="0.25">
      <c r="I165" s="2"/>
      <c r="J165" s="2"/>
      <c r="K165" s="2"/>
      <c r="L165" s="2"/>
      <c r="M165" s="2"/>
      <c r="N165" s="2"/>
      <c r="O165" s="2"/>
      <c r="P165" s="2"/>
      <c r="Q165" s="2"/>
      <c r="R165" s="2"/>
      <c r="S165" s="2"/>
      <c r="T165" s="2"/>
      <c r="U165" s="2"/>
      <c r="V165" s="2"/>
      <c r="W165" s="2"/>
      <c r="X165" s="2"/>
      <c r="Y165" s="2"/>
      <c r="Z165" s="2"/>
      <c r="AA165" s="2"/>
      <c r="AB165" s="2"/>
      <c r="AC165" s="2"/>
    </row>
    <row r="166" spans="9:29" x14ac:dyDescent="0.25">
      <c r="I166" s="2"/>
      <c r="J166" s="2"/>
      <c r="K166" s="2"/>
      <c r="L166" s="2"/>
      <c r="M166" s="2"/>
      <c r="N166" s="2"/>
      <c r="O166" s="2"/>
      <c r="P166" s="2"/>
      <c r="Q166" s="2"/>
      <c r="R166" s="2"/>
      <c r="S166" s="2"/>
      <c r="T166" s="2"/>
      <c r="U166" s="2"/>
      <c r="V166" s="2"/>
      <c r="W166" s="2"/>
      <c r="X166" s="2"/>
      <c r="Y166" s="2"/>
      <c r="Z166" s="2"/>
      <c r="AA166" s="2"/>
      <c r="AB166" s="2"/>
      <c r="AC166" s="2"/>
    </row>
    <row r="167" spans="9:29" x14ac:dyDescent="0.25">
      <c r="I167" s="2"/>
      <c r="J167" s="2"/>
      <c r="K167" s="2"/>
      <c r="L167" s="2"/>
      <c r="M167" s="2"/>
      <c r="N167" s="2"/>
      <c r="O167" s="2"/>
      <c r="P167" s="2"/>
      <c r="Q167" s="2"/>
      <c r="R167" s="2"/>
      <c r="S167" s="2"/>
      <c r="T167" s="2"/>
      <c r="U167" s="2"/>
      <c r="V167" s="2"/>
      <c r="W167" s="2"/>
      <c r="X167" s="2"/>
      <c r="Y167" s="2"/>
      <c r="Z167" s="2"/>
      <c r="AA167" s="2"/>
      <c r="AB167" s="2"/>
      <c r="AC167" s="2"/>
    </row>
  </sheetData>
  <mergeCells count="10">
    <mergeCell ref="I2:I3"/>
    <mergeCell ref="J2:K3"/>
    <mergeCell ref="B2:B3"/>
    <mergeCell ref="A1:H1"/>
    <mergeCell ref="A2:A3"/>
    <mergeCell ref="D2:D3"/>
    <mergeCell ref="F2:F3"/>
    <mergeCell ref="H2:H3"/>
    <mergeCell ref="E2:E3"/>
    <mergeCell ref="G2:G3"/>
  </mergeCells>
  <pageMargins left="0.7" right="0.7" top="0.75" bottom="0.75" header="0.3" footer="0.3"/>
  <pageSetup paperSize="8"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workbookViewId="0">
      <selection activeCell="P7" sqref="P7"/>
    </sheetView>
  </sheetViews>
  <sheetFormatPr defaultRowHeight="15" x14ac:dyDescent="0.25"/>
  <cols>
    <col min="1" max="1" width="29.5703125" style="4" customWidth="1"/>
    <col min="2" max="3" width="25.140625" style="4" customWidth="1"/>
    <col min="4" max="5" width="16.85546875" style="11" customWidth="1"/>
    <col min="6" max="7" width="12.7109375" style="4" customWidth="1"/>
    <col min="8" max="8" width="14.5703125" style="4" hidden="1" customWidth="1"/>
    <col min="9" max="9" width="15.42578125" style="4" customWidth="1"/>
    <col min="10" max="11" width="10.5703125" style="4" bestFit="1" customWidth="1"/>
    <col min="12" max="12" width="9.28515625" style="4" bestFit="1" customWidth="1"/>
    <col min="13" max="16384" width="9.140625" style="4"/>
  </cols>
  <sheetData>
    <row r="1" spans="1:28" ht="23.25" x14ac:dyDescent="0.25">
      <c r="A1" s="497"/>
      <c r="B1" s="497"/>
      <c r="C1" s="497"/>
      <c r="D1" s="497"/>
      <c r="E1" s="497"/>
      <c r="F1" s="497"/>
      <c r="G1" s="497"/>
      <c r="H1" s="497"/>
      <c r="I1" s="222"/>
      <c r="J1" s="222"/>
      <c r="K1" s="222"/>
      <c r="L1" s="222"/>
      <c r="M1" s="222"/>
      <c r="N1" s="222"/>
      <c r="O1" s="222"/>
      <c r="P1" s="222"/>
      <c r="Q1" s="222"/>
      <c r="R1" s="222"/>
      <c r="S1" s="222"/>
      <c r="T1" s="222"/>
      <c r="U1" s="222"/>
      <c r="V1" s="222"/>
      <c r="W1" s="222"/>
      <c r="X1" s="222"/>
      <c r="Y1" s="222"/>
      <c r="Z1" s="222"/>
      <c r="AA1" s="222"/>
      <c r="AB1" s="222"/>
    </row>
    <row r="2" spans="1:28" ht="15" customHeight="1" x14ac:dyDescent="0.3">
      <c r="A2" s="522" t="s">
        <v>19</v>
      </c>
      <c r="B2" s="520" t="s">
        <v>286</v>
      </c>
      <c r="C2" s="447"/>
      <c r="D2" s="523" t="s">
        <v>160</v>
      </c>
      <c r="E2" s="526"/>
      <c r="F2" s="524" t="s">
        <v>161</v>
      </c>
      <c r="G2" s="528"/>
      <c r="H2" s="525" t="s">
        <v>162</v>
      </c>
      <c r="I2" s="514"/>
      <c r="J2" s="516" t="s">
        <v>298</v>
      </c>
      <c r="K2" s="517"/>
      <c r="L2" s="248"/>
      <c r="M2" s="222"/>
      <c r="N2" s="222"/>
      <c r="O2" s="222"/>
      <c r="P2" s="222"/>
      <c r="Q2" s="222"/>
      <c r="R2" s="222"/>
      <c r="S2" s="222"/>
      <c r="T2" s="222"/>
      <c r="U2" s="222"/>
      <c r="V2" s="222"/>
      <c r="W2" s="222"/>
      <c r="X2" s="222"/>
      <c r="Y2" s="222"/>
      <c r="Z2" s="222"/>
      <c r="AA2" s="222"/>
      <c r="AB2" s="222"/>
    </row>
    <row r="3" spans="1:28" ht="56.25" customHeight="1" x14ac:dyDescent="0.3">
      <c r="A3" s="522"/>
      <c r="B3" s="521"/>
      <c r="C3" s="448"/>
      <c r="D3" s="523"/>
      <c r="E3" s="527"/>
      <c r="F3" s="524"/>
      <c r="G3" s="529"/>
      <c r="H3" s="525"/>
      <c r="I3" s="515"/>
      <c r="J3" s="518"/>
      <c r="K3" s="519"/>
      <c r="L3" s="248"/>
      <c r="M3" s="222"/>
      <c r="N3" s="222"/>
      <c r="O3" s="222"/>
      <c r="P3" s="222"/>
      <c r="Q3" s="222"/>
      <c r="R3" s="222"/>
      <c r="S3" s="222"/>
      <c r="T3" s="222"/>
      <c r="U3" s="222"/>
      <c r="V3" s="222"/>
      <c r="W3" s="222"/>
      <c r="X3" s="222"/>
      <c r="Y3" s="222"/>
      <c r="Z3" s="222"/>
      <c r="AA3" s="222"/>
      <c r="AB3" s="222"/>
    </row>
    <row r="4" spans="1:28" ht="18.75" x14ac:dyDescent="0.3">
      <c r="A4" s="250" t="s">
        <v>0</v>
      </c>
      <c r="B4" s="250" t="s">
        <v>297</v>
      </c>
      <c r="C4" s="250" t="s">
        <v>296</v>
      </c>
      <c r="D4" s="250" t="s">
        <v>297</v>
      </c>
      <c r="E4" s="250" t="s">
        <v>296</v>
      </c>
      <c r="F4" s="250" t="s">
        <v>297</v>
      </c>
      <c r="G4" s="250" t="s">
        <v>296</v>
      </c>
      <c r="H4" s="250"/>
      <c r="I4" s="251"/>
      <c r="J4" s="251"/>
      <c r="K4" s="251"/>
      <c r="L4" s="248"/>
      <c r="M4" s="222"/>
      <c r="N4" s="222"/>
      <c r="O4" s="222"/>
      <c r="P4" s="222"/>
      <c r="Q4" s="222"/>
      <c r="R4" s="222"/>
      <c r="S4" s="222"/>
      <c r="T4" s="222"/>
      <c r="U4" s="222"/>
      <c r="V4" s="222"/>
      <c r="W4" s="222"/>
      <c r="X4" s="222"/>
      <c r="Y4" s="222"/>
      <c r="Z4" s="222"/>
      <c r="AA4" s="222"/>
      <c r="AB4" s="222"/>
    </row>
    <row r="5" spans="1:28" ht="75" x14ac:dyDescent="0.3">
      <c r="A5" s="90" t="s">
        <v>60</v>
      </c>
      <c r="B5" s="90">
        <v>16250</v>
      </c>
      <c r="C5" s="246" t="s">
        <v>285</v>
      </c>
      <c r="D5" s="246">
        <v>17500</v>
      </c>
      <c r="E5" s="246" t="s">
        <v>284</v>
      </c>
      <c r="F5" s="90">
        <v>18750</v>
      </c>
      <c r="G5" s="246" t="s">
        <v>283</v>
      </c>
      <c r="H5" s="56">
        <f>F5</f>
        <v>18750</v>
      </c>
      <c r="I5" s="246" t="s">
        <v>282</v>
      </c>
      <c r="J5" s="246" t="s">
        <v>297</v>
      </c>
      <c r="K5" s="246" t="s">
        <v>296</v>
      </c>
      <c r="L5" s="248"/>
      <c r="M5" s="222"/>
      <c r="N5" s="222"/>
      <c r="O5" s="222"/>
      <c r="P5" s="222"/>
      <c r="Q5" s="222"/>
      <c r="R5" s="222"/>
      <c r="S5" s="222"/>
      <c r="T5" s="222"/>
      <c r="U5" s="222"/>
      <c r="V5" s="222"/>
      <c r="W5" s="222"/>
      <c r="X5" s="222"/>
      <c r="Y5" s="222"/>
      <c r="Z5" s="222"/>
      <c r="AA5" s="222"/>
      <c r="AB5" s="222"/>
    </row>
    <row r="6" spans="1:28" ht="18.75" x14ac:dyDescent="0.3">
      <c r="A6" s="90" t="s">
        <v>423</v>
      </c>
      <c r="B6" s="90">
        <v>33</v>
      </c>
      <c r="C6" s="90">
        <v>33</v>
      </c>
      <c r="D6" s="246">
        <v>33</v>
      </c>
      <c r="E6" s="246">
        <v>24</v>
      </c>
      <c r="F6" s="90">
        <v>33</v>
      </c>
      <c r="G6" s="246">
        <v>19</v>
      </c>
      <c r="H6" s="56"/>
      <c r="I6" s="246"/>
      <c r="J6" s="251">
        <f>6500/B6</f>
        <v>196.96969696969697</v>
      </c>
      <c r="K6" s="251">
        <f>9750/C6</f>
        <v>295.45454545454544</v>
      </c>
      <c r="L6" s="248">
        <v>2018</v>
      </c>
      <c r="M6" s="222"/>
      <c r="N6" s="222"/>
      <c r="O6" s="222"/>
      <c r="P6" s="222"/>
      <c r="Q6" s="222"/>
      <c r="R6" s="222"/>
      <c r="S6" s="222"/>
      <c r="T6" s="222"/>
      <c r="U6" s="222"/>
      <c r="V6" s="222"/>
      <c r="W6" s="222"/>
      <c r="X6" s="222"/>
      <c r="Y6" s="222"/>
      <c r="Z6" s="222"/>
      <c r="AA6" s="222"/>
      <c r="AB6" s="222"/>
    </row>
    <row r="7" spans="1:28" ht="18.75" x14ac:dyDescent="0.3">
      <c r="A7" s="260" t="s">
        <v>292</v>
      </c>
      <c r="B7" s="260">
        <f>6500/100</f>
        <v>65</v>
      </c>
      <c r="C7" s="260">
        <f>9750/100</f>
        <v>97.5</v>
      </c>
      <c r="D7" s="460">
        <f>7000/100</f>
        <v>70</v>
      </c>
      <c r="E7" s="460">
        <f>10500/100</f>
        <v>105</v>
      </c>
      <c r="F7" s="260">
        <f>7500/100</f>
        <v>75</v>
      </c>
      <c r="G7" s="461">
        <f>11250/100</f>
        <v>112.5</v>
      </c>
      <c r="H7" s="56"/>
      <c r="I7" s="257" t="s">
        <v>288</v>
      </c>
      <c r="J7" s="251">
        <f>7000/D6</f>
        <v>212.12121212121212</v>
      </c>
      <c r="K7" s="251">
        <f>10500/E6</f>
        <v>437.5</v>
      </c>
      <c r="L7" s="248">
        <v>2019</v>
      </c>
      <c r="M7" s="222"/>
      <c r="N7" s="222"/>
      <c r="O7" s="222"/>
      <c r="P7" s="222"/>
      <c r="Q7" s="222"/>
      <c r="R7" s="222"/>
      <c r="S7" s="222"/>
      <c r="T7" s="222"/>
      <c r="U7" s="222"/>
      <c r="V7" s="222"/>
      <c r="W7" s="222"/>
      <c r="X7" s="222"/>
      <c r="Y7" s="222"/>
      <c r="Z7" s="222"/>
      <c r="AA7" s="222"/>
      <c r="AB7" s="222"/>
    </row>
    <row r="8" spans="1:28" ht="18.75" x14ac:dyDescent="0.3">
      <c r="A8" s="90" t="s">
        <v>300</v>
      </c>
      <c r="B8" s="90">
        <f t="shared" ref="B8:G8" si="0">B7-B6</f>
        <v>32</v>
      </c>
      <c r="C8" s="54">
        <f t="shared" si="0"/>
        <v>64.5</v>
      </c>
      <c r="D8" s="54">
        <f t="shared" si="0"/>
        <v>37</v>
      </c>
      <c r="E8" s="54">
        <f t="shared" si="0"/>
        <v>81</v>
      </c>
      <c r="F8" s="54">
        <f t="shared" si="0"/>
        <v>42</v>
      </c>
      <c r="G8" s="54">
        <f t="shared" si="0"/>
        <v>93.5</v>
      </c>
      <c r="H8" s="56"/>
      <c r="I8" s="90"/>
      <c r="J8" s="251">
        <f>7500/F6</f>
        <v>227.27272727272728</v>
      </c>
      <c r="K8" s="251">
        <f>11250/G6</f>
        <v>592.10526315789468</v>
      </c>
      <c r="L8" s="248">
        <v>2020</v>
      </c>
      <c r="M8" s="222"/>
      <c r="N8" s="222"/>
      <c r="O8" s="222"/>
      <c r="P8" s="222"/>
      <c r="Q8" s="222"/>
      <c r="R8" s="222"/>
      <c r="S8" s="222"/>
      <c r="T8" s="222"/>
      <c r="U8" s="222"/>
      <c r="V8" s="222"/>
      <c r="W8" s="222"/>
      <c r="X8" s="222"/>
      <c r="Y8" s="222"/>
      <c r="Z8" s="222"/>
      <c r="AA8" s="222"/>
      <c r="AB8" s="222"/>
    </row>
    <row r="9" spans="1:28" ht="112.5" x14ac:dyDescent="0.3">
      <c r="A9" s="90" t="s">
        <v>294</v>
      </c>
      <c r="B9" s="54">
        <f t="shared" ref="B9:G9" si="1">B7*15%</f>
        <v>9.75</v>
      </c>
      <c r="C9" s="54">
        <f t="shared" si="1"/>
        <v>14.625</v>
      </c>
      <c r="D9" s="54">
        <f t="shared" si="1"/>
        <v>10.5</v>
      </c>
      <c r="E9" s="54">
        <f t="shared" si="1"/>
        <v>15.75</v>
      </c>
      <c r="F9" s="54">
        <f t="shared" si="1"/>
        <v>11.25</v>
      </c>
      <c r="G9" s="54">
        <f t="shared" si="1"/>
        <v>16.875</v>
      </c>
      <c r="H9" s="56"/>
      <c r="I9" s="246" t="s">
        <v>299</v>
      </c>
      <c r="J9" s="258">
        <v>159.43065693430657</v>
      </c>
      <c r="K9" s="258">
        <v>150</v>
      </c>
      <c r="L9" s="248"/>
      <c r="M9" s="222"/>
      <c r="N9" s="222"/>
      <c r="O9" s="222"/>
      <c r="P9" s="222"/>
      <c r="Q9" s="222"/>
      <c r="R9" s="222"/>
      <c r="S9" s="222"/>
      <c r="T9" s="222"/>
      <c r="U9" s="222"/>
      <c r="V9" s="222"/>
      <c r="W9" s="222"/>
      <c r="X9" s="222"/>
      <c r="Y9" s="222"/>
      <c r="Z9" s="222"/>
      <c r="AA9" s="222"/>
      <c r="AB9" s="222"/>
    </row>
    <row r="10" spans="1:28" ht="37.5" x14ac:dyDescent="0.3">
      <c r="A10" s="56" t="s">
        <v>31</v>
      </c>
      <c r="B10" s="56">
        <v>14625</v>
      </c>
      <c r="C10" s="56"/>
      <c r="D10" s="246">
        <v>15750</v>
      </c>
      <c r="E10" s="246"/>
      <c r="F10" s="318">
        <v>16875</v>
      </c>
      <c r="G10" s="54"/>
      <c r="H10" s="56">
        <f>F10/2</f>
        <v>8437.5</v>
      </c>
      <c r="I10" s="251"/>
      <c r="J10" s="251"/>
      <c r="K10" s="251"/>
      <c r="L10" s="248"/>
      <c r="M10" s="222"/>
      <c r="N10" s="222"/>
      <c r="O10" s="222"/>
      <c r="P10" s="222"/>
      <c r="Q10" s="222"/>
      <c r="R10" s="222"/>
      <c r="S10" s="222"/>
      <c r="T10" s="222"/>
      <c r="U10" s="222"/>
      <c r="V10" s="222"/>
      <c r="W10" s="222"/>
      <c r="X10" s="222"/>
      <c r="Y10" s="222"/>
      <c r="Z10" s="222"/>
      <c r="AA10" s="222"/>
      <c r="AB10" s="222"/>
    </row>
    <row r="11" spans="1:28" ht="18.75" x14ac:dyDescent="0.3">
      <c r="A11" s="90" t="s">
        <v>32</v>
      </c>
      <c r="B11" s="90"/>
      <c r="C11" s="90"/>
      <c r="D11" s="255"/>
      <c r="E11" s="255"/>
      <c r="F11" s="90"/>
      <c r="G11" s="90"/>
      <c r="H11" s="90"/>
      <c r="I11" s="251"/>
      <c r="J11" s="251"/>
      <c r="K11" s="251"/>
      <c r="L11" s="248"/>
      <c r="M11" s="222"/>
      <c r="N11" s="222"/>
      <c r="O11" s="222"/>
      <c r="P11" s="222"/>
      <c r="Q11" s="222"/>
      <c r="R11" s="222"/>
      <c r="S11" s="222"/>
      <c r="T11" s="222"/>
      <c r="U11" s="222"/>
      <c r="V11" s="222"/>
      <c r="W11" s="222"/>
      <c r="X11" s="222"/>
      <c r="Y11" s="222"/>
      <c r="Z11" s="222"/>
      <c r="AA11" s="222"/>
      <c r="AB11" s="222"/>
    </row>
    <row r="12" spans="1:28" ht="18.75" x14ac:dyDescent="0.3">
      <c r="A12" s="56" t="s">
        <v>36</v>
      </c>
      <c r="B12" s="56"/>
      <c r="C12" s="56"/>
      <c r="D12" s="246"/>
      <c r="E12" s="246"/>
      <c r="F12" s="90"/>
      <c r="G12" s="90"/>
      <c r="H12" s="56"/>
      <c r="I12" s="251"/>
      <c r="J12" s="251"/>
      <c r="K12" s="251"/>
      <c r="L12" s="248"/>
      <c r="M12" s="222"/>
      <c r="N12" s="222"/>
      <c r="O12" s="222"/>
      <c r="P12" s="222"/>
      <c r="Q12" s="222"/>
      <c r="R12" s="222"/>
      <c r="S12" s="222"/>
      <c r="T12" s="222"/>
      <c r="U12" s="222"/>
      <c r="V12" s="222"/>
      <c r="W12" s="222"/>
      <c r="X12" s="222"/>
      <c r="Y12" s="222"/>
      <c r="Z12" s="222"/>
      <c r="AA12" s="222"/>
      <c r="AB12" s="222"/>
    </row>
    <row r="13" spans="1:28" ht="18.75" x14ac:dyDescent="0.3">
      <c r="A13" s="22" t="s">
        <v>47</v>
      </c>
      <c r="B13" s="22"/>
      <c r="C13" s="22"/>
      <c r="D13" s="22"/>
      <c r="E13" s="22"/>
      <c r="F13" s="22"/>
      <c r="G13" s="22"/>
      <c r="H13" s="22"/>
      <c r="I13" s="259"/>
      <c r="J13" s="259"/>
      <c r="K13" s="259"/>
      <c r="L13" s="252"/>
      <c r="M13" s="222"/>
      <c r="N13" s="222"/>
      <c r="O13" s="222"/>
      <c r="P13" s="222"/>
      <c r="Q13" s="222"/>
      <c r="R13" s="222"/>
      <c r="S13" s="222"/>
      <c r="T13" s="222"/>
      <c r="U13" s="222"/>
      <c r="V13" s="222"/>
      <c r="W13" s="222"/>
      <c r="X13" s="222"/>
      <c r="Y13" s="222"/>
      <c r="Z13" s="222"/>
      <c r="AA13" s="222"/>
      <c r="AB13" s="222"/>
    </row>
    <row r="14" spans="1:28" ht="18.75" x14ac:dyDescent="0.3">
      <c r="A14" s="90" t="s">
        <v>23</v>
      </c>
      <c r="B14" s="90"/>
      <c r="C14" s="90"/>
      <c r="D14" s="90">
        <v>1750</v>
      </c>
      <c r="E14" s="90"/>
      <c r="F14" s="90">
        <v>2125</v>
      </c>
      <c r="G14" s="90"/>
      <c r="H14" s="260">
        <v>2125</v>
      </c>
      <c r="I14" s="259"/>
      <c r="J14" s="259"/>
      <c r="K14" s="259"/>
      <c r="L14" s="252"/>
      <c r="M14" s="222"/>
      <c r="N14" s="222"/>
      <c r="O14" s="222"/>
      <c r="P14" s="222"/>
      <c r="Q14" s="222"/>
      <c r="R14" s="222"/>
      <c r="S14" s="222"/>
      <c r="T14" s="222"/>
      <c r="U14" s="222"/>
      <c r="V14" s="222"/>
      <c r="W14" s="222"/>
      <c r="X14" s="222"/>
      <c r="Y14" s="222"/>
      <c r="Z14" s="222"/>
      <c r="AA14" s="222"/>
      <c r="AB14" s="222"/>
    </row>
    <row r="15" spans="1:28" ht="18.75" x14ac:dyDescent="0.3">
      <c r="A15" s="90" t="s">
        <v>24</v>
      </c>
      <c r="B15" s="280">
        <v>0.6</v>
      </c>
      <c r="C15" s="90"/>
      <c r="D15" s="261">
        <v>0.65</v>
      </c>
      <c r="E15" s="261"/>
      <c r="F15" s="261">
        <v>0.7</v>
      </c>
      <c r="G15" s="261"/>
      <c r="H15" s="90"/>
      <c r="I15" s="259"/>
      <c r="J15" s="259"/>
      <c r="K15" s="259"/>
      <c r="L15" s="252"/>
      <c r="M15" s="222"/>
      <c r="N15" s="222"/>
      <c r="O15" s="222"/>
      <c r="P15" s="222"/>
      <c r="Q15" s="222"/>
      <c r="R15" s="222"/>
      <c r="S15" s="222"/>
      <c r="T15" s="222"/>
      <c r="U15" s="222"/>
      <c r="V15" s="222"/>
      <c r="W15" s="222"/>
      <c r="X15" s="222"/>
      <c r="Y15" s="222"/>
      <c r="Z15" s="222"/>
      <c r="AA15" s="222"/>
      <c r="AB15" s="222"/>
    </row>
    <row r="16" spans="1:28" ht="37.5" x14ac:dyDescent="0.3">
      <c r="A16" s="262" t="s">
        <v>301</v>
      </c>
      <c r="B16" s="90">
        <v>13</v>
      </c>
      <c r="C16" s="90"/>
      <c r="D16" s="246">
        <v>13</v>
      </c>
      <c r="E16" s="246"/>
      <c r="F16" s="90">
        <v>12</v>
      </c>
      <c r="G16" s="246"/>
      <c r="H16" s="56"/>
      <c r="I16" s="259"/>
      <c r="J16" s="259"/>
      <c r="K16" s="259"/>
      <c r="L16" s="252"/>
      <c r="M16" s="222"/>
      <c r="N16" s="222"/>
      <c r="O16" s="222"/>
      <c r="P16" s="222"/>
      <c r="Q16" s="222"/>
      <c r="R16" s="222"/>
      <c r="S16" s="222"/>
      <c r="T16" s="222"/>
      <c r="U16" s="222"/>
      <c r="V16" s="222"/>
      <c r="W16" s="222"/>
      <c r="X16" s="222"/>
      <c r="Y16" s="222"/>
      <c r="Z16" s="222"/>
      <c r="AA16" s="222"/>
      <c r="AB16" s="222"/>
    </row>
    <row r="17" spans="1:28" ht="18.75" x14ac:dyDescent="0.3">
      <c r="A17" s="260" t="s">
        <v>292</v>
      </c>
      <c r="B17" s="260">
        <v>26</v>
      </c>
      <c r="C17" s="260"/>
      <c r="D17" s="460">
        <v>26</v>
      </c>
      <c r="E17" s="460"/>
      <c r="F17" s="260">
        <v>26</v>
      </c>
      <c r="G17" s="246"/>
      <c r="H17" s="56"/>
      <c r="I17" s="259"/>
      <c r="J17" s="259"/>
      <c r="K17" s="259"/>
      <c r="L17" s="252"/>
      <c r="M17" s="222"/>
      <c r="N17" s="222"/>
      <c r="O17" s="222"/>
      <c r="P17" s="222"/>
      <c r="Q17" s="222"/>
      <c r="R17" s="222"/>
      <c r="S17" s="222"/>
      <c r="T17" s="222"/>
      <c r="U17" s="222"/>
      <c r="V17" s="222"/>
      <c r="W17" s="222"/>
      <c r="X17" s="222"/>
      <c r="Y17" s="222"/>
      <c r="Z17" s="222"/>
      <c r="AA17" s="222"/>
      <c r="AB17" s="222"/>
    </row>
    <row r="18" spans="1:28" ht="18.75" x14ac:dyDescent="0.3">
      <c r="A18" s="263" t="s">
        <v>293</v>
      </c>
      <c r="B18" s="253">
        <f>B17-B16</f>
        <v>13</v>
      </c>
      <c r="C18" s="253"/>
      <c r="D18" s="253">
        <f>D17-D16</f>
        <v>13</v>
      </c>
      <c r="E18" s="253"/>
      <c r="F18" s="253">
        <f>F17-F16</f>
        <v>14</v>
      </c>
      <c r="G18" s="264"/>
      <c r="H18" s="265"/>
      <c r="I18" s="259"/>
      <c r="J18" s="259"/>
      <c r="K18" s="259"/>
      <c r="L18" s="252"/>
      <c r="M18" s="222"/>
      <c r="N18" s="222"/>
      <c r="O18" s="222"/>
      <c r="P18" s="222"/>
      <c r="Q18" s="222"/>
      <c r="R18" s="222"/>
      <c r="S18" s="222"/>
      <c r="T18" s="222"/>
      <c r="U18" s="222"/>
      <c r="V18" s="222"/>
      <c r="W18" s="222"/>
      <c r="X18" s="222"/>
      <c r="Y18" s="222"/>
      <c r="Z18" s="222"/>
      <c r="AA18" s="222"/>
      <c r="AB18" s="222"/>
    </row>
    <row r="19" spans="1:28" ht="18.75" x14ac:dyDescent="0.3">
      <c r="A19" s="250" t="s">
        <v>9</v>
      </c>
      <c r="B19" s="250"/>
      <c r="C19" s="250"/>
      <c r="D19" s="250"/>
      <c r="E19" s="250"/>
      <c r="F19" s="250"/>
      <c r="G19" s="250"/>
      <c r="H19" s="250"/>
      <c r="I19" s="251"/>
      <c r="J19" s="251"/>
      <c r="K19" s="251"/>
      <c r="L19" s="222"/>
      <c r="M19" s="222"/>
      <c r="N19" s="222"/>
      <c r="O19" s="222"/>
      <c r="P19" s="222"/>
      <c r="Q19" s="222"/>
      <c r="R19" s="222"/>
      <c r="S19" s="222"/>
      <c r="T19" s="222"/>
      <c r="U19" s="222"/>
      <c r="V19" s="222"/>
      <c r="W19" s="222"/>
      <c r="X19" s="222"/>
      <c r="Y19" s="222"/>
      <c r="Z19" s="222"/>
      <c r="AA19" s="222"/>
      <c r="AB19" s="222"/>
    </row>
    <row r="20" spans="1:28" ht="18.75" x14ac:dyDescent="0.3">
      <c r="A20" s="90" t="s">
        <v>60</v>
      </c>
      <c r="B20" s="90">
        <v>4970</v>
      </c>
      <c r="C20" s="90"/>
      <c r="D20" s="255">
        <v>5325</v>
      </c>
      <c r="E20" s="255"/>
      <c r="F20" s="54">
        <v>5680</v>
      </c>
      <c r="G20" s="54"/>
      <c r="H20" s="54">
        <f>F20</f>
        <v>5680</v>
      </c>
      <c r="I20" s="90"/>
      <c r="J20" s="251"/>
      <c r="K20" s="251"/>
      <c r="L20" s="222"/>
      <c r="M20" s="222"/>
      <c r="N20" s="222"/>
      <c r="O20" s="222"/>
      <c r="P20" s="222"/>
      <c r="Q20" s="222"/>
      <c r="R20" s="222"/>
      <c r="S20" s="222"/>
      <c r="T20" s="222"/>
      <c r="U20" s="222"/>
      <c r="V20" s="222"/>
      <c r="W20" s="222"/>
      <c r="X20" s="222"/>
      <c r="Y20" s="222"/>
      <c r="Z20" s="222"/>
      <c r="AA20" s="222"/>
      <c r="AB20" s="222"/>
    </row>
    <row r="21" spans="1:28" ht="37.5" x14ac:dyDescent="0.3">
      <c r="A21" s="56" t="s">
        <v>31</v>
      </c>
      <c r="B21" s="56">
        <v>4473</v>
      </c>
      <c r="C21" s="56"/>
      <c r="D21" s="56">
        <v>4790</v>
      </c>
      <c r="E21" s="56"/>
      <c r="F21" s="54">
        <v>5110</v>
      </c>
      <c r="G21" s="54"/>
      <c r="H21" s="266">
        <f>F21/2</f>
        <v>2555</v>
      </c>
      <c r="I21" s="251"/>
      <c r="J21" s="251"/>
      <c r="K21" s="251"/>
      <c r="L21" s="222"/>
      <c r="M21" s="222"/>
      <c r="N21" s="222"/>
      <c r="O21" s="222"/>
      <c r="P21" s="222"/>
      <c r="Q21" s="222"/>
      <c r="R21" s="222"/>
      <c r="S21" s="222"/>
      <c r="T21" s="222"/>
      <c r="U21" s="222"/>
      <c r="V21" s="222"/>
      <c r="W21" s="222"/>
      <c r="X21" s="222"/>
      <c r="Y21" s="222"/>
      <c r="Z21" s="222"/>
      <c r="AA21" s="222"/>
      <c r="AB21" s="222"/>
    </row>
    <row r="22" spans="1:28" ht="18.75" x14ac:dyDescent="0.3">
      <c r="A22" s="90" t="s">
        <v>1</v>
      </c>
      <c r="B22" s="90"/>
      <c r="C22" s="90"/>
      <c r="D22" s="255"/>
      <c r="E22" s="255"/>
      <c r="F22" s="54"/>
      <c r="G22" s="54"/>
      <c r="H22" s="90"/>
      <c r="I22" s="251"/>
      <c r="J22" s="251"/>
      <c r="K22" s="251"/>
      <c r="L22" s="222"/>
      <c r="M22" s="222"/>
      <c r="N22" s="222"/>
      <c r="O22" s="222"/>
      <c r="P22" s="222"/>
      <c r="Q22" s="222"/>
      <c r="R22" s="222"/>
      <c r="S22" s="222"/>
      <c r="T22" s="222"/>
      <c r="U22" s="222"/>
      <c r="V22" s="222"/>
      <c r="W22" s="222"/>
      <c r="X22" s="222"/>
      <c r="Y22" s="222"/>
      <c r="Z22" s="222"/>
      <c r="AA22" s="222"/>
      <c r="AB22" s="222"/>
    </row>
    <row r="23" spans="1:28" ht="18.75" x14ac:dyDescent="0.3">
      <c r="A23" s="56" t="s">
        <v>36</v>
      </c>
      <c r="B23" s="56"/>
      <c r="C23" s="56"/>
      <c r="D23" s="246"/>
      <c r="E23" s="246"/>
      <c r="F23" s="54"/>
      <c r="G23" s="54"/>
      <c r="H23" s="56"/>
      <c r="I23" s="251"/>
      <c r="J23" s="251"/>
      <c r="K23" s="251"/>
      <c r="L23" s="222"/>
      <c r="M23" s="222"/>
      <c r="N23" s="222"/>
      <c r="O23" s="222"/>
      <c r="P23" s="222"/>
      <c r="Q23" s="222"/>
      <c r="R23" s="222"/>
      <c r="S23" s="222"/>
      <c r="T23" s="222"/>
      <c r="U23" s="222"/>
      <c r="V23" s="222"/>
      <c r="W23" s="222"/>
      <c r="X23" s="222"/>
      <c r="Y23" s="222"/>
      <c r="Z23" s="222"/>
      <c r="AA23" s="222"/>
      <c r="AB23" s="222"/>
    </row>
    <row r="24" spans="1:28" ht="18.75" x14ac:dyDescent="0.3">
      <c r="A24" s="90" t="s">
        <v>291</v>
      </c>
      <c r="B24" s="90">
        <v>13</v>
      </c>
      <c r="C24" s="90"/>
      <c r="D24" s="246">
        <v>9</v>
      </c>
      <c r="E24" s="246"/>
      <c r="F24" s="90">
        <v>7</v>
      </c>
      <c r="G24" s="246"/>
      <c r="H24" s="56"/>
      <c r="I24" s="267" t="s">
        <v>287</v>
      </c>
      <c r="J24" s="251">
        <f>B20/B24</f>
        <v>382.30769230769232</v>
      </c>
      <c r="K24" s="251">
        <v>2018</v>
      </c>
      <c r="L24" s="222"/>
      <c r="M24" s="222"/>
      <c r="N24" s="222"/>
      <c r="O24" s="222"/>
      <c r="P24" s="222"/>
      <c r="Q24" s="222"/>
      <c r="R24" s="222"/>
      <c r="S24" s="222"/>
      <c r="T24" s="222"/>
      <c r="U24" s="222"/>
      <c r="V24" s="222"/>
      <c r="W24" s="222"/>
      <c r="X24" s="222"/>
      <c r="Y24" s="222"/>
      <c r="Z24" s="222"/>
      <c r="AA24" s="222"/>
      <c r="AB24" s="222"/>
    </row>
    <row r="25" spans="1:28" ht="18.75" x14ac:dyDescent="0.3">
      <c r="A25" s="260" t="s">
        <v>292</v>
      </c>
      <c r="B25" s="318">
        <f>B20/150</f>
        <v>33.133333333333333</v>
      </c>
      <c r="C25" s="260"/>
      <c r="D25" s="461">
        <f>D20/150</f>
        <v>35.5</v>
      </c>
      <c r="E25" s="460"/>
      <c r="F25" s="318">
        <f>F20/150</f>
        <v>37.866666666666667</v>
      </c>
      <c r="G25" s="246"/>
      <c r="H25" s="56"/>
      <c r="I25" s="246"/>
      <c r="J25" s="251">
        <f>D20/D24</f>
        <v>591.66666666666663</v>
      </c>
      <c r="K25" s="251">
        <v>2019</v>
      </c>
      <c r="L25" s="222"/>
      <c r="M25" s="222"/>
      <c r="N25" s="222"/>
      <c r="O25" s="222"/>
      <c r="P25" s="222"/>
      <c r="Q25" s="222"/>
      <c r="R25" s="222"/>
      <c r="S25" s="222"/>
      <c r="T25" s="222"/>
      <c r="U25" s="222"/>
      <c r="V25" s="222"/>
      <c r="W25" s="222"/>
      <c r="X25" s="222"/>
      <c r="Y25" s="222"/>
      <c r="Z25" s="222"/>
      <c r="AA25" s="222"/>
      <c r="AB25" s="222"/>
    </row>
    <row r="26" spans="1:28" ht="18.75" x14ac:dyDescent="0.3">
      <c r="A26" s="90" t="s">
        <v>293</v>
      </c>
      <c r="B26" s="54">
        <f>B25-B24</f>
        <v>20.133333333333333</v>
      </c>
      <c r="C26" s="54"/>
      <c r="D26" s="54">
        <f>D25-D24</f>
        <v>26.5</v>
      </c>
      <c r="E26" s="54"/>
      <c r="F26" s="54">
        <f>F25-F24</f>
        <v>30.866666666666667</v>
      </c>
      <c r="G26" s="246"/>
      <c r="H26" s="56"/>
      <c r="I26" s="246"/>
      <c r="J26" s="251">
        <f>F20/F24</f>
        <v>811.42857142857144</v>
      </c>
      <c r="K26" s="251">
        <v>2020</v>
      </c>
      <c r="L26" s="222"/>
      <c r="M26" s="222"/>
      <c r="N26" s="222"/>
      <c r="O26" s="222"/>
      <c r="P26" s="222"/>
      <c r="Q26" s="222"/>
      <c r="R26" s="222"/>
      <c r="S26" s="222"/>
      <c r="T26" s="222"/>
      <c r="U26" s="222"/>
      <c r="V26" s="222"/>
      <c r="W26" s="222"/>
      <c r="X26" s="222"/>
      <c r="Y26" s="222"/>
      <c r="Z26" s="222"/>
      <c r="AA26" s="222"/>
      <c r="AB26" s="222"/>
    </row>
    <row r="27" spans="1:28" ht="112.5" x14ac:dyDescent="0.3">
      <c r="A27" s="90" t="s">
        <v>294</v>
      </c>
      <c r="B27" s="54">
        <f>B25*15%</f>
        <v>4.97</v>
      </c>
      <c r="C27" s="54"/>
      <c r="D27" s="54">
        <f>D25*15%</f>
        <v>5.3250000000000002</v>
      </c>
      <c r="E27" s="54"/>
      <c r="F27" s="54">
        <f>F25*15%</f>
        <v>5.68</v>
      </c>
      <c r="G27" s="246"/>
      <c r="H27" s="56"/>
      <c r="I27" s="246" t="s">
        <v>299</v>
      </c>
      <c r="J27" s="251"/>
      <c r="K27" s="251"/>
      <c r="L27" s="222"/>
      <c r="M27" s="222"/>
      <c r="N27" s="222"/>
      <c r="O27" s="222"/>
      <c r="P27" s="222"/>
      <c r="Q27" s="222"/>
      <c r="R27" s="222"/>
      <c r="S27" s="222"/>
      <c r="T27" s="222"/>
      <c r="U27" s="222"/>
      <c r="V27" s="222"/>
      <c r="W27" s="222"/>
      <c r="X27" s="222"/>
      <c r="Y27" s="222"/>
      <c r="Z27" s="222"/>
      <c r="AA27" s="222"/>
      <c r="AB27" s="222"/>
    </row>
    <row r="28" spans="1:28" ht="18.75" x14ac:dyDescent="0.3">
      <c r="A28" s="250" t="s">
        <v>13</v>
      </c>
      <c r="B28" s="250"/>
      <c r="C28" s="250"/>
      <c r="D28" s="250"/>
      <c r="E28" s="250"/>
      <c r="F28" s="250"/>
      <c r="G28" s="250"/>
      <c r="H28" s="250"/>
      <c r="I28" s="251"/>
      <c r="J28" s="251"/>
      <c r="K28" s="251"/>
      <c r="L28" s="222"/>
      <c r="M28" s="222"/>
      <c r="N28" s="222"/>
      <c r="O28" s="222"/>
      <c r="P28" s="222"/>
      <c r="Q28" s="222"/>
      <c r="R28" s="222"/>
      <c r="S28" s="222"/>
      <c r="T28" s="222"/>
      <c r="U28" s="222"/>
      <c r="V28" s="222"/>
      <c r="W28" s="222"/>
      <c r="X28" s="222"/>
      <c r="Y28" s="222"/>
      <c r="Z28" s="222"/>
      <c r="AA28" s="222"/>
      <c r="AB28" s="222"/>
    </row>
    <row r="29" spans="1:28" ht="18.75" x14ac:dyDescent="0.3">
      <c r="A29" s="268" t="s">
        <v>60</v>
      </c>
      <c r="B29" s="319">
        <v>6414</v>
      </c>
      <c r="C29" s="255"/>
      <c r="D29" s="255">
        <v>9260</v>
      </c>
      <c r="E29" s="255"/>
      <c r="F29" s="54">
        <v>10940</v>
      </c>
      <c r="G29" s="54"/>
      <c r="H29" s="269">
        <f>F29</f>
        <v>10940</v>
      </c>
      <c r="I29" s="90"/>
      <c r="J29" s="251"/>
      <c r="K29" s="251"/>
      <c r="L29" s="222"/>
      <c r="M29" s="222"/>
      <c r="N29" s="222"/>
      <c r="O29" s="222"/>
      <c r="P29" s="222"/>
      <c r="Q29" s="222"/>
      <c r="R29" s="222"/>
      <c r="S29" s="222"/>
      <c r="T29" s="222"/>
      <c r="U29" s="222"/>
      <c r="V29" s="222"/>
      <c r="W29" s="222"/>
      <c r="X29" s="222"/>
      <c r="Y29" s="222"/>
      <c r="Z29" s="222"/>
      <c r="AA29" s="222"/>
      <c r="AB29" s="222"/>
    </row>
    <row r="30" spans="1:28" ht="37.5" x14ac:dyDescent="0.3">
      <c r="A30" s="56" t="s">
        <v>31</v>
      </c>
      <c r="B30" s="317">
        <v>6000</v>
      </c>
      <c r="C30" s="56"/>
      <c r="D30" s="246">
        <v>8330</v>
      </c>
      <c r="E30" s="246"/>
      <c r="F30" s="260">
        <v>9840</v>
      </c>
      <c r="G30" s="90"/>
      <c r="H30" s="56">
        <f>F30/2</f>
        <v>4920</v>
      </c>
      <c r="I30" s="251"/>
      <c r="J30" s="251"/>
      <c r="K30" s="251"/>
      <c r="L30" s="222"/>
      <c r="M30" s="222"/>
      <c r="N30" s="222"/>
      <c r="O30" s="222"/>
      <c r="P30" s="222"/>
      <c r="Q30" s="222"/>
      <c r="R30" s="222"/>
      <c r="S30" s="222"/>
      <c r="T30" s="222"/>
      <c r="U30" s="222"/>
      <c r="V30" s="222"/>
      <c r="W30" s="222"/>
      <c r="X30" s="222"/>
      <c r="Y30" s="222"/>
      <c r="Z30" s="222"/>
      <c r="AA30" s="222"/>
      <c r="AB30" s="222"/>
    </row>
    <row r="31" spans="1:28" ht="18.75" x14ac:dyDescent="0.3">
      <c r="A31" s="90" t="s">
        <v>1</v>
      </c>
      <c r="B31" s="90"/>
      <c r="C31" s="90"/>
      <c r="D31" s="255"/>
      <c r="E31" s="255"/>
      <c r="F31" s="54"/>
      <c r="G31" s="54"/>
      <c r="H31" s="90"/>
      <c r="I31" s="251"/>
      <c r="J31" s="251"/>
      <c r="K31" s="251"/>
      <c r="L31" s="222"/>
      <c r="M31" s="222"/>
      <c r="N31" s="222"/>
      <c r="O31" s="222"/>
      <c r="P31" s="222"/>
      <c r="Q31" s="222"/>
      <c r="R31" s="222"/>
      <c r="S31" s="222"/>
      <c r="T31" s="222"/>
      <c r="U31" s="222"/>
      <c r="V31" s="222"/>
      <c r="W31" s="222"/>
      <c r="X31" s="222"/>
      <c r="Y31" s="222"/>
      <c r="Z31" s="222"/>
      <c r="AA31" s="222"/>
      <c r="AB31" s="222"/>
    </row>
    <row r="32" spans="1:28" ht="18.75" x14ac:dyDescent="0.3">
      <c r="A32" s="56" t="s">
        <v>36</v>
      </c>
      <c r="B32" s="56"/>
      <c r="C32" s="56"/>
      <c r="D32" s="246"/>
      <c r="E32" s="246"/>
      <c r="F32" s="54"/>
      <c r="G32" s="54"/>
      <c r="H32" s="56"/>
      <c r="I32" s="251"/>
      <c r="J32" s="251"/>
      <c r="K32" s="251"/>
      <c r="L32" s="222"/>
      <c r="M32" s="222"/>
      <c r="N32" s="222"/>
      <c r="O32" s="222"/>
      <c r="P32" s="222"/>
      <c r="Q32" s="222"/>
      <c r="R32" s="222"/>
      <c r="S32" s="222"/>
      <c r="T32" s="222"/>
      <c r="U32" s="222"/>
      <c r="V32" s="222"/>
      <c r="W32" s="222"/>
      <c r="X32" s="222"/>
      <c r="Y32" s="222"/>
      <c r="Z32" s="222"/>
      <c r="AA32" s="222"/>
      <c r="AB32" s="222"/>
    </row>
    <row r="33" spans="1:28" ht="18.75" x14ac:dyDescent="0.3">
      <c r="A33" s="90" t="s">
        <v>291</v>
      </c>
      <c r="B33" s="90">
        <v>22</v>
      </c>
      <c r="C33" s="90"/>
      <c r="D33" s="246">
        <v>22</v>
      </c>
      <c r="E33" s="246"/>
      <c r="F33" s="90">
        <v>19</v>
      </c>
      <c r="G33" s="246"/>
      <c r="H33" s="56"/>
      <c r="I33" s="246"/>
      <c r="J33" s="251">
        <f>B29/B33</f>
        <v>291.54545454545456</v>
      </c>
      <c r="K33" s="251">
        <v>2018</v>
      </c>
      <c r="L33" s="222"/>
      <c r="M33" s="222"/>
      <c r="N33" s="222"/>
      <c r="O33" s="222"/>
      <c r="P33" s="222"/>
      <c r="Q33" s="222"/>
      <c r="R33" s="222"/>
      <c r="S33" s="222"/>
      <c r="T33" s="222"/>
      <c r="U33" s="222"/>
      <c r="V33" s="222"/>
      <c r="W33" s="222"/>
      <c r="X33" s="222"/>
      <c r="Y33" s="222"/>
      <c r="Z33" s="222"/>
      <c r="AA33" s="222"/>
      <c r="AB33" s="222"/>
    </row>
    <row r="34" spans="1:28" ht="18.75" x14ac:dyDescent="0.3">
      <c r="A34" s="260" t="s">
        <v>292</v>
      </c>
      <c r="B34" s="318">
        <f>B29/100</f>
        <v>64.14</v>
      </c>
      <c r="C34" s="260"/>
      <c r="D34" s="461">
        <f>D29/100</f>
        <v>92.6</v>
      </c>
      <c r="E34" s="460"/>
      <c r="F34" s="318">
        <f>F29/100</f>
        <v>109.4</v>
      </c>
      <c r="G34" s="246"/>
      <c r="H34" s="56"/>
      <c r="I34" s="257" t="s">
        <v>288</v>
      </c>
      <c r="J34" s="251">
        <f>D29/D33</f>
        <v>420.90909090909093</v>
      </c>
      <c r="K34" s="251">
        <v>2019</v>
      </c>
      <c r="L34" s="222"/>
      <c r="M34" s="222"/>
      <c r="N34" s="222"/>
      <c r="O34" s="222"/>
      <c r="P34" s="222"/>
      <c r="Q34" s="222"/>
      <c r="R34" s="222"/>
      <c r="S34" s="222"/>
      <c r="T34" s="222"/>
      <c r="U34" s="222"/>
      <c r="V34" s="222"/>
      <c r="W34" s="222"/>
      <c r="X34" s="222"/>
      <c r="Y34" s="222"/>
      <c r="Z34" s="222"/>
      <c r="AA34" s="222"/>
      <c r="AB34" s="222"/>
    </row>
    <row r="35" spans="1:28" ht="18.75" x14ac:dyDescent="0.3">
      <c r="A35" s="90" t="s">
        <v>293</v>
      </c>
      <c r="B35" s="54">
        <f>B34-B33</f>
        <v>42.14</v>
      </c>
      <c r="C35" s="54"/>
      <c r="D35" s="54">
        <f>D34-D33</f>
        <v>70.599999999999994</v>
      </c>
      <c r="E35" s="54"/>
      <c r="F35" s="54">
        <f>F34-F33</f>
        <v>90.4</v>
      </c>
      <c r="G35" s="246"/>
      <c r="H35" s="56"/>
      <c r="I35" s="246"/>
      <c r="J35" s="251">
        <f>F29/F33</f>
        <v>575.78947368421052</v>
      </c>
      <c r="K35" s="251">
        <v>2020</v>
      </c>
      <c r="L35" s="222"/>
      <c r="M35" s="222"/>
      <c r="N35" s="222"/>
      <c r="O35" s="222"/>
      <c r="P35" s="222"/>
      <c r="Q35" s="222"/>
      <c r="R35" s="222"/>
      <c r="S35" s="222"/>
      <c r="T35" s="222"/>
      <c r="U35" s="222"/>
      <c r="V35" s="222"/>
      <c r="W35" s="222"/>
      <c r="X35" s="222"/>
      <c r="Y35" s="222"/>
      <c r="Z35" s="222"/>
      <c r="AA35" s="222"/>
      <c r="AB35" s="222"/>
    </row>
    <row r="36" spans="1:28" ht="112.5" x14ac:dyDescent="0.3">
      <c r="A36" s="90" t="s">
        <v>294</v>
      </c>
      <c r="B36" s="54">
        <f>B34*15%</f>
        <v>9.6210000000000004</v>
      </c>
      <c r="C36" s="54"/>
      <c r="D36" s="54">
        <f>D34*15%</f>
        <v>13.889999999999999</v>
      </c>
      <c r="E36" s="54"/>
      <c r="F36" s="54">
        <f>F34*15%</f>
        <v>16.41</v>
      </c>
      <c r="G36" s="246"/>
      <c r="H36" s="56"/>
      <c r="I36" s="246" t="s">
        <v>299</v>
      </c>
      <c r="J36" s="251"/>
      <c r="K36" s="251"/>
      <c r="L36" s="222"/>
      <c r="M36" s="222"/>
      <c r="N36" s="222"/>
      <c r="O36" s="222"/>
      <c r="P36" s="222"/>
      <c r="Q36" s="222"/>
      <c r="R36" s="222"/>
      <c r="S36" s="222"/>
      <c r="T36" s="222"/>
      <c r="U36" s="222"/>
      <c r="V36" s="222"/>
      <c r="W36" s="222"/>
      <c r="X36" s="222"/>
      <c r="Y36" s="222"/>
      <c r="Z36" s="222"/>
      <c r="AA36" s="222"/>
      <c r="AB36" s="222"/>
    </row>
    <row r="37" spans="1:28" ht="21" x14ac:dyDescent="0.35">
      <c r="A37" s="254" t="s">
        <v>14</v>
      </c>
      <c r="B37" s="254"/>
      <c r="C37" s="254"/>
      <c r="D37" s="254"/>
      <c r="E37" s="254"/>
      <c r="F37" s="254"/>
      <c r="G37" s="254"/>
      <c r="H37" s="254"/>
      <c r="I37" s="270"/>
      <c r="J37" s="270"/>
      <c r="K37" s="270"/>
      <c r="L37" s="222"/>
      <c r="M37" s="222"/>
      <c r="N37" s="222"/>
      <c r="O37" s="222"/>
      <c r="P37" s="222"/>
      <c r="Q37" s="222"/>
      <c r="R37" s="222"/>
      <c r="S37" s="222"/>
      <c r="T37" s="222"/>
      <c r="U37" s="222"/>
      <c r="V37" s="222"/>
      <c r="W37" s="222"/>
      <c r="X37" s="222"/>
      <c r="Y37" s="222"/>
      <c r="Z37" s="222"/>
      <c r="AA37" s="222"/>
      <c r="AB37" s="222"/>
    </row>
    <row r="38" spans="1:28" ht="30" x14ac:dyDescent="0.25">
      <c r="A38" s="271" t="s">
        <v>52</v>
      </c>
      <c r="B38" s="271">
        <v>1600</v>
      </c>
      <c r="C38" s="271"/>
      <c r="D38" s="12" t="s">
        <v>179</v>
      </c>
      <c r="E38" s="12"/>
      <c r="F38" s="271"/>
      <c r="G38" s="271"/>
      <c r="H38" s="271"/>
      <c r="I38" s="270"/>
      <c r="J38" s="270"/>
      <c r="K38" s="272">
        <v>84.896125772038189</v>
      </c>
      <c r="L38" s="222"/>
      <c r="M38" s="222"/>
      <c r="N38" s="222"/>
      <c r="O38" s="222"/>
      <c r="P38" s="222"/>
      <c r="Q38" s="222"/>
      <c r="R38" s="222"/>
      <c r="S38" s="222"/>
      <c r="T38" s="222"/>
      <c r="U38" s="222"/>
      <c r="V38" s="222"/>
      <c r="W38" s="222"/>
      <c r="X38" s="222"/>
      <c r="Y38" s="222"/>
      <c r="Z38" s="222"/>
      <c r="AA38" s="222"/>
      <c r="AB38" s="222"/>
    </row>
    <row r="39" spans="1:28" ht="30" x14ac:dyDescent="0.25">
      <c r="A39" s="12" t="s">
        <v>31</v>
      </c>
      <c r="B39" s="12">
        <v>5600</v>
      </c>
      <c r="C39" s="12"/>
      <c r="D39" s="273">
        <v>5950</v>
      </c>
      <c r="E39" s="273"/>
      <c r="F39" s="271">
        <v>6800</v>
      </c>
      <c r="G39" s="271"/>
      <c r="H39" s="271">
        <f>F39/2</f>
        <v>3400</v>
      </c>
      <c r="I39" s="270"/>
      <c r="J39" s="270"/>
      <c r="K39" s="270"/>
      <c r="L39" s="222"/>
      <c r="M39" s="222"/>
      <c r="N39" s="222"/>
      <c r="O39" s="222"/>
      <c r="P39" s="222"/>
      <c r="Q39" s="222"/>
      <c r="R39" s="222"/>
      <c r="S39" s="222"/>
      <c r="T39" s="222"/>
      <c r="U39" s="222"/>
      <c r="V39" s="222"/>
      <c r="W39" s="222"/>
      <c r="X39" s="222"/>
      <c r="Y39" s="222"/>
      <c r="Z39" s="222"/>
      <c r="AA39" s="222"/>
      <c r="AB39" s="222"/>
    </row>
    <row r="40" spans="1:28" x14ac:dyDescent="0.25">
      <c r="A40" s="12" t="s">
        <v>1</v>
      </c>
      <c r="B40" s="12"/>
      <c r="C40" s="12"/>
      <c r="D40" s="273"/>
      <c r="E40" s="273"/>
      <c r="F40" s="271"/>
      <c r="G40" s="271"/>
      <c r="H40" s="271"/>
      <c r="I40" s="270"/>
      <c r="J40" s="270"/>
      <c r="K40" s="270"/>
      <c r="L40" s="222"/>
      <c r="M40" s="222"/>
      <c r="N40" s="222"/>
      <c r="O40" s="222"/>
      <c r="P40" s="222"/>
      <c r="Q40" s="222"/>
      <c r="R40" s="222"/>
      <c r="S40" s="222"/>
      <c r="T40" s="222"/>
      <c r="U40" s="222"/>
      <c r="V40" s="222"/>
      <c r="W40" s="222"/>
      <c r="X40" s="222"/>
      <c r="Y40" s="222"/>
      <c r="Z40" s="222"/>
      <c r="AA40" s="222"/>
      <c r="AB40" s="222"/>
    </row>
    <row r="41" spans="1:28" x14ac:dyDescent="0.25">
      <c r="A41" s="12" t="s">
        <v>36</v>
      </c>
      <c r="B41" s="12"/>
      <c r="C41" s="12"/>
      <c r="D41" s="245"/>
      <c r="E41" s="245"/>
      <c r="F41" s="274"/>
      <c r="G41" s="274"/>
      <c r="H41" s="12"/>
      <c r="I41" s="270"/>
      <c r="J41" s="270"/>
      <c r="K41" s="270"/>
      <c r="L41" s="222"/>
      <c r="M41" s="222"/>
      <c r="N41" s="222"/>
      <c r="O41" s="222"/>
      <c r="P41" s="222"/>
      <c r="Q41" s="222"/>
      <c r="R41" s="222"/>
      <c r="S41" s="222"/>
      <c r="T41" s="222"/>
      <c r="U41" s="222"/>
      <c r="V41" s="222"/>
      <c r="W41" s="222"/>
      <c r="X41" s="222"/>
      <c r="Y41" s="222"/>
      <c r="Z41" s="222"/>
      <c r="AA41" s="222"/>
      <c r="AB41" s="222"/>
    </row>
    <row r="42" spans="1:28" x14ac:dyDescent="0.25">
      <c r="A42" s="275" t="s">
        <v>305</v>
      </c>
      <c r="B42" s="275">
        <v>13</v>
      </c>
      <c r="C42" s="275"/>
      <c r="D42" s="276">
        <v>13</v>
      </c>
      <c r="E42" s="276"/>
      <c r="F42" s="277">
        <v>13</v>
      </c>
      <c r="G42" s="277"/>
      <c r="H42" s="275"/>
      <c r="I42" s="270"/>
      <c r="J42" s="270"/>
      <c r="K42" s="270"/>
      <c r="L42" s="222"/>
      <c r="M42" s="222"/>
      <c r="N42" s="222"/>
      <c r="O42" s="222"/>
      <c r="P42" s="222"/>
      <c r="Q42" s="222"/>
      <c r="R42" s="222"/>
      <c r="S42" s="222"/>
      <c r="T42" s="222"/>
      <c r="U42" s="222"/>
      <c r="V42" s="222"/>
      <c r="W42" s="222"/>
      <c r="X42" s="222"/>
      <c r="Y42" s="222"/>
      <c r="Z42" s="222"/>
      <c r="AA42" s="222"/>
      <c r="AB42" s="222"/>
    </row>
    <row r="43" spans="1:28" ht="18.75" x14ac:dyDescent="0.3">
      <c r="A43" s="22" t="s">
        <v>45</v>
      </c>
      <c r="B43" s="22"/>
      <c r="C43" s="22"/>
      <c r="D43" s="22"/>
      <c r="E43" s="22"/>
      <c r="F43" s="22"/>
      <c r="G43" s="22"/>
      <c r="H43" s="22"/>
      <c r="I43" s="251"/>
      <c r="J43" s="251"/>
      <c r="K43" s="251"/>
      <c r="L43" s="222"/>
      <c r="M43" s="222"/>
      <c r="N43" s="222"/>
      <c r="O43" s="222"/>
      <c r="P43" s="222"/>
      <c r="Q43" s="222"/>
      <c r="R43" s="222"/>
      <c r="S43" s="222"/>
      <c r="T43" s="222"/>
      <c r="U43" s="222"/>
      <c r="V43" s="222"/>
      <c r="W43" s="222"/>
      <c r="X43" s="222"/>
      <c r="Y43" s="222"/>
      <c r="Z43" s="222"/>
      <c r="AA43" s="222"/>
      <c r="AB43" s="222"/>
    </row>
    <row r="44" spans="1:28" ht="37.5" x14ac:dyDescent="0.3">
      <c r="A44" s="90" t="s">
        <v>46</v>
      </c>
      <c r="B44" s="90"/>
      <c r="C44" s="90"/>
      <c r="D44" s="246" t="s">
        <v>21</v>
      </c>
      <c r="E44" s="246"/>
      <c r="F44" s="90"/>
      <c r="G44" s="90"/>
      <c r="H44" s="246" t="s">
        <v>183</v>
      </c>
      <c r="I44" s="251"/>
      <c r="J44" s="251"/>
      <c r="K44" s="251"/>
      <c r="L44" s="222"/>
      <c r="M44" s="222"/>
      <c r="N44" s="222"/>
      <c r="O44" s="222"/>
      <c r="P44" s="222"/>
      <c r="Q44" s="222"/>
      <c r="R44" s="222"/>
      <c r="S44" s="222"/>
      <c r="T44" s="222"/>
      <c r="U44" s="222"/>
      <c r="V44" s="222"/>
      <c r="W44" s="222"/>
      <c r="X44" s="222"/>
      <c r="Y44" s="222"/>
      <c r="Z44" s="222"/>
      <c r="AA44" s="222"/>
      <c r="AB44" s="222"/>
    </row>
    <row r="45" spans="1:28" ht="18.75" x14ac:dyDescent="0.3">
      <c r="A45" s="90" t="s">
        <v>22</v>
      </c>
      <c r="B45" s="90">
        <v>4373</v>
      </c>
      <c r="C45" s="90">
        <f>B45*70%</f>
        <v>3061.1</v>
      </c>
      <c r="D45" s="255">
        <v>5873</v>
      </c>
      <c r="E45" s="255">
        <f>D45*70%</f>
        <v>4111.0999999999995</v>
      </c>
      <c r="F45" s="54">
        <v>7587</v>
      </c>
      <c r="G45" s="54">
        <f>F45*70%</f>
        <v>5310.9</v>
      </c>
      <c r="H45" s="54">
        <f>F45</f>
        <v>7587</v>
      </c>
      <c r="I45" s="90"/>
      <c r="J45" s="90"/>
      <c r="K45" s="90"/>
      <c r="L45" s="45"/>
      <c r="M45" s="45"/>
      <c r="N45" s="45"/>
      <c r="O45" s="45"/>
      <c r="P45" s="45"/>
      <c r="Q45" s="45"/>
      <c r="R45" s="45"/>
      <c r="S45" s="45"/>
      <c r="T45" s="45"/>
      <c r="U45" s="45"/>
      <c r="V45" s="45"/>
      <c r="W45" s="45"/>
      <c r="X45" s="45"/>
      <c r="Y45" s="45"/>
      <c r="Z45" s="45"/>
      <c r="AA45" s="45"/>
      <c r="AB45" s="45"/>
    </row>
    <row r="46" spans="1:28" ht="18.75" x14ac:dyDescent="0.3">
      <c r="A46" s="90" t="s">
        <v>268</v>
      </c>
      <c r="B46" s="90"/>
      <c r="C46" s="90"/>
      <c r="D46" s="256">
        <f>(D45*80%)*180/12*7</f>
        <v>493332.00000000012</v>
      </c>
      <c r="E46" s="256"/>
      <c r="F46" s="256">
        <f>(F45*70%)*180</f>
        <v>955961.99999999988</v>
      </c>
      <c r="G46" s="256"/>
      <c r="H46" s="256">
        <f>(H45*70%)*180/12*6</f>
        <v>477980.99999999988</v>
      </c>
      <c r="I46" s="90"/>
      <c r="J46" s="90"/>
      <c r="K46" s="90"/>
      <c r="L46" s="45"/>
      <c r="M46" s="45"/>
      <c r="N46" s="45"/>
      <c r="O46" s="45"/>
      <c r="P46" s="45"/>
      <c r="Q46" s="45"/>
      <c r="R46" s="45"/>
      <c r="S46" s="45"/>
      <c r="T46" s="45"/>
      <c r="U46" s="45"/>
      <c r="V46" s="45"/>
      <c r="W46" s="45"/>
      <c r="X46" s="45"/>
      <c r="Y46" s="45"/>
      <c r="Z46" s="45"/>
      <c r="AA46" s="45"/>
      <c r="AB46" s="45"/>
    </row>
    <row r="47" spans="1:28" ht="18.75" x14ac:dyDescent="0.3">
      <c r="A47" s="90" t="s">
        <v>291</v>
      </c>
      <c r="B47" s="90"/>
      <c r="C47" s="90">
        <v>16</v>
      </c>
      <c r="D47" s="90"/>
      <c r="E47" s="246">
        <v>21</v>
      </c>
      <c r="F47" s="90"/>
      <c r="G47" s="90">
        <v>14</v>
      </c>
      <c r="H47" s="56"/>
      <c r="I47" s="246"/>
      <c r="J47" s="251">
        <f>C45/C47</f>
        <v>191.31874999999999</v>
      </c>
      <c r="K47" s="251">
        <v>2018</v>
      </c>
      <c r="L47" s="222"/>
      <c r="M47" s="222"/>
      <c r="N47" s="222"/>
      <c r="O47" s="222"/>
      <c r="P47" s="222"/>
      <c r="Q47" s="222"/>
      <c r="R47" s="222"/>
      <c r="S47" s="222"/>
      <c r="T47" s="222"/>
      <c r="U47" s="222"/>
      <c r="V47" s="222"/>
      <c r="W47" s="222"/>
      <c r="X47" s="222"/>
      <c r="Y47" s="222"/>
      <c r="Z47" s="222"/>
      <c r="AA47" s="222"/>
      <c r="AB47" s="222"/>
    </row>
    <row r="48" spans="1:28" ht="18.75" x14ac:dyDescent="0.3">
      <c r="A48" s="260" t="s">
        <v>292</v>
      </c>
      <c r="B48" s="260"/>
      <c r="C48" s="318">
        <f>C45/100</f>
        <v>30.611000000000001</v>
      </c>
      <c r="D48" s="460"/>
      <c r="E48" s="461">
        <f>E45/100</f>
        <v>41.110999999999997</v>
      </c>
      <c r="F48" s="260"/>
      <c r="G48" s="461">
        <f>G45/100</f>
        <v>53.108999999999995</v>
      </c>
      <c r="H48" s="56"/>
      <c r="I48" s="257" t="s">
        <v>288</v>
      </c>
      <c r="J48" s="251">
        <f>E45/E47</f>
        <v>195.76666666666665</v>
      </c>
      <c r="K48" s="251">
        <v>2019</v>
      </c>
      <c r="L48" s="222"/>
      <c r="M48" s="222"/>
      <c r="N48" s="222"/>
      <c r="O48" s="222"/>
      <c r="P48" s="222"/>
      <c r="Q48" s="222"/>
      <c r="R48" s="222"/>
      <c r="S48" s="222"/>
      <c r="T48" s="222"/>
      <c r="U48" s="222"/>
      <c r="V48" s="222"/>
      <c r="W48" s="222"/>
      <c r="X48" s="222"/>
      <c r="Y48" s="222"/>
      <c r="Z48" s="222"/>
      <c r="AA48" s="222"/>
      <c r="AB48" s="222"/>
    </row>
    <row r="49" spans="1:29" ht="18.75" x14ac:dyDescent="0.3">
      <c r="A49" s="90" t="s">
        <v>293</v>
      </c>
      <c r="B49" s="90"/>
      <c r="C49" s="54">
        <f>C48-C47</f>
        <v>14.611000000000001</v>
      </c>
      <c r="D49" s="54"/>
      <c r="E49" s="54">
        <f>E48-E47</f>
        <v>20.110999999999997</v>
      </c>
      <c r="F49" s="54"/>
      <c r="G49" s="54">
        <f>G48-G47</f>
        <v>39.108999999999995</v>
      </c>
      <c r="H49" s="56"/>
      <c r="I49" s="246"/>
      <c r="J49" s="251">
        <f>G45/G47</f>
        <v>379.34999999999997</v>
      </c>
      <c r="K49" s="251">
        <v>2020</v>
      </c>
      <c r="L49" s="222"/>
      <c r="M49" s="222"/>
      <c r="N49" s="222"/>
      <c r="O49" s="222"/>
      <c r="P49" s="222"/>
      <c r="Q49" s="222"/>
      <c r="R49" s="222"/>
      <c r="S49" s="222"/>
      <c r="T49" s="222"/>
      <c r="U49" s="222"/>
      <c r="V49" s="222"/>
      <c r="W49" s="222"/>
      <c r="X49" s="222"/>
      <c r="Y49" s="222"/>
      <c r="Z49" s="222"/>
      <c r="AA49" s="222"/>
      <c r="AB49" s="222"/>
    </row>
    <row r="50" spans="1:29" ht="18.75" x14ac:dyDescent="0.3">
      <c r="A50" s="90" t="s">
        <v>294</v>
      </c>
      <c r="B50" s="90"/>
      <c r="C50" s="54">
        <f>C48*15%</f>
        <v>4.5916499999999996</v>
      </c>
      <c r="D50" s="54"/>
      <c r="E50" s="54">
        <f>E48*15%</f>
        <v>6.1666499999999997</v>
      </c>
      <c r="F50" s="54"/>
      <c r="G50" s="54">
        <f>G48*15%</f>
        <v>7.9663499999999985</v>
      </c>
      <c r="H50" s="56"/>
      <c r="I50" s="246"/>
      <c r="J50" s="251"/>
      <c r="K50" s="251"/>
      <c r="L50" s="222"/>
      <c r="M50" s="222"/>
      <c r="N50" s="222"/>
      <c r="O50" s="222"/>
      <c r="P50" s="222"/>
      <c r="Q50" s="222"/>
      <c r="R50" s="222"/>
      <c r="S50" s="222"/>
      <c r="T50" s="222"/>
      <c r="U50" s="222"/>
      <c r="V50" s="222"/>
      <c r="W50" s="222"/>
      <c r="X50" s="222"/>
      <c r="Y50" s="222"/>
      <c r="Z50" s="222"/>
      <c r="AA50" s="222"/>
      <c r="AB50" s="222"/>
    </row>
    <row r="51" spans="1:29" ht="21" x14ac:dyDescent="0.35">
      <c r="A51" s="254" t="s">
        <v>422</v>
      </c>
      <c r="B51" s="254"/>
      <c r="C51" s="254"/>
      <c r="D51" s="254"/>
      <c r="E51" s="254"/>
      <c r="F51" s="254"/>
      <c r="G51" s="254"/>
      <c r="H51" s="278"/>
      <c r="I51" s="279"/>
      <c r="J51" s="279"/>
      <c r="K51" s="279"/>
      <c r="L51" s="45"/>
      <c r="M51" s="45"/>
      <c r="N51" s="45"/>
      <c r="O51" s="45"/>
      <c r="P51" s="45"/>
      <c r="Q51" s="45"/>
      <c r="R51" s="45"/>
      <c r="S51" s="45"/>
      <c r="T51" s="45"/>
      <c r="U51" s="45"/>
      <c r="V51" s="45"/>
      <c r="W51" s="45"/>
      <c r="X51" s="45"/>
      <c r="Y51" s="45"/>
      <c r="Z51" s="45"/>
      <c r="AA51" s="45"/>
      <c r="AB51" s="45"/>
      <c r="AC51" s="126"/>
    </row>
    <row r="52" spans="1:29" ht="30.75" x14ac:dyDescent="0.25">
      <c r="A52" s="132" t="s">
        <v>306</v>
      </c>
      <c r="B52" s="133" t="s">
        <v>307</v>
      </c>
      <c r="C52" s="134" t="s">
        <v>321</v>
      </c>
      <c r="D52" s="135" t="s">
        <v>308</v>
      </c>
      <c r="E52" s="135" t="s">
        <v>309</v>
      </c>
      <c r="F52" s="135" t="s">
        <v>310</v>
      </c>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row>
    <row r="53" spans="1:29" ht="30" x14ac:dyDescent="0.25">
      <c r="A53" s="136" t="s">
        <v>311</v>
      </c>
      <c r="B53" s="137">
        <v>0.5</v>
      </c>
      <c r="C53" s="131">
        <v>200</v>
      </c>
      <c r="D53" s="138">
        <v>3</v>
      </c>
      <c r="E53" s="138">
        <v>3</v>
      </c>
      <c r="F53" s="139">
        <v>3</v>
      </c>
      <c r="G53" s="222"/>
      <c r="H53" s="222"/>
      <c r="I53" s="222" t="s">
        <v>322</v>
      </c>
      <c r="J53" s="222"/>
      <c r="K53" s="222"/>
      <c r="L53" s="222"/>
      <c r="M53" s="222"/>
      <c r="N53" s="222"/>
      <c r="O53" s="222"/>
      <c r="P53" s="222"/>
      <c r="Q53" s="222"/>
      <c r="R53" s="222"/>
      <c r="S53" s="222"/>
      <c r="T53" s="222"/>
      <c r="U53" s="222"/>
      <c r="V53" s="222"/>
      <c r="W53" s="222"/>
      <c r="X53" s="222"/>
      <c r="Y53" s="222"/>
      <c r="Z53" s="222"/>
      <c r="AA53" s="222"/>
      <c r="AB53" s="222"/>
      <c r="AC53" s="222"/>
    </row>
    <row r="54" spans="1:29" ht="30" x14ac:dyDescent="0.25">
      <c r="A54" s="136" t="s">
        <v>312</v>
      </c>
      <c r="B54" s="137">
        <v>0.5</v>
      </c>
      <c r="C54" s="131">
        <v>200</v>
      </c>
      <c r="D54" s="138">
        <v>0</v>
      </c>
      <c r="E54" s="138">
        <v>0</v>
      </c>
      <c r="F54" s="139">
        <v>0</v>
      </c>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row>
    <row r="55" spans="1:29" x14ac:dyDescent="0.25">
      <c r="A55" s="136" t="s">
        <v>313</v>
      </c>
      <c r="B55" s="137">
        <v>0.5</v>
      </c>
      <c r="C55" s="131">
        <v>300</v>
      </c>
      <c r="D55" s="138">
        <v>2</v>
      </c>
      <c r="E55" s="138">
        <v>2</v>
      </c>
      <c r="F55" s="139">
        <v>2</v>
      </c>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row>
    <row r="56" spans="1:29" ht="30" x14ac:dyDescent="0.25">
      <c r="A56" s="136" t="s">
        <v>314</v>
      </c>
      <c r="B56" s="137">
        <v>0.5</v>
      </c>
      <c r="C56" s="131">
        <v>250</v>
      </c>
      <c r="D56" s="138">
        <v>6</v>
      </c>
      <c r="E56" s="138">
        <v>6</v>
      </c>
      <c r="F56" s="139">
        <v>0</v>
      </c>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row>
    <row r="57" spans="1:29" x14ac:dyDescent="0.25">
      <c r="A57" s="136" t="s">
        <v>315</v>
      </c>
      <c r="B57" s="137">
        <v>0.5</v>
      </c>
      <c r="C57" s="131">
        <v>250</v>
      </c>
      <c r="D57" s="138">
        <v>2</v>
      </c>
      <c r="E57" s="138">
        <v>2</v>
      </c>
      <c r="F57" s="139">
        <v>2</v>
      </c>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row>
    <row r="58" spans="1:29" x14ac:dyDescent="0.25">
      <c r="A58" s="136" t="s">
        <v>316</v>
      </c>
      <c r="B58" s="137" t="s">
        <v>304</v>
      </c>
      <c r="C58" s="140">
        <v>400</v>
      </c>
      <c r="D58" s="446">
        <v>7</v>
      </c>
      <c r="E58" s="446">
        <v>7</v>
      </c>
      <c r="F58" s="141">
        <v>7</v>
      </c>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row>
    <row r="59" spans="1:29" x14ac:dyDescent="0.25">
      <c r="A59" s="136" t="s">
        <v>317</v>
      </c>
      <c r="B59" s="137" t="s">
        <v>304</v>
      </c>
      <c r="C59" s="140">
        <v>120</v>
      </c>
      <c r="D59" s="446">
        <v>7</v>
      </c>
      <c r="E59" s="446">
        <v>7</v>
      </c>
      <c r="F59" s="141">
        <v>7</v>
      </c>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row>
    <row r="60" spans="1:29" ht="30" x14ac:dyDescent="0.25">
      <c r="A60" s="136" t="s">
        <v>318</v>
      </c>
      <c r="B60" s="137" t="s">
        <v>304</v>
      </c>
      <c r="C60" s="140">
        <v>40</v>
      </c>
      <c r="D60" s="446">
        <v>7</v>
      </c>
      <c r="E60" s="446">
        <v>7</v>
      </c>
      <c r="F60" s="141">
        <v>7</v>
      </c>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row>
    <row r="61" spans="1:29" ht="30" x14ac:dyDescent="0.25">
      <c r="A61" s="136" t="s">
        <v>319</v>
      </c>
      <c r="B61" s="137" t="s">
        <v>304</v>
      </c>
      <c r="C61" s="140">
        <v>100</v>
      </c>
      <c r="D61" s="446">
        <v>7</v>
      </c>
      <c r="E61" s="446">
        <v>7</v>
      </c>
      <c r="F61" s="141">
        <v>7</v>
      </c>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row>
    <row r="62" spans="1:29" x14ac:dyDescent="0.25">
      <c r="A62" s="136" t="s">
        <v>320</v>
      </c>
      <c r="B62" s="137" t="s">
        <v>304</v>
      </c>
      <c r="C62" s="140">
        <v>40</v>
      </c>
      <c r="D62" s="446">
        <v>7</v>
      </c>
      <c r="E62" s="446">
        <v>7</v>
      </c>
      <c r="F62" s="446">
        <v>7</v>
      </c>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row>
    <row r="63" spans="1:29" x14ac:dyDescent="0.25">
      <c r="A63" s="222"/>
      <c r="B63" s="222"/>
      <c r="C63" s="222"/>
      <c r="D63" s="45"/>
      <c r="E63" s="45"/>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row>
    <row r="64" spans="1:29" x14ac:dyDescent="0.25">
      <c r="A64" s="222"/>
      <c r="B64" s="222"/>
      <c r="C64" s="222"/>
      <c r="D64" s="45"/>
      <c r="E64" s="45"/>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row>
    <row r="65" spans="1:29" x14ac:dyDescent="0.25">
      <c r="A65" s="222"/>
      <c r="B65" s="222"/>
      <c r="C65" s="222"/>
      <c r="D65" s="45"/>
      <c r="E65" s="45"/>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row>
    <row r="66" spans="1:29" x14ac:dyDescent="0.25">
      <c r="A66" s="222"/>
      <c r="B66" s="222"/>
      <c r="C66" s="222"/>
      <c r="D66" s="45"/>
      <c r="E66" s="45"/>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row>
    <row r="67" spans="1:29" x14ac:dyDescent="0.25">
      <c r="A67" s="222"/>
      <c r="B67" s="222"/>
      <c r="C67" s="222"/>
      <c r="D67" s="45"/>
      <c r="E67" s="45"/>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row>
    <row r="68" spans="1:29" x14ac:dyDescent="0.25">
      <c r="A68" s="222"/>
      <c r="B68" s="222"/>
      <c r="C68" s="222"/>
      <c r="D68" s="45"/>
      <c r="E68" s="45"/>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row>
    <row r="69" spans="1:29" x14ac:dyDescent="0.25">
      <c r="A69" s="222"/>
      <c r="B69" s="222"/>
      <c r="C69" s="222"/>
      <c r="D69" s="45"/>
      <c r="E69" s="45"/>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row>
    <row r="70" spans="1:29" x14ac:dyDescent="0.25">
      <c r="A70" s="222"/>
      <c r="B70" s="222"/>
      <c r="C70" s="222"/>
      <c r="D70" s="45"/>
      <c r="E70" s="45"/>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row>
    <row r="71" spans="1:29" x14ac:dyDescent="0.25">
      <c r="A71" s="222"/>
      <c r="B71" s="222"/>
      <c r="C71" s="222"/>
      <c r="D71" s="45"/>
      <c r="E71" s="45"/>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row>
    <row r="72" spans="1:29" x14ac:dyDescent="0.25">
      <c r="A72" s="222"/>
      <c r="B72" s="222"/>
      <c r="C72" s="222"/>
      <c r="D72" s="45"/>
      <c r="E72" s="45"/>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row>
    <row r="73" spans="1:29" x14ac:dyDescent="0.25">
      <c r="A73" s="222"/>
      <c r="B73" s="222"/>
      <c r="C73" s="222"/>
      <c r="D73" s="45"/>
      <c r="E73" s="45"/>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row>
    <row r="74" spans="1:29" x14ac:dyDescent="0.25">
      <c r="A74" s="222"/>
      <c r="B74" s="222"/>
      <c r="C74" s="222"/>
      <c r="D74" s="45"/>
      <c r="E74" s="45"/>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row>
    <row r="75" spans="1:29" x14ac:dyDescent="0.25">
      <c r="A75" s="222"/>
      <c r="B75" s="222"/>
      <c r="C75" s="222"/>
      <c r="D75" s="45"/>
      <c r="E75" s="45"/>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row>
    <row r="76" spans="1:29" x14ac:dyDescent="0.25">
      <c r="A76" s="222"/>
      <c r="B76" s="222"/>
      <c r="C76" s="222"/>
      <c r="D76" s="45"/>
      <c r="E76" s="45"/>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row>
    <row r="77" spans="1:29" x14ac:dyDescent="0.25">
      <c r="A77" s="222"/>
      <c r="B77" s="222"/>
      <c r="C77" s="222"/>
      <c r="D77" s="45"/>
      <c r="E77" s="45"/>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row>
    <row r="78" spans="1:29" x14ac:dyDescent="0.25">
      <c r="A78" s="222"/>
      <c r="B78" s="222"/>
      <c r="C78" s="222"/>
      <c r="D78" s="45"/>
      <c r="E78" s="45"/>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row>
    <row r="79" spans="1:29" x14ac:dyDescent="0.25">
      <c r="A79" s="222"/>
      <c r="B79" s="222"/>
      <c r="C79" s="222"/>
      <c r="D79" s="45"/>
      <c r="E79" s="45"/>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row>
    <row r="80" spans="1:29" x14ac:dyDescent="0.25">
      <c r="A80" s="222"/>
      <c r="B80" s="222"/>
      <c r="C80" s="222"/>
      <c r="D80" s="45"/>
      <c r="E80" s="45"/>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row>
    <row r="81" spans="1:29" x14ac:dyDescent="0.25">
      <c r="A81" s="222"/>
      <c r="B81" s="222"/>
      <c r="C81" s="222"/>
      <c r="D81" s="45"/>
      <c r="E81" s="45"/>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row>
    <row r="82" spans="1:29" x14ac:dyDescent="0.25">
      <c r="A82" s="222"/>
      <c r="B82" s="222"/>
      <c r="C82" s="222"/>
      <c r="D82" s="45"/>
      <c r="E82" s="45"/>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row>
    <row r="83" spans="1:29" x14ac:dyDescent="0.25">
      <c r="A83" s="222"/>
      <c r="B83" s="222"/>
      <c r="C83" s="222"/>
      <c r="D83" s="45"/>
      <c r="E83" s="45"/>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row>
    <row r="84" spans="1:29" x14ac:dyDescent="0.25">
      <c r="A84" s="222"/>
      <c r="B84" s="222"/>
      <c r="C84" s="222"/>
      <c r="D84" s="45"/>
      <c r="E84" s="45"/>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row>
    <row r="85" spans="1:29" x14ac:dyDescent="0.25">
      <c r="A85" s="222"/>
      <c r="B85" s="222"/>
      <c r="C85" s="222"/>
      <c r="D85" s="45"/>
      <c r="E85" s="45"/>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row>
    <row r="86" spans="1:29" x14ac:dyDescent="0.25">
      <c r="I86" s="222"/>
      <c r="J86" s="222"/>
      <c r="K86" s="222"/>
      <c r="L86" s="222"/>
      <c r="M86" s="222"/>
      <c r="N86" s="222"/>
      <c r="O86" s="222"/>
      <c r="P86" s="222"/>
      <c r="Q86" s="222"/>
      <c r="R86" s="222"/>
      <c r="S86" s="222"/>
      <c r="T86" s="222"/>
      <c r="U86" s="222"/>
      <c r="V86" s="222"/>
      <c r="W86" s="222"/>
      <c r="X86" s="222"/>
      <c r="Y86" s="222"/>
      <c r="Z86" s="222"/>
      <c r="AA86" s="222"/>
      <c r="AB86" s="222"/>
      <c r="AC86" s="222"/>
    </row>
    <row r="87" spans="1:29" x14ac:dyDescent="0.25">
      <c r="I87" s="222"/>
      <c r="J87" s="222"/>
      <c r="K87" s="222"/>
      <c r="L87" s="222"/>
      <c r="M87" s="222"/>
      <c r="N87" s="222"/>
      <c r="O87" s="222"/>
      <c r="P87" s="222"/>
      <c r="Q87" s="222"/>
      <c r="R87" s="222"/>
      <c r="S87" s="222"/>
      <c r="T87" s="222"/>
      <c r="U87" s="222"/>
      <c r="V87" s="222"/>
      <c r="W87" s="222"/>
      <c r="X87" s="222"/>
      <c r="Y87" s="222"/>
      <c r="Z87" s="222"/>
      <c r="AA87" s="222"/>
      <c r="AB87" s="222"/>
      <c r="AC87" s="222"/>
    </row>
    <row r="88" spans="1:29" x14ac:dyDescent="0.25">
      <c r="I88" s="222"/>
      <c r="J88" s="222"/>
      <c r="K88" s="222"/>
      <c r="L88" s="222"/>
      <c r="M88" s="222"/>
      <c r="N88" s="222"/>
      <c r="O88" s="222"/>
      <c r="P88" s="222"/>
      <c r="Q88" s="222"/>
      <c r="R88" s="222"/>
      <c r="S88" s="222"/>
      <c r="T88" s="222"/>
      <c r="U88" s="222"/>
      <c r="V88" s="222"/>
      <c r="W88" s="222"/>
      <c r="X88" s="222"/>
      <c r="Y88" s="222"/>
      <c r="Z88" s="222"/>
      <c r="AA88" s="222"/>
      <c r="AB88" s="222"/>
      <c r="AC88" s="222"/>
    </row>
    <row r="89" spans="1:29" x14ac:dyDescent="0.25">
      <c r="I89" s="222"/>
      <c r="J89" s="222"/>
      <c r="K89" s="222"/>
      <c r="L89" s="222"/>
      <c r="M89" s="222"/>
      <c r="N89" s="222"/>
      <c r="O89" s="222"/>
      <c r="P89" s="222"/>
      <c r="Q89" s="222"/>
      <c r="R89" s="222"/>
      <c r="S89" s="222"/>
      <c r="T89" s="222"/>
      <c r="U89" s="222"/>
      <c r="V89" s="222"/>
      <c r="W89" s="222"/>
      <c r="X89" s="222"/>
      <c r="Y89" s="222"/>
      <c r="Z89" s="222"/>
      <c r="AA89" s="222"/>
      <c r="AB89" s="222"/>
      <c r="AC89" s="222"/>
    </row>
    <row r="90" spans="1:29" x14ac:dyDescent="0.25">
      <c r="I90" s="222"/>
      <c r="J90" s="222"/>
      <c r="K90" s="222"/>
      <c r="L90" s="222"/>
      <c r="M90" s="222"/>
      <c r="N90" s="222"/>
      <c r="O90" s="222"/>
      <c r="P90" s="222"/>
      <c r="Q90" s="222"/>
      <c r="R90" s="222"/>
      <c r="S90" s="222"/>
      <c r="T90" s="222"/>
      <c r="U90" s="222"/>
      <c r="V90" s="222"/>
      <c r="W90" s="222"/>
      <c r="X90" s="222"/>
      <c r="Y90" s="222"/>
      <c r="Z90" s="222"/>
      <c r="AA90" s="222"/>
      <c r="AB90" s="222"/>
      <c r="AC90" s="222"/>
    </row>
    <row r="91" spans="1:29" x14ac:dyDescent="0.25">
      <c r="I91" s="222"/>
      <c r="J91" s="222"/>
      <c r="K91" s="222"/>
      <c r="L91" s="222"/>
      <c r="M91" s="222"/>
      <c r="N91" s="222"/>
      <c r="O91" s="222"/>
      <c r="P91" s="222"/>
      <c r="Q91" s="222"/>
      <c r="R91" s="222"/>
      <c r="S91" s="222"/>
      <c r="T91" s="222"/>
      <c r="U91" s="222"/>
      <c r="V91" s="222"/>
      <c r="W91" s="222"/>
      <c r="X91" s="222"/>
      <c r="Y91" s="222"/>
      <c r="Z91" s="222"/>
      <c r="AA91" s="222"/>
      <c r="AB91" s="222"/>
      <c r="AC91" s="222"/>
    </row>
    <row r="92" spans="1:29" x14ac:dyDescent="0.25">
      <c r="I92" s="222"/>
      <c r="J92" s="222"/>
      <c r="K92" s="222"/>
      <c r="L92" s="222"/>
      <c r="M92" s="222"/>
      <c r="N92" s="222"/>
      <c r="O92" s="222"/>
      <c r="P92" s="222"/>
      <c r="Q92" s="222"/>
      <c r="R92" s="222"/>
      <c r="S92" s="222"/>
      <c r="T92" s="222"/>
      <c r="U92" s="222"/>
      <c r="V92" s="222"/>
      <c r="W92" s="222"/>
      <c r="X92" s="222"/>
      <c r="Y92" s="222"/>
      <c r="Z92" s="222"/>
      <c r="AA92" s="222"/>
      <c r="AB92" s="222"/>
      <c r="AC92" s="222"/>
    </row>
    <row r="93" spans="1:29" x14ac:dyDescent="0.25">
      <c r="I93" s="222"/>
      <c r="J93" s="222"/>
      <c r="K93" s="222"/>
      <c r="L93" s="222"/>
      <c r="M93" s="222"/>
      <c r="N93" s="222"/>
      <c r="O93" s="222"/>
      <c r="P93" s="222"/>
      <c r="Q93" s="222"/>
      <c r="R93" s="222"/>
      <c r="S93" s="222"/>
      <c r="T93" s="222"/>
      <c r="U93" s="222"/>
      <c r="V93" s="222"/>
      <c r="W93" s="222"/>
      <c r="X93" s="222"/>
      <c r="Y93" s="222"/>
      <c r="Z93" s="222"/>
      <c r="AA93" s="222"/>
      <c r="AB93" s="222"/>
      <c r="AC93" s="222"/>
    </row>
    <row r="94" spans="1:29" x14ac:dyDescent="0.25">
      <c r="I94" s="222"/>
      <c r="J94" s="222"/>
      <c r="K94" s="222"/>
      <c r="L94" s="222"/>
      <c r="M94" s="222"/>
      <c r="N94" s="222"/>
      <c r="O94" s="222"/>
      <c r="P94" s="222"/>
      <c r="Q94" s="222"/>
      <c r="R94" s="222"/>
      <c r="S94" s="222"/>
      <c r="T94" s="222"/>
      <c r="U94" s="222"/>
      <c r="V94" s="222"/>
      <c r="W94" s="222"/>
      <c r="X94" s="222"/>
      <c r="Y94" s="222"/>
      <c r="Z94" s="222"/>
      <c r="AA94" s="222"/>
      <c r="AB94" s="222"/>
      <c r="AC94" s="222"/>
    </row>
    <row r="95" spans="1:29" x14ac:dyDescent="0.25">
      <c r="I95" s="222"/>
      <c r="J95" s="222"/>
      <c r="K95" s="222"/>
      <c r="L95" s="222"/>
      <c r="M95" s="222"/>
      <c r="N95" s="222"/>
      <c r="O95" s="222"/>
      <c r="P95" s="222"/>
      <c r="Q95" s="222"/>
      <c r="R95" s="222"/>
      <c r="S95" s="222"/>
      <c r="T95" s="222"/>
      <c r="U95" s="222"/>
      <c r="V95" s="222"/>
      <c r="W95" s="222"/>
      <c r="X95" s="222"/>
      <c r="Y95" s="222"/>
      <c r="Z95" s="222"/>
      <c r="AA95" s="222"/>
      <c r="AB95" s="222"/>
      <c r="AC95" s="222"/>
    </row>
    <row r="96" spans="1:29" x14ac:dyDescent="0.25">
      <c r="I96" s="222"/>
      <c r="J96" s="222"/>
      <c r="K96" s="222"/>
      <c r="L96" s="222"/>
      <c r="M96" s="222"/>
      <c r="N96" s="222"/>
      <c r="O96" s="222"/>
      <c r="P96" s="222"/>
      <c r="Q96" s="222"/>
      <c r="R96" s="222"/>
      <c r="S96" s="222"/>
      <c r="T96" s="222"/>
      <c r="U96" s="222"/>
      <c r="V96" s="222"/>
      <c r="W96" s="222"/>
      <c r="X96" s="222"/>
      <c r="Y96" s="222"/>
      <c r="Z96" s="222"/>
      <c r="AA96" s="222"/>
      <c r="AB96" s="222"/>
      <c r="AC96" s="222"/>
    </row>
    <row r="97" spans="9:29" x14ac:dyDescent="0.25">
      <c r="I97" s="222"/>
      <c r="J97" s="222"/>
      <c r="K97" s="222"/>
      <c r="L97" s="222"/>
      <c r="M97" s="222"/>
      <c r="N97" s="222"/>
      <c r="O97" s="222"/>
      <c r="P97" s="222"/>
      <c r="Q97" s="222"/>
      <c r="R97" s="222"/>
      <c r="S97" s="222"/>
      <c r="T97" s="222"/>
      <c r="U97" s="222"/>
      <c r="V97" s="222"/>
      <c r="W97" s="222"/>
      <c r="X97" s="222"/>
      <c r="Y97" s="222"/>
      <c r="Z97" s="222"/>
      <c r="AA97" s="222"/>
      <c r="AB97" s="222"/>
      <c r="AC97" s="222"/>
    </row>
    <row r="98" spans="9:29" x14ac:dyDescent="0.25">
      <c r="I98" s="222"/>
      <c r="J98" s="222"/>
      <c r="K98" s="222"/>
      <c r="L98" s="222"/>
      <c r="M98" s="222"/>
      <c r="N98" s="222"/>
      <c r="O98" s="222"/>
      <c r="P98" s="222"/>
      <c r="Q98" s="222"/>
      <c r="R98" s="222"/>
      <c r="S98" s="222"/>
      <c r="T98" s="222"/>
      <c r="U98" s="222"/>
      <c r="V98" s="222"/>
      <c r="W98" s="222"/>
      <c r="X98" s="222"/>
      <c r="Y98" s="222"/>
      <c r="Z98" s="222"/>
      <c r="AA98" s="222"/>
      <c r="AB98" s="222"/>
      <c r="AC98" s="222"/>
    </row>
    <row r="99" spans="9:29" x14ac:dyDescent="0.25">
      <c r="I99" s="222"/>
      <c r="J99" s="222"/>
      <c r="K99" s="222"/>
      <c r="L99" s="222"/>
      <c r="M99" s="222"/>
      <c r="N99" s="222"/>
      <c r="O99" s="222"/>
      <c r="P99" s="222"/>
      <c r="Q99" s="222"/>
      <c r="R99" s="222"/>
      <c r="S99" s="222"/>
      <c r="T99" s="222"/>
      <c r="U99" s="222"/>
      <c r="V99" s="222"/>
      <c r="W99" s="222"/>
      <c r="X99" s="222"/>
      <c r="Y99" s="222"/>
      <c r="Z99" s="222"/>
      <c r="AA99" s="222"/>
      <c r="AB99" s="222"/>
      <c r="AC99" s="222"/>
    </row>
    <row r="100" spans="9:29" x14ac:dyDescent="0.25">
      <c r="I100" s="222"/>
      <c r="J100" s="222"/>
      <c r="K100" s="222"/>
      <c r="L100" s="222"/>
      <c r="M100" s="222"/>
      <c r="N100" s="222"/>
      <c r="O100" s="222"/>
      <c r="P100" s="222"/>
      <c r="Q100" s="222"/>
      <c r="R100" s="222"/>
      <c r="S100" s="222"/>
      <c r="T100" s="222"/>
      <c r="U100" s="222"/>
      <c r="V100" s="222"/>
      <c r="W100" s="222"/>
      <c r="X100" s="222"/>
      <c r="Y100" s="222"/>
      <c r="Z100" s="222"/>
      <c r="AA100" s="222"/>
      <c r="AB100" s="222"/>
      <c r="AC100" s="222"/>
    </row>
    <row r="101" spans="9:29" x14ac:dyDescent="0.25">
      <c r="I101" s="222"/>
      <c r="J101" s="222"/>
      <c r="K101" s="222"/>
      <c r="L101" s="222"/>
      <c r="M101" s="222"/>
      <c r="N101" s="222"/>
      <c r="O101" s="222"/>
      <c r="P101" s="222"/>
      <c r="Q101" s="222"/>
      <c r="R101" s="222"/>
      <c r="S101" s="222"/>
      <c r="T101" s="222"/>
      <c r="U101" s="222"/>
      <c r="V101" s="222"/>
      <c r="W101" s="222"/>
      <c r="X101" s="222"/>
      <c r="Y101" s="222"/>
      <c r="Z101" s="222"/>
      <c r="AA101" s="222"/>
      <c r="AB101" s="222"/>
      <c r="AC101" s="222"/>
    </row>
    <row r="102" spans="9:29" x14ac:dyDescent="0.25">
      <c r="I102" s="222"/>
      <c r="J102" s="222"/>
      <c r="K102" s="222"/>
      <c r="L102" s="222"/>
      <c r="M102" s="222"/>
      <c r="N102" s="222"/>
      <c r="O102" s="222"/>
      <c r="P102" s="222"/>
      <c r="Q102" s="222"/>
      <c r="R102" s="222"/>
      <c r="S102" s="222"/>
      <c r="T102" s="222"/>
      <c r="U102" s="222"/>
      <c r="V102" s="222"/>
      <c r="W102" s="222"/>
      <c r="X102" s="222"/>
      <c r="Y102" s="222"/>
      <c r="Z102" s="222"/>
      <c r="AA102" s="222"/>
      <c r="AB102" s="222"/>
      <c r="AC102" s="222"/>
    </row>
    <row r="103" spans="9:29" x14ac:dyDescent="0.25">
      <c r="I103" s="222"/>
      <c r="J103" s="222"/>
      <c r="K103" s="222"/>
      <c r="L103" s="222"/>
      <c r="M103" s="222"/>
      <c r="N103" s="222"/>
      <c r="O103" s="222"/>
      <c r="P103" s="222"/>
      <c r="Q103" s="222"/>
      <c r="R103" s="222"/>
      <c r="S103" s="222"/>
      <c r="T103" s="222"/>
      <c r="U103" s="222"/>
      <c r="V103" s="222"/>
      <c r="W103" s="222"/>
      <c r="X103" s="222"/>
      <c r="Y103" s="222"/>
      <c r="Z103" s="222"/>
      <c r="AA103" s="222"/>
      <c r="AB103" s="222"/>
      <c r="AC103" s="222"/>
    </row>
    <row r="104" spans="9:29" x14ac:dyDescent="0.25">
      <c r="I104" s="222"/>
      <c r="J104" s="222"/>
      <c r="K104" s="222"/>
      <c r="L104" s="222"/>
      <c r="M104" s="222"/>
      <c r="N104" s="222"/>
      <c r="O104" s="222"/>
      <c r="P104" s="222"/>
      <c r="Q104" s="222"/>
      <c r="R104" s="222"/>
      <c r="S104" s="222"/>
      <c r="T104" s="222"/>
      <c r="U104" s="222"/>
      <c r="V104" s="222"/>
      <c r="W104" s="222"/>
      <c r="X104" s="222"/>
      <c r="Y104" s="222"/>
      <c r="Z104" s="222"/>
      <c r="AA104" s="222"/>
      <c r="AB104" s="222"/>
      <c r="AC104" s="222"/>
    </row>
    <row r="105" spans="9:29" x14ac:dyDescent="0.25">
      <c r="I105" s="222"/>
      <c r="J105" s="222"/>
      <c r="K105" s="222"/>
      <c r="L105" s="222"/>
      <c r="M105" s="222"/>
      <c r="N105" s="222"/>
      <c r="O105" s="222"/>
      <c r="P105" s="222"/>
      <c r="Q105" s="222"/>
      <c r="R105" s="222"/>
      <c r="S105" s="222"/>
      <c r="T105" s="222"/>
      <c r="U105" s="222"/>
      <c r="V105" s="222"/>
      <c r="W105" s="222"/>
      <c r="X105" s="222"/>
      <c r="Y105" s="222"/>
      <c r="Z105" s="222"/>
      <c r="AA105" s="222"/>
      <c r="AB105" s="222"/>
      <c r="AC105" s="222"/>
    </row>
    <row r="106" spans="9:29" x14ac:dyDescent="0.25">
      <c r="I106" s="222"/>
      <c r="J106" s="222"/>
      <c r="K106" s="222"/>
      <c r="L106" s="222"/>
      <c r="M106" s="222"/>
      <c r="N106" s="222"/>
      <c r="O106" s="222"/>
      <c r="P106" s="222"/>
      <c r="Q106" s="222"/>
      <c r="R106" s="222"/>
      <c r="S106" s="222"/>
      <c r="T106" s="222"/>
      <c r="U106" s="222"/>
      <c r="V106" s="222"/>
      <c r="W106" s="222"/>
      <c r="X106" s="222"/>
      <c r="Y106" s="222"/>
      <c r="Z106" s="222"/>
      <c r="AA106" s="222"/>
      <c r="AB106" s="222"/>
      <c r="AC106" s="222"/>
    </row>
    <row r="107" spans="9:29" x14ac:dyDescent="0.25">
      <c r="I107" s="222"/>
      <c r="J107" s="222"/>
      <c r="K107" s="222"/>
      <c r="L107" s="222"/>
      <c r="M107" s="222"/>
      <c r="N107" s="222"/>
      <c r="O107" s="222"/>
      <c r="P107" s="222"/>
      <c r="Q107" s="222"/>
      <c r="R107" s="222"/>
      <c r="S107" s="222"/>
      <c r="T107" s="222"/>
      <c r="U107" s="222"/>
      <c r="V107" s="222"/>
      <c r="W107" s="222"/>
      <c r="X107" s="222"/>
      <c r="Y107" s="222"/>
      <c r="Z107" s="222"/>
      <c r="AA107" s="222"/>
      <c r="AB107" s="222"/>
      <c r="AC107" s="222"/>
    </row>
    <row r="108" spans="9:29" x14ac:dyDescent="0.25">
      <c r="I108" s="222"/>
      <c r="J108" s="222"/>
      <c r="K108" s="222"/>
      <c r="L108" s="222"/>
      <c r="M108" s="222"/>
      <c r="N108" s="222"/>
      <c r="O108" s="222"/>
      <c r="P108" s="222"/>
      <c r="Q108" s="222"/>
      <c r="R108" s="222"/>
      <c r="S108" s="222"/>
      <c r="T108" s="222"/>
      <c r="U108" s="222"/>
      <c r="V108" s="222"/>
      <c r="W108" s="222"/>
      <c r="X108" s="222"/>
      <c r="Y108" s="222"/>
      <c r="Z108" s="222"/>
      <c r="AA108" s="222"/>
      <c r="AB108" s="222"/>
      <c r="AC108" s="222"/>
    </row>
    <row r="109" spans="9:29" x14ac:dyDescent="0.25">
      <c r="I109" s="222"/>
      <c r="J109" s="222"/>
      <c r="K109" s="222"/>
      <c r="L109" s="222"/>
      <c r="M109" s="222"/>
      <c r="N109" s="222"/>
      <c r="O109" s="222"/>
      <c r="P109" s="222"/>
      <c r="Q109" s="222"/>
      <c r="R109" s="222"/>
      <c r="S109" s="222"/>
      <c r="T109" s="222"/>
      <c r="U109" s="222"/>
      <c r="V109" s="222"/>
      <c r="W109" s="222"/>
      <c r="X109" s="222"/>
      <c r="Y109" s="222"/>
      <c r="Z109" s="222"/>
      <c r="AA109" s="222"/>
      <c r="AB109" s="222"/>
      <c r="AC109" s="222"/>
    </row>
    <row r="110" spans="9:29" x14ac:dyDescent="0.25">
      <c r="I110" s="222"/>
      <c r="J110" s="222"/>
      <c r="K110" s="222"/>
      <c r="L110" s="222"/>
      <c r="M110" s="222"/>
      <c r="N110" s="222"/>
      <c r="O110" s="222"/>
      <c r="P110" s="222"/>
      <c r="Q110" s="222"/>
      <c r="R110" s="222"/>
      <c r="S110" s="222"/>
      <c r="T110" s="222"/>
      <c r="U110" s="222"/>
      <c r="V110" s="222"/>
      <c r="W110" s="222"/>
      <c r="X110" s="222"/>
      <c r="Y110" s="222"/>
      <c r="Z110" s="222"/>
      <c r="AA110" s="222"/>
      <c r="AB110" s="222"/>
      <c r="AC110" s="222"/>
    </row>
    <row r="111" spans="9:29" x14ac:dyDescent="0.25">
      <c r="I111" s="222"/>
      <c r="J111" s="222"/>
      <c r="K111" s="222"/>
      <c r="L111" s="222"/>
      <c r="M111" s="222"/>
      <c r="N111" s="222"/>
      <c r="O111" s="222"/>
      <c r="P111" s="222"/>
      <c r="Q111" s="222"/>
      <c r="R111" s="222"/>
      <c r="S111" s="222"/>
      <c r="T111" s="222"/>
      <c r="U111" s="222"/>
      <c r="V111" s="222"/>
      <c r="W111" s="222"/>
      <c r="X111" s="222"/>
      <c r="Y111" s="222"/>
      <c r="Z111" s="222"/>
      <c r="AA111" s="222"/>
      <c r="AB111" s="222"/>
      <c r="AC111" s="222"/>
    </row>
    <row r="112" spans="9:29" x14ac:dyDescent="0.25">
      <c r="I112" s="222"/>
      <c r="J112" s="222"/>
      <c r="K112" s="222"/>
      <c r="L112" s="222"/>
      <c r="M112" s="222"/>
      <c r="N112" s="222"/>
      <c r="O112" s="222"/>
      <c r="P112" s="222"/>
      <c r="Q112" s="222"/>
      <c r="R112" s="222"/>
      <c r="S112" s="222"/>
      <c r="T112" s="222"/>
      <c r="U112" s="222"/>
      <c r="V112" s="222"/>
      <c r="W112" s="222"/>
      <c r="X112" s="222"/>
      <c r="Y112" s="222"/>
      <c r="Z112" s="222"/>
      <c r="AA112" s="222"/>
      <c r="AB112" s="222"/>
      <c r="AC112" s="222"/>
    </row>
    <row r="113" spans="9:29" x14ac:dyDescent="0.25">
      <c r="I113" s="222"/>
      <c r="J113" s="222"/>
      <c r="K113" s="222"/>
      <c r="L113" s="222"/>
      <c r="M113" s="222"/>
      <c r="N113" s="222"/>
      <c r="O113" s="222"/>
      <c r="P113" s="222"/>
      <c r="Q113" s="222"/>
      <c r="R113" s="222"/>
      <c r="S113" s="222"/>
      <c r="T113" s="222"/>
      <c r="U113" s="222"/>
      <c r="V113" s="222"/>
      <c r="W113" s="222"/>
      <c r="X113" s="222"/>
      <c r="Y113" s="222"/>
      <c r="Z113" s="222"/>
      <c r="AA113" s="222"/>
      <c r="AB113" s="222"/>
      <c r="AC113" s="222"/>
    </row>
    <row r="114" spans="9:29" x14ac:dyDescent="0.25">
      <c r="I114" s="222"/>
      <c r="J114" s="222"/>
      <c r="K114" s="222"/>
      <c r="L114" s="222"/>
      <c r="M114" s="222"/>
      <c r="N114" s="222"/>
      <c r="O114" s="222"/>
      <c r="P114" s="222"/>
      <c r="Q114" s="222"/>
      <c r="R114" s="222"/>
      <c r="S114" s="222"/>
      <c r="T114" s="222"/>
      <c r="U114" s="222"/>
      <c r="V114" s="222"/>
      <c r="W114" s="222"/>
      <c r="X114" s="222"/>
      <c r="Y114" s="222"/>
      <c r="Z114" s="222"/>
      <c r="AA114" s="222"/>
      <c r="AB114" s="222"/>
      <c r="AC114" s="222"/>
    </row>
    <row r="115" spans="9:29" x14ac:dyDescent="0.25">
      <c r="I115" s="222"/>
      <c r="J115" s="222"/>
      <c r="K115" s="222"/>
      <c r="L115" s="222"/>
      <c r="M115" s="222"/>
      <c r="N115" s="222"/>
      <c r="O115" s="222"/>
      <c r="P115" s="222"/>
      <c r="Q115" s="222"/>
      <c r="R115" s="222"/>
      <c r="S115" s="222"/>
      <c r="T115" s="222"/>
      <c r="U115" s="222"/>
      <c r="V115" s="222"/>
      <c r="W115" s="222"/>
      <c r="X115" s="222"/>
      <c r="Y115" s="222"/>
      <c r="Z115" s="222"/>
      <c r="AA115" s="222"/>
      <c r="AB115" s="222"/>
      <c r="AC115" s="222"/>
    </row>
    <row r="116" spans="9:29" x14ac:dyDescent="0.25">
      <c r="I116" s="222"/>
      <c r="J116" s="222"/>
      <c r="K116" s="222"/>
      <c r="L116" s="222"/>
      <c r="M116" s="222"/>
      <c r="N116" s="222"/>
      <c r="O116" s="222"/>
      <c r="P116" s="222"/>
      <c r="Q116" s="222"/>
      <c r="R116" s="222"/>
      <c r="S116" s="222"/>
      <c r="T116" s="222"/>
      <c r="U116" s="222"/>
      <c r="V116" s="222"/>
      <c r="W116" s="222"/>
      <c r="X116" s="222"/>
      <c r="Y116" s="222"/>
      <c r="Z116" s="222"/>
      <c r="AA116" s="222"/>
      <c r="AB116" s="222"/>
      <c r="AC116" s="222"/>
    </row>
    <row r="117" spans="9:29" x14ac:dyDescent="0.25">
      <c r="I117" s="222"/>
      <c r="J117" s="222"/>
      <c r="K117" s="222"/>
      <c r="L117" s="222"/>
      <c r="M117" s="222"/>
      <c r="N117" s="222"/>
      <c r="O117" s="222"/>
      <c r="P117" s="222"/>
      <c r="Q117" s="222"/>
      <c r="R117" s="222"/>
      <c r="S117" s="222"/>
      <c r="T117" s="222"/>
      <c r="U117" s="222"/>
      <c r="V117" s="222"/>
      <c r="W117" s="222"/>
      <c r="X117" s="222"/>
      <c r="Y117" s="222"/>
      <c r="Z117" s="222"/>
      <c r="AA117" s="222"/>
      <c r="AB117" s="222"/>
      <c r="AC117" s="222"/>
    </row>
    <row r="118" spans="9:29" x14ac:dyDescent="0.25">
      <c r="I118" s="222"/>
      <c r="J118" s="222"/>
      <c r="K118" s="222"/>
      <c r="L118" s="222"/>
      <c r="M118" s="222"/>
      <c r="N118" s="222"/>
      <c r="O118" s="222"/>
      <c r="P118" s="222"/>
      <c r="Q118" s="222"/>
      <c r="R118" s="222"/>
      <c r="S118" s="222"/>
      <c r="T118" s="222"/>
      <c r="U118" s="222"/>
      <c r="V118" s="222"/>
      <c r="W118" s="222"/>
      <c r="X118" s="222"/>
      <c r="Y118" s="222"/>
      <c r="Z118" s="222"/>
      <c r="AA118" s="222"/>
      <c r="AB118" s="222"/>
      <c r="AC118" s="222"/>
    </row>
    <row r="119" spans="9:29" x14ac:dyDescent="0.25">
      <c r="I119" s="222"/>
      <c r="J119" s="222"/>
      <c r="K119" s="222"/>
      <c r="L119" s="222"/>
      <c r="M119" s="222"/>
      <c r="N119" s="222"/>
      <c r="O119" s="222"/>
      <c r="P119" s="222"/>
      <c r="Q119" s="222"/>
      <c r="R119" s="222"/>
      <c r="S119" s="222"/>
      <c r="T119" s="222"/>
      <c r="U119" s="222"/>
      <c r="V119" s="222"/>
      <c r="W119" s="222"/>
      <c r="X119" s="222"/>
      <c r="Y119" s="222"/>
      <c r="Z119" s="222"/>
      <c r="AA119" s="222"/>
      <c r="AB119" s="222"/>
      <c r="AC119" s="222"/>
    </row>
    <row r="120" spans="9:29" x14ac:dyDescent="0.25">
      <c r="I120" s="222"/>
      <c r="J120" s="222"/>
      <c r="K120" s="222"/>
      <c r="L120" s="222"/>
      <c r="M120" s="222"/>
      <c r="N120" s="222"/>
      <c r="O120" s="222"/>
      <c r="P120" s="222"/>
      <c r="Q120" s="222"/>
      <c r="R120" s="222"/>
      <c r="S120" s="222"/>
      <c r="T120" s="222"/>
      <c r="U120" s="222"/>
      <c r="V120" s="222"/>
      <c r="W120" s="222"/>
      <c r="X120" s="222"/>
      <c r="Y120" s="222"/>
      <c r="Z120" s="222"/>
      <c r="AA120" s="222"/>
      <c r="AB120" s="222"/>
      <c r="AC120" s="222"/>
    </row>
    <row r="121" spans="9:29" x14ac:dyDescent="0.25">
      <c r="I121" s="222"/>
      <c r="J121" s="222"/>
      <c r="K121" s="222"/>
      <c r="L121" s="222"/>
      <c r="M121" s="222"/>
      <c r="N121" s="222"/>
      <c r="O121" s="222"/>
      <c r="P121" s="222"/>
      <c r="Q121" s="222"/>
      <c r="R121" s="222"/>
      <c r="S121" s="222"/>
      <c r="T121" s="222"/>
      <c r="U121" s="222"/>
      <c r="V121" s="222"/>
      <c r="W121" s="222"/>
      <c r="X121" s="222"/>
      <c r="Y121" s="222"/>
      <c r="Z121" s="222"/>
      <c r="AA121" s="222"/>
      <c r="AB121" s="222"/>
      <c r="AC121" s="222"/>
    </row>
    <row r="122" spans="9:29" x14ac:dyDescent="0.25">
      <c r="I122" s="222"/>
      <c r="J122" s="222"/>
      <c r="K122" s="222"/>
      <c r="L122" s="222"/>
      <c r="M122" s="222"/>
      <c r="N122" s="222"/>
      <c r="O122" s="222"/>
      <c r="P122" s="222"/>
      <c r="Q122" s="222"/>
      <c r="R122" s="222"/>
      <c r="S122" s="222"/>
      <c r="T122" s="222"/>
      <c r="U122" s="222"/>
      <c r="V122" s="222"/>
      <c r="W122" s="222"/>
      <c r="X122" s="222"/>
      <c r="Y122" s="222"/>
      <c r="Z122" s="222"/>
      <c r="AA122" s="222"/>
      <c r="AB122" s="222"/>
      <c r="AC122" s="222"/>
    </row>
    <row r="123" spans="9:29" x14ac:dyDescent="0.25">
      <c r="I123" s="222"/>
      <c r="J123" s="222"/>
      <c r="K123" s="222"/>
      <c r="L123" s="222"/>
      <c r="M123" s="222"/>
      <c r="N123" s="222"/>
      <c r="O123" s="222"/>
      <c r="P123" s="222"/>
      <c r="Q123" s="222"/>
      <c r="R123" s="222"/>
      <c r="S123" s="222"/>
      <c r="T123" s="222"/>
      <c r="U123" s="222"/>
      <c r="V123" s="222"/>
      <c r="W123" s="222"/>
      <c r="X123" s="222"/>
      <c r="Y123" s="222"/>
      <c r="Z123" s="222"/>
      <c r="AA123" s="222"/>
      <c r="AB123" s="222"/>
      <c r="AC123" s="222"/>
    </row>
    <row r="124" spans="9:29" x14ac:dyDescent="0.25">
      <c r="I124" s="222"/>
      <c r="J124" s="222"/>
      <c r="K124" s="222"/>
      <c r="L124" s="222"/>
      <c r="M124" s="222"/>
      <c r="N124" s="222"/>
      <c r="O124" s="222"/>
      <c r="P124" s="222"/>
      <c r="Q124" s="222"/>
      <c r="R124" s="222"/>
      <c r="S124" s="222"/>
      <c r="T124" s="222"/>
      <c r="U124" s="222"/>
      <c r="V124" s="222"/>
      <c r="W124" s="222"/>
      <c r="X124" s="222"/>
      <c r="Y124" s="222"/>
      <c r="Z124" s="222"/>
      <c r="AA124" s="222"/>
      <c r="AB124" s="222"/>
      <c r="AC124" s="222"/>
    </row>
    <row r="125" spans="9:29" x14ac:dyDescent="0.25">
      <c r="I125" s="222"/>
      <c r="J125" s="222"/>
      <c r="K125" s="222"/>
      <c r="L125" s="222"/>
      <c r="M125" s="222"/>
      <c r="N125" s="222"/>
      <c r="O125" s="222"/>
      <c r="P125" s="222"/>
      <c r="Q125" s="222"/>
      <c r="R125" s="222"/>
      <c r="S125" s="222"/>
      <c r="T125" s="222"/>
      <c r="U125" s="222"/>
      <c r="V125" s="222"/>
      <c r="W125" s="222"/>
      <c r="X125" s="222"/>
      <c r="Y125" s="222"/>
      <c r="Z125" s="222"/>
      <c r="AA125" s="222"/>
      <c r="AB125" s="222"/>
      <c r="AC125" s="222"/>
    </row>
    <row r="126" spans="9:29" x14ac:dyDescent="0.25">
      <c r="I126" s="222"/>
      <c r="J126" s="222"/>
      <c r="K126" s="222"/>
      <c r="L126" s="222"/>
      <c r="M126" s="222"/>
      <c r="N126" s="222"/>
      <c r="O126" s="222"/>
      <c r="P126" s="222"/>
      <c r="Q126" s="222"/>
      <c r="R126" s="222"/>
      <c r="S126" s="222"/>
      <c r="T126" s="222"/>
      <c r="U126" s="222"/>
      <c r="V126" s="222"/>
      <c r="W126" s="222"/>
      <c r="X126" s="222"/>
      <c r="Y126" s="222"/>
      <c r="Z126" s="222"/>
      <c r="AA126" s="222"/>
      <c r="AB126" s="222"/>
      <c r="AC126" s="222"/>
    </row>
    <row r="127" spans="9:29" x14ac:dyDescent="0.25">
      <c r="I127" s="222"/>
      <c r="J127" s="222"/>
      <c r="K127" s="222"/>
      <c r="L127" s="222"/>
      <c r="M127" s="222"/>
      <c r="N127" s="222"/>
      <c r="O127" s="222"/>
      <c r="P127" s="222"/>
      <c r="Q127" s="222"/>
      <c r="R127" s="222"/>
      <c r="S127" s="222"/>
      <c r="T127" s="222"/>
      <c r="U127" s="222"/>
      <c r="V127" s="222"/>
      <c r="W127" s="222"/>
      <c r="X127" s="222"/>
      <c r="Y127" s="222"/>
      <c r="Z127" s="222"/>
      <c r="AA127" s="222"/>
      <c r="AB127" s="222"/>
      <c r="AC127" s="222"/>
    </row>
    <row r="128" spans="9:29" x14ac:dyDescent="0.25">
      <c r="I128" s="222"/>
      <c r="J128" s="222"/>
      <c r="K128" s="222"/>
      <c r="L128" s="222"/>
      <c r="M128" s="222"/>
      <c r="N128" s="222"/>
      <c r="O128" s="222"/>
      <c r="P128" s="222"/>
      <c r="Q128" s="222"/>
      <c r="R128" s="222"/>
      <c r="S128" s="222"/>
      <c r="T128" s="222"/>
      <c r="U128" s="222"/>
      <c r="V128" s="222"/>
      <c r="W128" s="222"/>
      <c r="X128" s="222"/>
      <c r="Y128" s="222"/>
      <c r="Z128" s="222"/>
      <c r="AA128" s="222"/>
      <c r="AB128" s="222"/>
      <c r="AC128" s="222"/>
    </row>
    <row r="129" spans="9:29" x14ac:dyDescent="0.25">
      <c r="I129" s="222"/>
      <c r="J129" s="222"/>
      <c r="K129" s="222"/>
      <c r="L129" s="222"/>
      <c r="M129" s="222"/>
      <c r="N129" s="222"/>
      <c r="O129" s="222"/>
      <c r="P129" s="222"/>
      <c r="Q129" s="222"/>
      <c r="R129" s="222"/>
      <c r="S129" s="222"/>
      <c r="T129" s="222"/>
      <c r="U129" s="222"/>
      <c r="V129" s="222"/>
      <c r="W129" s="222"/>
      <c r="X129" s="222"/>
      <c r="Y129" s="222"/>
      <c r="Z129" s="222"/>
      <c r="AA129" s="222"/>
      <c r="AB129" s="222"/>
      <c r="AC129" s="222"/>
    </row>
    <row r="130" spans="9:29" x14ac:dyDescent="0.25">
      <c r="I130" s="222"/>
      <c r="J130" s="222"/>
      <c r="K130" s="222"/>
      <c r="L130" s="222"/>
      <c r="M130" s="222"/>
      <c r="N130" s="222"/>
      <c r="O130" s="222"/>
      <c r="P130" s="222"/>
      <c r="Q130" s="222"/>
      <c r="R130" s="222"/>
      <c r="S130" s="222"/>
      <c r="T130" s="222"/>
      <c r="U130" s="222"/>
      <c r="V130" s="222"/>
      <c r="W130" s="222"/>
      <c r="X130" s="222"/>
      <c r="Y130" s="222"/>
      <c r="Z130" s="222"/>
      <c r="AA130" s="222"/>
      <c r="AB130" s="222"/>
      <c r="AC130" s="222"/>
    </row>
    <row r="131" spans="9:29" x14ac:dyDescent="0.25">
      <c r="I131" s="222"/>
      <c r="J131" s="222"/>
      <c r="K131" s="222"/>
      <c r="L131" s="222"/>
      <c r="M131" s="222"/>
      <c r="N131" s="222"/>
      <c r="O131" s="222"/>
      <c r="P131" s="222"/>
      <c r="Q131" s="222"/>
      <c r="R131" s="222"/>
      <c r="S131" s="222"/>
      <c r="T131" s="222"/>
      <c r="U131" s="222"/>
      <c r="V131" s="222"/>
      <c r="W131" s="222"/>
      <c r="X131" s="222"/>
      <c r="Y131" s="222"/>
      <c r="Z131" s="222"/>
      <c r="AA131" s="222"/>
      <c r="AB131" s="222"/>
      <c r="AC131" s="222"/>
    </row>
    <row r="132" spans="9:29" x14ac:dyDescent="0.25">
      <c r="I132" s="222"/>
      <c r="J132" s="222"/>
      <c r="K132" s="222"/>
      <c r="L132" s="222"/>
      <c r="M132" s="222"/>
      <c r="N132" s="222"/>
      <c r="O132" s="222"/>
      <c r="P132" s="222"/>
      <c r="Q132" s="222"/>
      <c r="R132" s="222"/>
      <c r="S132" s="222"/>
      <c r="T132" s="222"/>
      <c r="U132" s="222"/>
      <c r="V132" s="222"/>
      <c r="W132" s="222"/>
      <c r="X132" s="222"/>
      <c r="Y132" s="222"/>
      <c r="Z132" s="222"/>
      <c r="AA132" s="222"/>
      <c r="AB132" s="222"/>
      <c r="AC132" s="222"/>
    </row>
    <row r="133" spans="9:29" x14ac:dyDescent="0.25">
      <c r="I133" s="222"/>
      <c r="J133" s="222"/>
      <c r="K133" s="222"/>
      <c r="L133" s="222"/>
      <c r="M133" s="222"/>
      <c r="N133" s="222"/>
      <c r="O133" s="222"/>
      <c r="P133" s="222"/>
      <c r="Q133" s="222"/>
      <c r="R133" s="222"/>
      <c r="S133" s="222"/>
      <c r="T133" s="222"/>
      <c r="U133" s="222"/>
      <c r="V133" s="222"/>
      <c r="W133" s="222"/>
      <c r="X133" s="222"/>
      <c r="Y133" s="222"/>
      <c r="Z133" s="222"/>
      <c r="AA133" s="222"/>
      <c r="AB133" s="222"/>
      <c r="AC133" s="222"/>
    </row>
    <row r="134" spans="9:29" x14ac:dyDescent="0.25">
      <c r="I134" s="222"/>
      <c r="J134" s="222"/>
      <c r="K134" s="222"/>
      <c r="L134" s="222"/>
      <c r="M134" s="222"/>
      <c r="N134" s="222"/>
      <c r="O134" s="222"/>
      <c r="P134" s="222"/>
      <c r="Q134" s="222"/>
      <c r="R134" s="222"/>
      <c r="S134" s="222"/>
      <c r="T134" s="222"/>
      <c r="U134" s="222"/>
      <c r="V134" s="222"/>
      <c r="W134" s="222"/>
      <c r="X134" s="222"/>
      <c r="Y134" s="222"/>
      <c r="Z134" s="222"/>
      <c r="AA134" s="222"/>
      <c r="AB134" s="222"/>
      <c r="AC134" s="222"/>
    </row>
    <row r="135" spans="9:29" x14ac:dyDescent="0.25">
      <c r="I135" s="222"/>
      <c r="J135" s="222"/>
      <c r="K135" s="222"/>
      <c r="L135" s="222"/>
      <c r="M135" s="222"/>
      <c r="N135" s="222"/>
      <c r="O135" s="222"/>
      <c r="P135" s="222"/>
      <c r="Q135" s="222"/>
      <c r="R135" s="222"/>
      <c r="S135" s="222"/>
      <c r="T135" s="222"/>
      <c r="U135" s="222"/>
      <c r="V135" s="222"/>
      <c r="W135" s="222"/>
      <c r="X135" s="222"/>
      <c r="Y135" s="222"/>
      <c r="Z135" s="222"/>
      <c r="AA135" s="222"/>
      <c r="AB135" s="222"/>
      <c r="AC135" s="222"/>
    </row>
    <row r="136" spans="9:29" x14ac:dyDescent="0.25">
      <c r="I136" s="222"/>
      <c r="J136" s="222"/>
      <c r="K136" s="222"/>
      <c r="L136" s="222"/>
      <c r="M136" s="222"/>
      <c r="N136" s="222"/>
      <c r="O136" s="222"/>
      <c r="P136" s="222"/>
      <c r="Q136" s="222"/>
      <c r="R136" s="222"/>
      <c r="S136" s="222"/>
      <c r="T136" s="222"/>
      <c r="U136" s="222"/>
      <c r="V136" s="222"/>
      <c r="W136" s="222"/>
      <c r="X136" s="222"/>
      <c r="Y136" s="222"/>
      <c r="Z136" s="222"/>
      <c r="AA136" s="222"/>
      <c r="AB136" s="222"/>
      <c r="AC136" s="222"/>
    </row>
    <row r="137" spans="9:29" x14ac:dyDescent="0.25">
      <c r="I137" s="222"/>
      <c r="J137" s="222"/>
      <c r="K137" s="222"/>
      <c r="L137" s="222"/>
      <c r="M137" s="222"/>
      <c r="N137" s="222"/>
      <c r="O137" s="222"/>
      <c r="P137" s="222"/>
      <c r="Q137" s="222"/>
      <c r="R137" s="222"/>
      <c r="S137" s="222"/>
      <c r="T137" s="222"/>
      <c r="U137" s="222"/>
      <c r="V137" s="222"/>
      <c r="W137" s="222"/>
      <c r="X137" s="222"/>
      <c r="Y137" s="222"/>
      <c r="Z137" s="222"/>
      <c r="AA137" s="222"/>
      <c r="AB137" s="222"/>
      <c r="AC137" s="222"/>
    </row>
    <row r="138" spans="9:29" x14ac:dyDescent="0.25">
      <c r="I138" s="222"/>
      <c r="J138" s="222"/>
      <c r="K138" s="222"/>
      <c r="L138" s="222"/>
      <c r="M138" s="222"/>
      <c r="N138" s="222"/>
      <c r="O138" s="222"/>
      <c r="P138" s="222"/>
      <c r="Q138" s="222"/>
      <c r="R138" s="222"/>
      <c r="S138" s="222"/>
      <c r="T138" s="222"/>
      <c r="U138" s="222"/>
      <c r="V138" s="222"/>
      <c r="W138" s="222"/>
      <c r="X138" s="222"/>
      <c r="Y138" s="222"/>
      <c r="Z138" s="222"/>
      <c r="AA138" s="222"/>
      <c r="AB138" s="222"/>
      <c r="AC138" s="222"/>
    </row>
    <row r="139" spans="9:29" x14ac:dyDescent="0.25">
      <c r="I139" s="222"/>
      <c r="J139" s="222"/>
      <c r="K139" s="222"/>
      <c r="L139" s="222"/>
      <c r="M139" s="222"/>
      <c r="N139" s="222"/>
      <c r="O139" s="222"/>
      <c r="P139" s="222"/>
      <c r="Q139" s="222"/>
      <c r="R139" s="222"/>
      <c r="S139" s="222"/>
      <c r="T139" s="222"/>
      <c r="U139" s="222"/>
      <c r="V139" s="222"/>
      <c r="W139" s="222"/>
      <c r="X139" s="222"/>
      <c r="Y139" s="222"/>
      <c r="Z139" s="222"/>
      <c r="AA139" s="222"/>
      <c r="AB139" s="222"/>
      <c r="AC139" s="222"/>
    </row>
    <row r="140" spans="9:29" x14ac:dyDescent="0.25">
      <c r="I140" s="222"/>
      <c r="J140" s="222"/>
      <c r="K140" s="222"/>
      <c r="L140" s="222"/>
      <c r="M140" s="222"/>
      <c r="N140" s="222"/>
      <c r="O140" s="222"/>
      <c r="P140" s="222"/>
      <c r="Q140" s="222"/>
      <c r="R140" s="222"/>
      <c r="S140" s="222"/>
      <c r="T140" s="222"/>
      <c r="U140" s="222"/>
      <c r="V140" s="222"/>
      <c r="W140" s="222"/>
      <c r="X140" s="222"/>
      <c r="Y140" s="222"/>
      <c r="Z140" s="222"/>
      <c r="AA140" s="222"/>
      <c r="AB140" s="222"/>
      <c r="AC140" s="222"/>
    </row>
    <row r="141" spans="9:29" x14ac:dyDescent="0.25">
      <c r="I141" s="222"/>
      <c r="J141" s="222"/>
      <c r="K141" s="222"/>
      <c r="L141" s="222"/>
      <c r="M141" s="222"/>
      <c r="N141" s="222"/>
      <c r="O141" s="222"/>
      <c r="P141" s="222"/>
      <c r="Q141" s="222"/>
      <c r="R141" s="222"/>
      <c r="S141" s="222"/>
      <c r="T141" s="222"/>
      <c r="U141" s="222"/>
      <c r="V141" s="222"/>
      <c r="W141" s="222"/>
      <c r="X141" s="222"/>
      <c r="Y141" s="222"/>
      <c r="Z141" s="222"/>
      <c r="AA141" s="222"/>
      <c r="AB141" s="222"/>
      <c r="AC141" s="222"/>
    </row>
    <row r="142" spans="9:29" x14ac:dyDescent="0.25">
      <c r="I142" s="222"/>
      <c r="J142" s="222"/>
      <c r="K142" s="222"/>
      <c r="L142" s="222"/>
      <c r="M142" s="222"/>
      <c r="N142" s="222"/>
      <c r="O142" s="222"/>
      <c r="P142" s="222"/>
      <c r="Q142" s="222"/>
      <c r="R142" s="222"/>
      <c r="S142" s="222"/>
      <c r="T142" s="222"/>
      <c r="U142" s="222"/>
      <c r="V142" s="222"/>
      <c r="W142" s="222"/>
      <c r="X142" s="222"/>
      <c r="Y142" s="222"/>
      <c r="Z142" s="222"/>
      <c r="AA142" s="222"/>
      <c r="AB142" s="222"/>
      <c r="AC142" s="222"/>
    </row>
    <row r="143" spans="9:29" x14ac:dyDescent="0.25">
      <c r="I143" s="222"/>
      <c r="J143" s="222"/>
      <c r="K143" s="222"/>
      <c r="L143" s="222"/>
      <c r="M143" s="222"/>
      <c r="N143" s="222"/>
      <c r="O143" s="222"/>
      <c r="P143" s="222"/>
      <c r="Q143" s="222"/>
      <c r="R143" s="222"/>
      <c r="S143" s="222"/>
      <c r="T143" s="222"/>
      <c r="U143" s="222"/>
      <c r="V143" s="222"/>
      <c r="W143" s="222"/>
      <c r="X143" s="222"/>
      <c r="Y143" s="222"/>
      <c r="Z143" s="222"/>
      <c r="AA143" s="222"/>
      <c r="AB143" s="222"/>
      <c r="AC143" s="222"/>
    </row>
    <row r="144" spans="9:29" x14ac:dyDescent="0.25">
      <c r="I144" s="222"/>
      <c r="J144" s="222"/>
      <c r="K144" s="222"/>
      <c r="L144" s="222"/>
      <c r="M144" s="222"/>
      <c r="N144" s="222"/>
      <c r="O144" s="222"/>
      <c r="P144" s="222"/>
      <c r="Q144" s="222"/>
      <c r="R144" s="222"/>
      <c r="S144" s="222"/>
      <c r="T144" s="222"/>
      <c r="U144" s="222"/>
      <c r="V144" s="222"/>
      <c r="W144" s="222"/>
      <c r="X144" s="222"/>
      <c r="Y144" s="222"/>
      <c r="Z144" s="222"/>
      <c r="AA144" s="222"/>
      <c r="AB144" s="222"/>
      <c r="AC144" s="222"/>
    </row>
    <row r="145" spans="9:29" x14ac:dyDescent="0.25">
      <c r="I145" s="222"/>
      <c r="J145" s="222"/>
      <c r="K145" s="222"/>
      <c r="L145" s="222"/>
      <c r="M145" s="222"/>
      <c r="N145" s="222"/>
      <c r="O145" s="222"/>
      <c r="P145" s="222"/>
      <c r="Q145" s="222"/>
      <c r="R145" s="222"/>
      <c r="S145" s="222"/>
      <c r="T145" s="222"/>
      <c r="U145" s="222"/>
      <c r="V145" s="222"/>
      <c r="W145" s="222"/>
      <c r="X145" s="222"/>
      <c r="Y145" s="222"/>
      <c r="Z145" s="222"/>
      <c r="AA145" s="222"/>
      <c r="AB145" s="222"/>
      <c r="AC145" s="222"/>
    </row>
    <row r="146" spans="9:29" x14ac:dyDescent="0.25">
      <c r="I146" s="222"/>
      <c r="J146" s="222"/>
      <c r="K146" s="222"/>
      <c r="L146" s="222"/>
      <c r="M146" s="222"/>
      <c r="N146" s="222"/>
      <c r="O146" s="222"/>
      <c r="P146" s="222"/>
      <c r="Q146" s="222"/>
      <c r="R146" s="222"/>
      <c r="S146" s="222"/>
      <c r="T146" s="222"/>
      <c r="U146" s="222"/>
      <c r="V146" s="222"/>
      <c r="W146" s="222"/>
      <c r="X146" s="222"/>
      <c r="Y146" s="222"/>
      <c r="Z146" s="222"/>
      <c r="AA146" s="222"/>
      <c r="AB146" s="222"/>
      <c r="AC146" s="222"/>
    </row>
    <row r="147" spans="9:29" x14ac:dyDescent="0.25">
      <c r="I147" s="222"/>
      <c r="J147" s="222"/>
      <c r="K147" s="222"/>
      <c r="L147" s="222"/>
      <c r="M147" s="222"/>
      <c r="N147" s="222"/>
      <c r="O147" s="222"/>
      <c r="P147" s="222"/>
      <c r="Q147" s="222"/>
      <c r="R147" s="222"/>
      <c r="S147" s="222"/>
      <c r="T147" s="222"/>
      <c r="U147" s="222"/>
      <c r="V147" s="222"/>
      <c r="W147" s="222"/>
      <c r="X147" s="222"/>
      <c r="Y147" s="222"/>
      <c r="Z147" s="222"/>
      <c r="AA147" s="222"/>
      <c r="AB147" s="222"/>
      <c r="AC147" s="222"/>
    </row>
    <row r="148" spans="9:29" x14ac:dyDescent="0.25">
      <c r="I148" s="222"/>
      <c r="J148" s="222"/>
      <c r="K148" s="222"/>
      <c r="L148" s="222"/>
      <c r="M148" s="222"/>
      <c r="N148" s="222"/>
      <c r="O148" s="222"/>
      <c r="P148" s="222"/>
      <c r="Q148" s="222"/>
      <c r="R148" s="222"/>
      <c r="S148" s="222"/>
      <c r="T148" s="222"/>
      <c r="U148" s="222"/>
      <c r="V148" s="222"/>
      <c r="W148" s="222"/>
      <c r="X148" s="222"/>
      <c r="Y148" s="222"/>
      <c r="Z148" s="222"/>
      <c r="AA148" s="222"/>
      <c r="AB148" s="222"/>
      <c r="AC148" s="222"/>
    </row>
    <row r="149" spans="9:29" x14ac:dyDescent="0.25">
      <c r="I149" s="222"/>
      <c r="J149" s="222"/>
      <c r="K149" s="222"/>
      <c r="L149" s="222"/>
      <c r="M149" s="222"/>
      <c r="N149" s="222"/>
      <c r="O149" s="222"/>
      <c r="P149" s="222"/>
      <c r="Q149" s="222"/>
      <c r="R149" s="222"/>
      <c r="S149" s="222"/>
      <c r="T149" s="222"/>
      <c r="U149" s="222"/>
      <c r="V149" s="222"/>
      <c r="W149" s="222"/>
      <c r="X149" s="222"/>
      <c r="Y149" s="222"/>
      <c r="Z149" s="222"/>
      <c r="AA149" s="222"/>
      <c r="AB149" s="222"/>
      <c r="AC149" s="222"/>
    </row>
    <row r="150" spans="9:29" x14ac:dyDescent="0.25">
      <c r="I150" s="222"/>
      <c r="J150" s="222"/>
      <c r="K150" s="222"/>
      <c r="L150" s="222"/>
      <c r="M150" s="222"/>
      <c r="N150" s="222"/>
      <c r="O150" s="222"/>
      <c r="P150" s="222"/>
      <c r="Q150" s="222"/>
      <c r="R150" s="222"/>
      <c r="S150" s="222"/>
      <c r="T150" s="222"/>
      <c r="U150" s="222"/>
      <c r="V150" s="222"/>
      <c r="W150" s="222"/>
      <c r="X150" s="222"/>
      <c r="Y150" s="222"/>
      <c r="Z150" s="222"/>
      <c r="AA150" s="222"/>
      <c r="AB150" s="222"/>
      <c r="AC150" s="222"/>
    </row>
    <row r="151" spans="9:29" x14ac:dyDescent="0.25">
      <c r="I151" s="222"/>
      <c r="J151" s="222"/>
      <c r="K151" s="222"/>
      <c r="L151" s="222"/>
      <c r="M151" s="222"/>
      <c r="N151" s="222"/>
      <c r="O151" s="222"/>
      <c r="P151" s="222"/>
      <c r="Q151" s="222"/>
      <c r="R151" s="222"/>
      <c r="S151" s="222"/>
      <c r="T151" s="222"/>
      <c r="U151" s="222"/>
      <c r="V151" s="222"/>
      <c r="W151" s="222"/>
      <c r="X151" s="222"/>
      <c r="Y151" s="222"/>
      <c r="Z151" s="222"/>
      <c r="AA151" s="222"/>
      <c r="AB151" s="222"/>
      <c r="AC151" s="222"/>
    </row>
    <row r="152" spans="9:29" x14ac:dyDescent="0.25">
      <c r="I152" s="222"/>
      <c r="J152" s="222"/>
      <c r="K152" s="222"/>
      <c r="L152" s="222"/>
      <c r="M152" s="222"/>
      <c r="N152" s="222"/>
      <c r="O152" s="222"/>
      <c r="P152" s="222"/>
      <c r="Q152" s="222"/>
      <c r="R152" s="222"/>
      <c r="S152" s="222"/>
      <c r="T152" s="222"/>
      <c r="U152" s="222"/>
      <c r="V152" s="222"/>
      <c r="W152" s="222"/>
      <c r="X152" s="222"/>
      <c r="Y152" s="222"/>
      <c r="Z152" s="222"/>
      <c r="AA152" s="222"/>
      <c r="AB152" s="222"/>
      <c r="AC152" s="222"/>
    </row>
    <row r="153" spans="9:29" x14ac:dyDescent="0.25">
      <c r="I153" s="222"/>
      <c r="J153" s="222"/>
      <c r="K153" s="222"/>
      <c r="L153" s="222"/>
      <c r="M153" s="222"/>
      <c r="N153" s="222"/>
      <c r="O153" s="222"/>
      <c r="P153" s="222"/>
      <c r="Q153" s="222"/>
      <c r="R153" s="222"/>
      <c r="S153" s="222"/>
      <c r="T153" s="222"/>
      <c r="U153" s="222"/>
      <c r="V153" s="222"/>
      <c r="W153" s="222"/>
      <c r="X153" s="222"/>
      <c r="Y153" s="222"/>
      <c r="Z153" s="222"/>
      <c r="AA153" s="222"/>
      <c r="AB153" s="222"/>
      <c r="AC153" s="222"/>
    </row>
    <row r="154" spans="9:29" x14ac:dyDescent="0.25">
      <c r="I154" s="222"/>
      <c r="J154" s="222"/>
      <c r="K154" s="222"/>
      <c r="L154" s="222"/>
      <c r="M154" s="222"/>
      <c r="N154" s="222"/>
      <c r="O154" s="222"/>
      <c r="P154" s="222"/>
      <c r="Q154" s="222"/>
      <c r="R154" s="222"/>
      <c r="S154" s="222"/>
      <c r="T154" s="222"/>
      <c r="U154" s="222"/>
      <c r="V154" s="222"/>
      <c r="W154" s="222"/>
      <c r="X154" s="222"/>
      <c r="Y154" s="222"/>
      <c r="Z154" s="222"/>
      <c r="AA154" s="222"/>
      <c r="AB154" s="222"/>
      <c r="AC154" s="222"/>
    </row>
    <row r="155" spans="9:29" x14ac:dyDescent="0.25">
      <c r="I155" s="222"/>
      <c r="J155" s="222"/>
      <c r="K155" s="222"/>
      <c r="L155" s="222"/>
      <c r="M155" s="222"/>
      <c r="N155" s="222"/>
      <c r="O155" s="222"/>
      <c r="P155" s="222"/>
      <c r="Q155" s="222"/>
      <c r="R155" s="222"/>
      <c r="S155" s="222"/>
      <c r="T155" s="222"/>
      <c r="U155" s="222"/>
      <c r="V155" s="222"/>
      <c r="W155" s="222"/>
      <c r="X155" s="222"/>
      <c r="Y155" s="222"/>
      <c r="Z155" s="222"/>
      <c r="AA155" s="222"/>
      <c r="AB155" s="222"/>
      <c r="AC155" s="222"/>
    </row>
    <row r="156" spans="9:29" x14ac:dyDescent="0.25">
      <c r="I156" s="222"/>
      <c r="J156" s="222"/>
      <c r="K156" s="222"/>
      <c r="L156" s="222"/>
      <c r="M156" s="222"/>
      <c r="N156" s="222"/>
      <c r="O156" s="222"/>
      <c r="P156" s="222"/>
      <c r="Q156" s="222"/>
      <c r="R156" s="222"/>
      <c r="S156" s="222"/>
      <c r="T156" s="222"/>
      <c r="U156" s="222"/>
      <c r="V156" s="222"/>
      <c r="W156" s="222"/>
      <c r="X156" s="222"/>
      <c r="Y156" s="222"/>
      <c r="Z156" s="222"/>
      <c r="AA156" s="222"/>
      <c r="AB156" s="222"/>
      <c r="AC156" s="222"/>
    </row>
    <row r="157" spans="9:29" x14ac:dyDescent="0.25">
      <c r="I157" s="222"/>
      <c r="J157" s="222"/>
      <c r="K157" s="222"/>
      <c r="L157" s="222"/>
      <c r="M157" s="222"/>
      <c r="N157" s="222"/>
      <c r="O157" s="222"/>
      <c r="P157" s="222"/>
      <c r="Q157" s="222"/>
      <c r="R157" s="222"/>
      <c r="S157" s="222"/>
      <c r="T157" s="222"/>
      <c r="U157" s="222"/>
      <c r="V157" s="222"/>
      <c r="W157" s="222"/>
      <c r="X157" s="222"/>
      <c r="Y157" s="222"/>
      <c r="Z157" s="222"/>
      <c r="AA157" s="222"/>
      <c r="AB157" s="222"/>
      <c r="AC157" s="222"/>
    </row>
    <row r="158" spans="9:29" x14ac:dyDescent="0.25">
      <c r="I158" s="222"/>
      <c r="J158" s="222"/>
      <c r="K158" s="222"/>
      <c r="L158" s="222"/>
      <c r="M158" s="222"/>
      <c r="N158" s="222"/>
      <c r="O158" s="222"/>
      <c r="P158" s="222"/>
      <c r="Q158" s="222"/>
      <c r="R158" s="222"/>
      <c r="S158" s="222"/>
      <c r="T158" s="222"/>
      <c r="U158" s="222"/>
      <c r="V158" s="222"/>
      <c r="W158" s="222"/>
      <c r="X158" s="222"/>
      <c r="Y158" s="222"/>
      <c r="Z158" s="222"/>
      <c r="AA158" s="222"/>
      <c r="AB158" s="222"/>
      <c r="AC158" s="222"/>
    </row>
    <row r="159" spans="9:29" x14ac:dyDescent="0.25">
      <c r="I159" s="222"/>
      <c r="J159" s="222"/>
      <c r="K159" s="222"/>
      <c r="L159" s="222"/>
      <c r="M159" s="222"/>
      <c r="N159" s="222"/>
      <c r="O159" s="222"/>
      <c r="P159" s="222"/>
      <c r="Q159" s="222"/>
      <c r="R159" s="222"/>
      <c r="S159" s="222"/>
      <c r="T159" s="222"/>
      <c r="U159" s="222"/>
      <c r="V159" s="222"/>
      <c r="W159" s="222"/>
      <c r="X159" s="222"/>
      <c r="Y159" s="222"/>
      <c r="Z159" s="222"/>
      <c r="AA159" s="222"/>
      <c r="AB159" s="222"/>
      <c r="AC159" s="222"/>
    </row>
    <row r="160" spans="9:29" x14ac:dyDescent="0.25">
      <c r="I160" s="222"/>
      <c r="J160" s="222"/>
      <c r="K160" s="222"/>
      <c r="L160" s="222"/>
      <c r="M160" s="222"/>
      <c r="N160" s="222"/>
      <c r="O160" s="222"/>
      <c r="P160" s="222"/>
      <c r="Q160" s="222"/>
      <c r="R160" s="222"/>
      <c r="S160" s="222"/>
      <c r="T160" s="222"/>
      <c r="U160" s="222"/>
      <c r="V160" s="222"/>
      <c r="W160" s="222"/>
      <c r="X160" s="222"/>
      <c r="Y160" s="222"/>
      <c r="Z160" s="222"/>
      <c r="AA160" s="222"/>
      <c r="AB160" s="222"/>
      <c r="AC160" s="222"/>
    </row>
    <row r="161" spans="9:29" x14ac:dyDescent="0.25">
      <c r="I161" s="222"/>
      <c r="J161" s="222"/>
      <c r="K161" s="222"/>
      <c r="L161" s="222"/>
      <c r="M161" s="222"/>
      <c r="N161" s="222"/>
      <c r="O161" s="222"/>
      <c r="P161" s="222"/>
      <c r="Q161" s="222"/>
      <c r="R161" s="222"/>
      <c r="S161" s="222"/>
      <c r="T161" s="222"/>
      <c r="U161" s="222"/>
      <c r="V161" s="222"/>
      <c r="W161" s="222"/>
      <c r="X161" s="222"/>
      <c r="Y161" s="222"/>
      <c r="Z161" s="222"/>
      <c r="AA161" s="222"/>
      <c r="AB161" s="222"/>
      <c r="AC161" s="222"/>
    </row>
    <row r="162" spans="9:29" x14ac:dyDescent="0.25">
      <c r="I162" s="222"/>
      <c r="J162" s="222"/>
      <c r="K162" s="222"/>
      <c r="L162" s="222"/>
      <c r="M162" s="222"/>
      <c r="N162" s="222"/>
      <c r="O162" s="222"/>
      <c r="P162" s="222"/>
      <c r="Q162" s="222"/>
      <c r="R162" s="222"/>
      <c r="S162" s="222"/>
      <c r="T162" s="222"/>
      <c r="U162" s="222"/>
      <c r="V162" s="222"/>
      <c r="W162" s="222"/>
      <c r="X162" s="222"/>
      <c r="Y162" s="222"/>
      <c r="Z162" s="222"/>
      <c r="AA162" s="222"/>
      <c r="AB162" s="222"/>
      <c r="AC162" s="222"/>
    </row>
    <row r="163" spans="9:29" x14ac:dyDescent="0.25">
      <c r="I163" s="222"/>
      <c r="J163" s="222"/>
      <c r="K163" s="222"/>
      <c r="L163" s="222"/>
      <c r="M163" s="222"/>
      <c r="N163" s="222"/>
      <c r="O163" s="222"/>
      <c r="P163" s="222"/>
      <c r="Q163" s="222"/>
      <c r="R163" s="222"/>
      <c r="S163" s="222"/>
      <c r="T163" s="222"/>
      <c r="U163" s="222"/>
      <c r="V163" s="222"/>
      <c r="W163" s="222"/>
      <c r="X163" s="222"/>
      <c r="Y163" s="222"/>
      <c r="Z163" s="222"/>
      <c r="AA163" s="222"/>
      <c r="AB163" s="222"/>
      <c r="AC163" s="222"/>
    </row>
    <row r="164" spans="9:29" x14ac:dyDescent="0.25">
      <c r="I164" s="222"/>
      <c r="J164" s="222"/>
      <c r="K164" s="222"/>
      <c r="L164" s="222"/>
      <c r="M164" s="222"/>
      <c r="N164" s="222"/>
      <c r="O164" s="222"/>
      <c r="P164" s="222"/>
      <c r="Q164" s="222"/>
      <c r="R164" s="222"/>
      <c r="S164" s="222"/>
      <c r="T164" s="222"/>
      <c r="U164" s="222"/>
      <c r="V164" s="222"/>
      <c r="W164" s="222"/>
      <c r="X164" s="222"/>
      <c r="Y164" s="222"/>
      <c r="Z164" s="222"/>
      <c r="AA164" s="222"/>
      <c r="AB164" s="222"/>
      <c r="AC164" s="222"/>
    </row>
    <row r="165" spans="9:29" x14ac:dyDescent="0.25">
      <c r="I165" s="222"/>
      <c r="J165" s="222"/>
      <c r="K165" s="222"/>
      <c r="L165" s="222"/>
      <c r="M165" s="222"/>
      <c r="N165" s="222"/>
      <c r="O165" s="222"/>
      <c r="P165" s="222"/>
      <c r="Q165" s="222"/>
      <c r="R165" s="222"/>
      <c r="S165" s="222"/>
      <c r="T165" s="222"/>
      <c r="U165" s="222"/>
      <c r="V165" s="222"/>
      <c r="W165" s="222"/>
      <c r="X165" s="222"/>
      <c r="Y165" s="222"/>
      <c r="Z165" s="222"/>
      <c r="AA165" s="222"/>
      <c r="AB165" s="222"/>
      <c r="AC165" s="222"/>
    </row>
    <row r="166" spans="9:29" x14ac:dyDescent="0.25">
      <c r="I166" s="222"/>
      <c r="J166" s="222"/>
      <c r="K166" s="222"/>
      <c r="L166" s="222"/>
      <c r="M166" s="222"/>
      <c r="N166" s="222"/>
      <c r="O166" s="222"/>
      <c r="P166" s="222"/>
      <c r="Q166" s="222"/>
      <c r="R166" s="222"/>
      <c r="S166" s="222"/>
      <c r="T166" s="222"/>
      <c r="U166" s="222"/>
      <c r="V166" s="222"/>
      <c r="W166" s="222"/>
      <c r="X166" s="222"/>
      <c r="Y166" s="222"/>
      <c r="Z166" s="222"/>
      <c r="AA166" s="222"/>
      <c r="AB166" s="222"/>
      <c r="AC166" s="222"/>
    </row>
    <row r="167" spans="9:29" x14ac:dyDescent="0.25">
      <c r="I167" s="222"/>
      <c r="J167" s="222"/>
      <c r="K167" s="222"/>
      <c r="L167" s="222"/>
      <c r="M167" s="222"/>
      <c r="N167" s="222"/>
      <c r="O167" s="222"/>
      <c r="P167" s="222"/>
      <c r="Q167" s="222"/>
      <c r="R167" s="222"/>
      <c r="S167" s="222"/>
      <c r="T167" s="222"/>
      <c r="U167" s="222"/>
      <c r="V167" s="222"/>
      <c r="W167" s="222"/>
      <c r="X167" s="222"/>
      <c r="Y167" s="222"/>
      <c r="Z167" s="222"/>
      <c r="AA167" s="222"/>
      <c r="AB167" s="222"/>
      <c r="AC167" s="222"/>
    </row>
  </sheetData>
  <mergeCells count="10">
    <mergeCell ref="I2:I3"/>
    <mergeCell ref="J2:K3"/>
    <mergeCell ref="A1:H1"/>
    <mergeCell ref="A2:A3"/>
    <mergeCell ref="B2:B3"/>
    <mergeCell ref="D2:D3"/>
    <mergeCell ref="E2:E3"/>
    <mergeCell ref="F2:F3"/>
    <mergeCell ref="G2:G3"/>
    <mergeCell ref="H2: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topLeftCell="D1" zoomScale="60" zoomScaleNormal="60" workbookViewId="0">
      <selection activeCell="D9" sqref="D9"/>
    </sheetView>
  </sheetViews>
  <sheetFormatPr defaultRowHeight="15" x14ac:dyDescent="0.25"/>
  <cols>
    <col min="1" max="1" width="25.5703125" style="2" customWidth="1"/>
    <col min="2" max="2" width="19" style="2" customWidth="1"/>
    <col min="3" max="3" width="16.28515625" style="2" customWidth="1"/>
    <col min="4" max="4" width="24.7109375" style="2" customWidth="1"/>
    <col min="5" max="5" width="23.5703125" style="2" customWidth="1"/>
    <col min="6" max="6" width="16.28515625" style="2" customWidth="1"/>
    <col min="7" max="7" width="26.5703125" style="2" customWidth="1"/>
    <col min="8" max="8" width="22.7109375" style="2" customWidth="1"/>
    <col min="9" max="9" width="14.85546875" style="222" customWidth="1"/>
    <col min="10" max="10" width="23.42578125" style="2" customWidth="1"/>
    <col min="11" max="25" width="23.42578125" style="222" customWidth="1"/>
    <col min="26" max="26" width="18.42578125" style="2" customWidth="1"/>
    <col min="27" max="27" width="17.85546875" style="2" customWidth="1"/>
    <col min="28" max="34" width="16.28515625" style="2" customWidth="1"/>
    <col min="35" max="35" width="24.42578125" style="2" customWidth="1"/>
    <col min="36" max="36" width="17.140625" style="2" customWidth="1"/>
    <col min="37" max="16384" width="9.140625" style="2"/>
  </cols>
  <sheetData>
    <row r="1" spans="1:34" x14ac:dyDescent="0.25">
      <c r="A1" s="65"/>
      <c r="B1" s="219"/>
      <c r="C1" s="218" t="s">
        <v>202</v>
      </c>
      <c r="D1" s="219"/>
      <c r="E1" s="219"/>
      <c r="F1" s="219"/>
      <c r="G1" s="219"/>
      <c r="H1" s="219"/>
      <c r="I1" s="219"/>
      <c r="J1" s="219"/>
      <c r="K1" s="219"/>
      <c r="L1" s="219"/>
      <c r="M1" s="219"/>
      <c r="N1" s="219"/>
      <c r="O1" s="219"/>
      <c r="P1" s="219"/>
      <c r="Q1" s="219"/>
      <c r="R1" s="219"/>
      <c r="S1" s="219"/>
      <c r="T1" s="219"/>
      <c r="U1" s="219"/>
      <c r="V1" s="219"/>
      <c r="W1" s="219"/>
      <c r="X1" s="219"/>
      <c r="Y1" s="219"/>
      <c r="Z1" s="220"/>
      <c r="AA1" s="509" t="s">
        <v>203</v>
      </c>
      <c r="AB1" s="510"/>
      <c r="AC1" s="511"/>
      <c r="AD1" s="509" t="s">
        <v>210</v>
      </c>
      <c r="AE1" s="510"/>
      <c r="AF1" s="510"/>
      <c r="AG1" s="510"/>
      <c r="AH1" s="511"/>
    </row>
    <row r="2" spans="1:34" ht="75" x14ac:dyDescent="0.25">
      <c r="A2" s="65"/>
      <c r="B2" s="117" t="s">
        <v>279</v>
      </c>
      <c r="C2" s="117" t="s">
        <v>208</v>
      </c>
      <c r="D2" s="512" t="s">
        <v>277</v>
      </c>
      <c r="E2" s="513"/>
      <c r="F2" s="117" t="s">
        <v>278</v>
      </c>
      <c r="G2" s="117" t="s">
        <v>209</v>
      </c>
      <c r="H2" s="117" t="s">
        <v>209</v>
      </c>
      <c r="I2" s="117" t="s">
        <v>435</v>
      </c>
      <c r="J2" s="117" t="s">
        <v>416</v>
      </c>
      <c r="K2" s="322" t="s">
        <v>433</v>
      </c>
      <c r="L2" s="322">
        <v>2019</v>
      </c>
      <c r="M2" s="322">
        <v>2020</v>
      </c>
      <c r="N2" s="320" t="s">
        <v>434</v>
      </c>
      <c r="O2" s="343" t="s">
        <v>433</v>
      </c>
      <c r="P2" s="343">
        <v>2019</v>
      </c>
      <c r="Q2" s="343">
        <v>2020</v>
      </c>
      <c r="R2" s="343" t="s">
        <v>434</v>
      </c>
      <c r="S2" s="343"/>
      <c r="T2" s="117" t="s">
        <v>429</v>
      </c>
      <c r="U2" s="117" t="s">
        <v>430</v>
      </c>
      <c r="V2" s="117" t="s">
        <v>431</v>
      </c>
      <c r="W2" s="241" t="s">
        <v>432</v>
      </c>
      <c r="X2" s="117" t="s">
        <v>417</v>
      </c>
      <c r="Y2" s="117" t="s">
        <v>418</v>
      </c>
      <c r="Z2" s="117" t="s">
        <v>290</v>
      </c>
      <c r="AA2" s="65" t="s">
        <v>208</v>
      </c>
      <c r="AB2" s="65" t="s">
        <v>209</v>
      </c>
      <c r="AC2" s="65" t="s">
        <v>77</v>
      </c>
      <c r="AD2" s="65" t="s">
        <v>208</v>
      </c>
      <c r="AE2" s="65" t="s">
        <v>232</v>
      </c>
      <c r="AF2" s="65" t="s">
        <v>77</v>
      </c>
      <c r="AG2" s="65" t="s">
        <v>209</v>
      </c>
      <c r="AH2" s="65" t="s">
        <v>77</v>
      </c>
    </row>
    <row r="3" spans="1:34" ht="21" x14ac:dyDescent="0.25">
      <c r="A3" s="117" t="s">
        <v>245</v>
      </c>
      <c r="B3" s="124">
        <f t="shared" ref="B3:B16" si="0">C3+F3</f>
        <v>2566339.34</v>
      </c>
      <c r="C3" s="124">
        <v>2398447.98</v>
      </c>
      <c r="D3" s="232"/>
      <c r="E3" s="232" t="s">
        <v>281</v>
      </c>
      <c r="F3" s="232">
        <v>167891.36</v>
      </c>
      <c r="G3" s="124">
        <f>'на новую заявку'!I91</f>
        <v>3284053.8191475659</v>
      </c>
      <c r="H3" s="124">
        <f>3713517.55</f>
        <v>3713517.55</v>
      </c>
      <c r="I3" s="124">
        <f>H3-J3</f>
        <v>363861.48</v>
      </c>
      <c r="J3" s="124">
        <v>3349656.07</v>
      </c>
      <c r="K3" s="323"/>
      <c r="L3" s="323"/>
      <c r="M3" s="323"/>
      <c r="N3" s="328">
        <v>3349656.0672000004</v>
      </c>
      <c r="O3" s="340"/>
      <c r="P3" s="340"/>
      <c r="Q3" s="340"/>
      <c r="R3" s="340">
        <v>2657918.52</v>
      </c>
      <c r="S3" s="340"/>
      <c r="T3" s="124"/>
      <c r="U3" s="124"/>
      <c r="V3" s="124"/>
      <c r="W3" s="308">
        <f>J3</f>
        <v>3349656.07</v>
      </c>
      <c r="X3" s="124"/>
      <c r="Y3" s="124"/>
      <c r="Z3" s="67"/>
      <c r="AA3" s="67">
        <v>3873409.79</v>
      </c>
      <c r="AB3" s="67"/>
      <c r="AC3" s="67"/>
      <c r="AD3" s="67">
        <f>C3+AA3</f>
        <v>6271857.7699999996</v>
      </c>
      <c r="AE3" s="67"/>
      <c r="AF3" s="67"/>
      <c r="AG3" s="67"/>
      <c r="AH3" s="67"/>
    </row>
    <row r="4" spans="1:34" ht="21" x14ac:dyDescent="0.25">
      <c r="A4" s="117" t="s">
        <v>204</v>
      </c>
      <c r="B4" s="124">
        <f t="shared" si="0"/>
        <v>1331650.19</v>
      </c>
      <c r="C4" s="124">
        <v>1244532.8899999999</v>
      </c>
      <c r="D4" s="232"/>
      <c r="E4" s="124"/>
      <c r="F4" s="232">
        <v>87117.3</v>
      </c>
      <c r="G4" s="233">
        <v>1518428.5708024343</v>
      </c>
      <c r="H4" s="124"/>
      <c r="I4" s="124"/>
      <c r="J4" s="124">
        <f>J5+J6+J12+J10+J13+J14</f>
        <v>2555662.2887780727</v>
      </c>
      <c r="K4" s="323"/>
      <c r="L4" s="323"/>
      <c r="M4" s="323"/>
      <c r="N4" s="328">
        <v>2193522.1226934381</v>
      </c>
      <c r="O4" s="340"/>
      <c r="P4" s="340"/>
      <c r="Q4" s="340"/>
      <c r="R4" s="340">
        <f>R5+R6+R10+R12+R13+R14</f>
        <v>2839904.3915974805</v>
      </c>
      <c r="S4" s="340">
        <v>1500985.5</v>
      </c>
      <c r="T4" s="124"/>
      <c r="U4" s="124"/>
      <c r="V4" s="124"/>
      <c r="W4" s="308">
        <f>J4-U11</f>
        <v>2168231.6949999998</v>
      </c>
      <c r="X4" s="124">
        <f>X5+X6+X12+X10+X13</f>
        <v>1017800.915511229</v>
      </c>
      <c r="Y4" s="124">
        <f>Y5+Y6+Y10+Y12</f>
        <v>990000</v>
      </c>
      <c r="Z4" s="67"/>
      <c r="AA4" s="67">
        <v>1190991.55</v>
      </c>
      <c r="AB4" s="67"/>
      <c r="AC4" s="67"/>
      <c r="AD4" s="67">
        <f>C4+AA4</f>
        <v>2435524.44</v>
      </c>
      <c r="AE4" s="67"/>
      <c r="AF4" s="67"/>
      <c r="AG4" s="67"/>
      <c r="AH4" s="67"/>
    </row>
    <row r="5" spans="1:34" ht="64.5" customHeight="1" thickBot="1" x14ac:dyDescent="0.3">
      <c r="A5" s="117" t="s">
        <v>212</v>
      </c>
      <c r="B5" s="232">
        <f t="shared" si="0"/>
        <v>317377.18330000003</v>
      </c>
      <c r="C5" s="232">
        <v>296614.19</v>
      </c>
      <c r="D5" s="232">
        <v>20000</v>
      </c>
      <c r="E5" s="232" t="s">
        <v>276</v>
      </c>
      <c r="F5" s="232">
        <f t="shared" ref="F5:F14" si="1">C5*7%</f>
        <v>20762.993300000002</v>
      </c>
      <c r="G5" s="232"/>
      <c r="H5" s="232"/>
      <c r="I5" s="234"/>
      <c r="J5" s="288">
        <v>804978.42032238469</v>
      </c>
      <c r="K5" s="324">
        <v>158206.40870437954</v>
      </c>
      <c r="L5" s="324">
        <v>327763.1739051094</v>
      </c>
      <c r="M5" s="324">
        <v>163089.10375818828</v>
      </c>
      <c r="N5" s="337">
        <f>K5+L5+M5</f>
        <v>649058.68636767729</v>
      </c>
      <c r="O5" s="344"/>
      <c r="P5" s="344"/>
      <c r="Q5" s="344"/>
      <c r="R5" s="344">
        <v>679341.7424990643</v>
      </c>
      <c r="S5" s="344"/>
      <c r="T5" s="234">
        <f>J5/J11*100</f>
        <v>39.674387776989569</v>
      </c>
      <c r="U5" s="289">
        <f>T19/100*T5</f>
        <v>153710.71614220584</v>
      </c>
      <c r="V5" s="299">
        <f>J5-U5</f>
        <v>651267.70418017881</v>
      </c>
      <c r="W5" s="309">
        <v>651267.70418017881</v>
      </c>
      <c r="X5" s="234">
        <f>J5/2.5</f>
        <v>321991.36812895385</v>
      </c>
      <c r="Y5" s="234">
        <v>320000</v>
      </c>
      <c r="Z5" s="67"/>
      <c r="AA5" s="67"/>
      <c r="AB5" s="67"/>
      <c r="AC5" s="67"/>
      <c r="AD5" s="67"/>
      <c r="AE5" s="67"/>
      <c r="AF5" s="67"/>
      <c r="AG5" s="67"/>
      <c r="AH5" s="67"/>
    </row>
    <row r="6" spans="1:34" ht="21" x14ac:dyDescent="0.25">
      <c r="A6" s="335" t="s">
        <v>0</v>
      </c>
      <c r="B6" s="297">
        <f>C6+F6</f>
        <v>287003.88510000001</v>
      </c>
      <c r="C6" s="297">
        <v>268227.93</v>
      </c>
      <c r="D6" s="297">
        <v>77846.764963203896</v>
      </c>
      <c r="E6" s="297"/>
      <c r="F6" s="297">
        <f>C6*7%</f>
        <v>18775.955100000003</v>
      </c>
      <c r="G6" s="297"/>
      <c r="H6" s="297"/>
      <c r="I6" s="336"/>
      <c r="J6" s="294">
        <v>844168.5</v>
      </c>
      <c r="K6" s="294">
        <v>197536.5</v>
      </c>
      <c r="L6" s="294">
        <v>378189</v>
      </c>
      <c r="M6" s="294">
        <v>134749.125</v>
      </c>
      <c r="N6" s="338">
        <f>K6+L6+M6</f>
        <v>710474.625</v>
      </c>
      <c r="O6" s="345">
        <v>399561.75</v>
      </c>
      <c r="P6" s="345">
        <v>723439.5</v>
      </c>
      <c r="Q6" s="345">
        <v>377984.25</v>
      </c>
      <c r="R6" s="345">
        <v>1500985.5</v>
      </c>
      <c r="S6" s="345">
        <f>R6-S4</f>
        <v>0</v>
      </c>
      <c r="T6" s="235">
        <f>J6/J11*100</f>
        <v>41.605920820469329</v>
      </c>
      <c r="U6" s="290">
        <f>T19/100*T6</f>
        <v>161194.06608157916</v>
      </c>
      <c r="V6" s="300">
        <f>J6-U6</f>
        <v>682974.43391842081</v>
      </c>
      <c r="W6" s="310">
        <v>682974.43391842081</v>
      </c>
      <c r="X6" s="287">
        <f>J6/2.5</f>
        <v>337667.4</v>
      </c>
      <c r="Y6" s="235">
        <v>330000</v>
      </c>
      <c r="Z6" s="225"/>
      <c r="AA6" s="67"/>
      <c r="AB6" s="67"/>
      <c r="AC6" s="67"/>
      <c r="AD6" s="67"/>
      <c r="AE6" s="67"/>
      <c r="AF6" s="67"/>
      <c r="AG6" s="67"/>
      <c r="AH6" s="67"/>
    </row>
    <row r="7" spans="1:34" ht="21" x14ac:dyDescent="0.25">
      <c r="A7" s="335" t="s">
        <v>9</v>
      </c>
      <c r="B7" s="297">
        <f t="shared" si="0"/>
        <v>152855.98420000001</v>
      </c>
      <c r="C7" s="297">
        <v>142856.06</v>
      </c>
      <c r="D7" s="297">
        <v>14294.474546783673</v>
      </c>
      <c r="E7" s="297"/>
      <c r="F7" s="297">
        <f t="shared" si="1"/>
        <v>9999.9242000000013</v>
      </c>
      <c r="G7" s="297"/>
      <c r="H7" s="297"/>
      <c r="I7" s="336"/>
      <c r="J7" s="295"/>
      <c r="K7" s="295"/>
      <c r="L7" s="295"/>
      <c r="M7" s="295"/>
      <c r="N7" s="339"/>
      <c r="O7" s="346"/>
      <c r="P7" s="346"/>
      <c r="Q7" s="346"/>
      <c r="R7" s="346"/>
      <c r="S7" s="346"/>
      <c r="T7" s="236"/>
      <c r="U7" s="291"/>
      <c r="V7" s="301"/>
      <c r="W7" s="311"/>
      <c r="X7" s="285"/>
      <c r="Y7" s="236"/>
      <c r="Z7" s="225"/>
      <c r="AA7" s="67"/>
      <c r="AB7" s="67"/>
      <c r="AC7" s="67"/>
      <c r="AD7" s="67"/>
      <c r="AE7" s="67"/>
      <c r="AF7" s="67"/>
      <c r="AG7" s="67"/>
      <c r="AH7" s="67"/>
    </row>
    <row r="8" spans="1:34" ht="21" x14ac:dyDescent="0.25">
      <c r="A8" s="335" t="s">
        <v>13</v>
      </c>
      <c r="B8" s="297">
        <f t="shared" si="0"/>
        <v>139118.87479999999</v>
      </c>
      <c r="C8" s="297">
        <v>130017.64</v>
      </c>
      <c r="D8" s="297">
        <v>8426.6636842105618</v>
      </c>
      <c r="E8" s="297"/>
      <c r="F8" s="297">
        <f t="shared" si="1"/>
        <v>9101.2348000000002</v>
      </c>
      <c r="G8" s="297"/>
      <c r="H8" s="297"/>
      <c r="I8" s="336"/>
      <c r="J8" s="295"/>
      <c r="K8" s="295"/>
      <c r="L8" s="295"/>
      <c r="M8" s="295"/>
      <c r="N8" s="339"/>
      <c r="O8" s="346"/>
      <c r="P8" s="346"/>
      <c r="Q8" s="346"/>
      <c r="R8" s="346"/>
      <c r="S8" s="346"/>
      <c r="T8" s="236"/>
      <c r="U8" s="291"/>
      <c r="V8" s="301"/>
      <c r="W8" s="311"/>
      <c r="X8" s="285"/>
      <c r="Y8" s="236"/>
      <c r="Z8" s="225"/>
      <c r="AA8" s="67"/>
      <c r="AB8" s="67"/>
      <c r="AC8" s="67"/>
      <c r="AD8" s="67"/>
      <c r="AE8" s="67"/>
      <c r="AF8" s="67"/>
      <c r="AG8" s="67"/>
      <c r="AH8" s="67"/>
    </row>
    <row r="9" spans="1:34" ht="21.75" thickBot="1" x14ac:dyDescent="0.3">
      <c r="A9" s="335" t="s">
        <v>213</v>
      </c>
      <c r="B9" s="297">
        <f t="shared" si="0"/>
        <v>140659.24679999999</v>
      </c>
      <c r="C9" s="297">
        <v>131457.24</v>
      </c>
      <c r="D9" s="297">
        <v>25749.804912280699</v>
      </c>
      <c r="E9" s="297"/>
      <c r="F9" s="297">
        <f t="shared" si="1"/>
        <v>9202.006800000001</v>
      </c>
      <c r="G9" s="297"/>
      <c r="H9" s="297"/>
      <c r="I9" s="336"/>
      <c r="J9" s="296"/>
      <c r="K9" s="295"/>
      <c r="L9" s="295"/>
      <c r="M9" s="295"/>
      <c r="N9" s="339"/>
      <c r="O9" s="346"/>
      <c r="P9" s="346"/>
      <c r="Q9" s="346"/>
      <c r="R9" s="346"/>
      <c r="S9" s="346"/>
      <c r="T9" s="237"/>
      <c r="U9" s="292"/>
      <c r="V9" s="302"/>
      <c r="W9" s="312"/>
      <c r="X9" s="286"/>
      <c r="Y9" s="237"/>
      <c r="Z9" s="225"/>
      <c r="AA9" s="67"/>
      <c r="AB9" s="67"/>
      <c r="AC9" s="67"/>
      <c r="AD9" s="67"/>
      <c r="AE9" s="67"/>
      <c r="AF9" s="67"/>
      <c r="AG9" s="67"/>
      <c r="AH9" s="67"/>
    </row>
    <row r="10" spans="1:34" ht="56.25" x14ac:dyDescent="0.25">
      <c r="A10" s="117" t="s">
        <v>214</v>
      </c>
      <c r="B10" s="232">
        <f t="shared" si="0"/>
        <v>168162.59099999999</v>
      </c>
      <c r="C10" s="232">
        <v>157161.29999999999</v>
      </c>
      <c r="D10" s="232" t="s">
        <v>406</v>
      </c>
      <c r="E10" s="232" t="s">
        <v>275</v>
      </c>
      <c r="F10" s="232">
        <f t="shared" si="1"/>
        <v>11001.291000000001</v>
      </c>
      <c r="G10" s="232"/>
      <c r="H10" s="232"/>
      <c r="I10" s="232"/>
      <c r="J10" s="297">
        <v>379815.50462335767</v>
      </c>
      <c r="K10" s="334">
        <v>88582.143077372268</v>
      </c>
      <c r="L10" s="334">
        <v>146259.12790510943</v>
      </c>
      <c r="M10" s="334">
        <v>72447.676510948892</v>
      </c>
      <c r="N10" s="332">
        <f>K10+L10+M10</f>
        <v>307288.94749343058</v>
      </c>
      <c r="O10" s="347"/>
      <c r="P10" s="347"/>
      <c r="Q10" s="347"/>
      <c r="R10" s="347">
        <v>307720.29055912403</v>
      </c>
      <c r="S10" s="347"/>
      <c r="T10" s="238">
        <f>J10/J11*100</f>
        <v>18.719691402541105</v>
      </c>
      <c r="U10" s="293">
        <f>T19/100*T10</f>
        <v>72525.811554287866</v>
      </c>
      <c r="V10" s="303">
        <f>J10-U10</f>
        <v>307289.69306906982</v>
      </c>
      <c r="W10" s="309">
        <v>307289.69306906982</v>
      </c>
      <c r="X10" s="234">
        <f>J10/2.5</f>
        <v>151926.20184934308</v>
      </c>
      <c r="Y10" s="238">
        <v>160000</v>
      </c>
      <c r="Z10" s="67"/>
      <c r="AA10" s="67"/>
      <c r="AB10" s="67"/>
      <c r="AC10" s="67"/>
      <c r="AD10" s="67"/>
      <c r="AE10" s="67"/>
      <c r="AF10" s="67"/>
      <c r="AG10" s="67"/>
      <c r="AH10" s="67"/>
    </row>
    <row r="11" spans="1:34" s="222" customFormat="1" ht="21.75" thickBot="1" x14ac:dyDescent="0.3">
      <c r="A11" s="117"/>
      <c r="B11" s="232"/>
      <c r="C11" s="232"/>
      <c r="D11" s="232"/>
      <c r="E11" s="232"/>
      <c r="F11" s="232"/>
      <c r="G11" s="232"/>
      <c r="H11" s="232"/>
      <c r="I11" s="239"/>
      <c r="J11" s="298">
        <f>SUM(J5:J10)</f>
        <v>2028962.4249457424</v>
      </c>
      <c r="K11" s="325"/>
      <c r="L11" s="325"/>
      <c r="M11" s="325"/>
      <c r="N11" s="330"/>
      <c r="O11" s="348"/>
      <c r="P11" s="348"/>
      <c r="Q11" s="348"/>
      <c r="R11" s="349"/>
      <c r="S11" s="349"/>
      <c r="T11" s="306">
        <f>SUM(T5:T10)</f>
        <v>100</v>
      </c>
      <c r="U11" s="307">
        <f>SUM(U5:U10)</f>
        <v>387430.59377807286</v>
      </c>
      <c r="V11" s="305">
        <f>SUM(V5:V10)</f>
        <v>1641531.8311676695</v>
      </c>
      <c r="W11" s="309"/>
      <c r="X11" s="304"/>
      <c r="Y11" s="283"/>
      <c r="Z11" s="225"/>
      <c r="AA11" s="67"/>
      <c r="AB11" s="67"/>
      <c r="AC11" s="67"/>
      <c r="AD11" s="67"/>
      <c r="AE11" s="67"/>
      <c r="AF11" s="67"/>
      <c r="AG11" s="67"/>
      <c r="AH11" s="67"/>
    </row>
    <row r="12" spans="1:34" ht="21" x14ac:dyDescent="0.25">
      <c r="A12" s="117" t="s">
        <v>215</v>
      </c>
      <c r="B12" s="232">
        <f>C12+F12</f>
        <v>23616.034200000002</v>
      </c>
      <c r="C12" s="232">
        <v>22071.06</v>
      </c>
      <c r="D12" s="232"/>
      <c r="E12" s="232"/>
      <c r="F12" s="232">
        <f>C12*7%</f>
        <v>1544.9742000000003</v>
      </c>
      <c r="G12" s="232"/>
      <c r="H12" s="232"/>
      <c r="I12" s="239"/>
      <c r="J12" s="239">
        <v>166546.01058607586</v>
      </c>
      <c r="K12" s="325"/>
      <c r="L12" s="325"/>
      <c r="M12" s="325"/>
      <c r="N12" s="330">
        <v>166546.01058607586</v>
      </c>
      <c r="O12" s="348"/>
      <c r="P12" s="348"/>
      <c r="Q12" s="348"/>
      <c r="R12" s="348">
        <v>86993.005293037932</v>
      </c>
      <c r="S12" s="348">
        <f>N12-R12</f>
        <v>79553.005293037932</v>
      </c>
      <c r="T12" s="239"/>
      <c r="U12" s="239"/>
      <c r="V12" s="239"/>
      <c r="W12" s="313">
        <v>166546.01058607586</v>
      </c>
      <c r="X12" s="232">
        <f>J12/2.5</f>
        <v>66618.404234430345</v>
      </c>
      <c r="Y12" s="235">
        <v>180000</v>
      </c>
      <c r="Z12" s="225"/>
      <c r="AA12" s="67"/>
      <c r="AB12" s="67"/>
      <c r="AC12" s="67"/>
      <c r="AD12" s="67"/>
      <c r="AE12" s="67"/>
      <c r="AF12" s="67"/>
      <c r="AG12" s="67"/>
      <c r="AH12" s="67"/>
    </row>
    <row r="13" spans="1:34" ht="21.75" thickBot="1" x14ac:dyDescent="0.3">
      <c r="A13" s="117" t="s">
        <v>216</v>
      </c>
      <c r="B13" s="232">
        <f t="shared" si="0"/>
        <v>64512.6005</v>
      </c>
      <c r="C13" s="232">
        <v>60292.15</v>
      </c>
      <c r="D13" s="232"/>
      <c r="E13" s="232"/>
      <c r="F13" s="232">
        <f t="shared" si="1"/>
        <v>4220.4505000000008</v>
      </c>
      <c r="G13" s="232"/>
      <c r="H13" s="232"/>
      <c r="I13" s="232"/>
      <c r="J13" s="232">
        <v>348993.85324625438</v>
      </c>
      <c r="K13" s="324"/>
      <c r="L13" s="324"/>
      <c r="M13" s="324"/>
      <c r="N13" s="329">
        <v>348993.85324625438</v>
      </c>
      <c r="O13" s="350"/>
      <c r="P13" s="350"/>
      <c r="Q13" s="350"/>
      <c r="R13" s="350">
        <v>253703.85324625429</v>
      </c>
      <c r="S13" s="348">
        <f>N13-R13</f>
        <v>95290.000000000087</v>
      </c>
      <c r="T13" s="234"/>
      <c r="U13" s="234"/>
      <c r="V13" s="234"/>
      <c r="W13" s="309">
        <v>348993.85324625438</v>
      </c>
      <c r="X13" s="234">
        <f>J13/2.5</f>
        <v>139597.54129850175</v>
      </c>
      <c r="Y13" s="237"/>
      <c r="Z13" s="225"/>
      <c r="AA13" s="67"/>
      <c r="AB13" s="67"/>
      <c r="AC13" s="67"/>
      <c r="AD13" s="67"/>
      <c r="AE13" s="67"/>
      <c r="AF13" s="67"/>
      <c r="AG13" s="67"/>
      <c r="AH13" s="67"/>
    </row>
    <row r="14" spans="1:34" ht="37.5" x14ac:dyDescent="0.25">
      <c r="A14" s="117" t="s">
        <v>217</v>
      </c>
      <c r="B14" s="232">
        <f t="shared" si="0"/>
        <v>38344.755400000002</v>
      </c>
      <c r="C14" s="232">
        <v>35836.22</v>
      </c>
      <c r="D14" s="232"/>
      <c r="E14" s="232"/>
      <c r="F14" s="232">
        <f t="shared" si="1"/>
        <v>2508.5354000000002</v>
      </c>
      <c r="G14" s="232"/>
      <c r="H14" s="232"/>
      <c r="I14" s="232"/>
      <c r="J14" s="232">
        <v>11160</v>
      </c>
      <c r="K14" s="326"/>
      <c r="L14" s="326"/>
      <c r="M14" s="326"/>
      <c r="N14" s="331">
        <v>11160</v>
      </c>
      <c r="O14" s="351"/>
      <c r="P14" s="351"/>
      <c r="Q14" s="351"/>
      <c r="R14" s="351">
        <v>11160</v>
      </c>
      <c r="S14" s="351"/>
      <c r="T14" s="232"/>
      <c r="U14" s="232"/>
      <c r="V14" s="232"/>
      <c r="W14" s="314">
        <v>11160</v>
      </c>
      <c r="X14" s="232"/>
      <c r="Y14" s="239"/>
      <c r="Z14" s="67"/>
      <c r="AA14" s="67"/>
      <c r="AB14" s="67"/>
      <c r="AC14" s="67"/>
      <c r="AD14" s="67"/>
      <c r="AE14" s="67"/>
      <c r="AF14" s="67"/>
      <c r="AG14" s="67"/>
      <c r="AH14" s="67"/>
    </row>
    <row r="15" spans="1:34" ht="21" x14ac:dyDescent="0.25">
      <c r="A15" s="117" t="s">
        <v>206</v>
      </c>
      <c r="B15" s="124">
        <f t="shared" si="0"/>
        <v>50932.305</v>
      </c>
      <c r="C15" s="124">
        <f>95200.57/2</f>
        <v>47600.285000000003</v>
      </c>
      <c r="D15" s="124"/>
      <c r="E15" s="124"/>
      <c r="F15" s="124">
        <f>6664.04/2</f>
        <v>3332.02</v>
      </c>
      <c r="G15" s="124" t="s">
        <v>289</v>
      </c>
      <c r="H15" s="124"/>
      <c r="I15" s="124"/>
      <c r="J15" s="124"/>
      <c r="K15" s="323"/>
      <c r="L15" s="323"/>
      <c r="M15" s="323"/>
      <c r="N15" s="328"/>
      <c r="O15" s="340"/>
      <c r="P15" s="340"/>
      <c r="Q15" s="340"/>
      <c r="R15" s="340"/>
      <c r="S15" s="340"/>
      <c r="T15" s="124"/>
      <c r="U15" s="124"/>
      <c r="V15" s="124"/>
      <c r="W15" s="315"/>
      <c r="X15" s="124"/>
      <c r="Y15" s="124"/>
      <c r="Z15" s="67"/>
      <c r="AA15" s="67">
        <f>AF15/2</f>
        <v>50932.305</v>
      </c>
      <c r="AB15" s="67"/>
      <c r="AC15" s="67"/>
      <c r="AD15" s="67">
        <v>95200.57</v>
      </c>
      <c r="AE15" s="67">
        <v>6664.04</v>
      </c>
      <c r="AF15" s="67">
        <f>AD15+AE15</f>
        <v>101864.61</v>
      </c>
      <c r="AG15" s="67"/>
      <c r="AH15" s="67"/>
    </row>
    <row r="16" spans="1:34" ht="21" x14ac:dyDescent="0.25">
      <c r="A16" s="117" t="s">
        <v>205</v>
      </c>
      <c r="B16" s="124">
        <f t="shared" si="0"/>
        <v>287991.59000000003</v>
      </c>
      <c r="C16" s="124">
        <f>538302.04/2</f>
        <v>269151.02</v>
      </c>
      <c r="D16" s="232"/>
      <c r="E16" s="124"/>
      <c r="F16" s="124">
        <f>37681.14/2</f>
        <v>18840.57</v>
      </c>
      <c r="G16" s="124">
        <v>1439957.9500000002</v>
      </c>
      <c r="H16" s="124"/>
      <c r="I16" s="124"/>
      <c r="J16" s="281">
        <v>1098188.53</v>
      </c>
      <c r="K16" s="327"/>
      <c r="L16" s="327"/>
      <c r="M16" s="327"/>
      <c r="N16" s="332">
        <v>1098188.53</v>
      </c>
      <c r="O16" s="340"/>
      <c r="P16" s="340"/>
      <c r="Q16" s="340"/>
      <c r="R16" s="340">
        <v>1098188.53</v>
      </c>
      <c r="S16" s="340"/>
      <c r="T16" s="284"/>
      <c r="U16" s="284"/>
      <c r="V16" s="284"/>
      <c r="W16" s="315">
        <f>J16</f>
        <v>1098188.53</v>
      </c>
      <c r="X16" s="124"/>
      <c r="Y16" s="124"/>
      <c r="Z16" s="67"/>
      <c r="AA16" s="67">
        <f>AF16/2</f>
        <v>287991.59000000003</v>
      </c>
      <c r="AB16" s="67"/>
      <c r="AC16" s="67"/>
      <c r="AD16" s="67">
        <v>538302.04</v>
      </c>
      <c r="AE16" s="67">
        <v>37681.14</v>
      </c>
      <c r="AF16" s="67">
        <f>AD16+AE16</f>
        <v>575983.18000000005</v>
      </c>
      <c r="AG16" s="67"/>
      <c r="AH16" s="67"/>
    </row>
    <row r="17" spans="1:36" ht="21" x14ac:dyDescent="0.25">
      <c r="A17" s="117" t="s">
        <v>232</v>
      </c>
      <c r="B17" s="124"/>
      <c r="C17" s="124"/>
      <c r="D17" s="232"/>
      <c r="E17" s="124"/>
      <c r="F17" s="124"/>
      <c r="G17" s="124"/>
      <c r="H17" s="124"/>
      <c r="I17" s="124"/>
      <c r="J17" s="282">
        <v>413372.28</v>
      </c>
      <c r="K17" s="323"/>
      <c r="L17" s="323"/>
      <c r="M17" s="323"/>
      <c r="N17" s="328">
        <v>388022.4732925407</v>
      </c>
      <c r="O17" s="340"/>
      <c r="P17" s="340"/>
      <c r="Q17" s="340"/>
      <c r="R17" s="340">
        <v>433301.78211582365</v>
      </c>
      <c r="S17" s="340"/>
      <c r="T17" s="124"/>
      <c r="U17" s="124"/>
      <c r="V17" s="124"/>
      <c r="W17" s="308">
        <f>J17</f>
        <v>413372.28</v>
      </c>
      <c r="X17" s="124">
        <f>X4*7%</f>
        <v>71246.064085786027</v>
      </c>
      <c r="Y17" s="124">
        <f>Y4*7%</f>
        <v>69300</v>
      </c>
      <c r="Z17" s="67"/>
      <c r="AA17" s="67"/>
      <c r="AB17" s="67"/>
      <c r="AC17" s="67"/>
      <c r="AD17" s="67"/>
      <c r="AE17" s="67"/>
      <c r="AF17" s="67"/>
      <c r="AG17" s="67"/>
      <c r="AH17" s="67"/>
    </row>
    <row r="18" spans="1:36" ht="21" x14ac:dyDescent="0.25">
      <c r="A18" s="117" t="s">
        <v>207</v>
      </c>
      <c r="B18" s="124">
        <f>B3+B4+B15+B16</f>
        <v>4236913.4249999998</v>
      </c>
      <c r="C18" s="124"/>
      <c r="D18" s="124">
        <f>SUM(D3:D17)</f>
        <v>146317.70810647885</v>
      </c>
      <c r="E18" s="124"/>
      <c r="F18" s="124"/>
      <c r="G18" s="124">
        <f>G3+G4+G16</f>
        <v>6242440.3399499999</v>
      </c>
      <c r="H18" s="124"/>
      <c r="I18" s="124"/>
      <c r="J18" s="124">
        <f>J3+J4+J16+J17</f>
        <v>7416879.168778073</v>
      </c>
      <c r="K18" s="323"/>
      <c r="L18" s="323"/>
      <c r="M18" s="323"/>
      <c r="N18" s="333">
        <f>N3+N4+N16+N17</f>
        <v>7029389.1931859795</v>
      </c>
      <c r="O18" s="340"/>
      <c r="P18" s="340"/>
      <c r="Q18" s="340"/>
      <c r="R18" s="340"/>
      <c r="S18" s="340"/>
      <c r="T18" s="124"/>
      <c r="U18" s="124"/>
      <c r="V18" s="124"/>
      <c r="W18" s="316">
        <f>W3+W4+W16+W17</f>
        <v>7029448.5750000002</v>
      </c>
      <c r="X18" s="229">
        <f>X4+X17</f>
        <v>1089046.9795970151</v>
      </c>
      <c r="Y18" s="229">
        <f>Y4+Y17</f>
        <v>1059300</v>
      </c>
      <c r="Z18" s="124"/>
      <c r="AA18" s="67"/>
      <c r="AB18" s="67"/>
      <c r="AC18" s="67"/>
      <c r="AD18" s="67">
        <v>9994746.7616981622</v>
      </c>
      <c r="AE18" s="67"/>
      <c r="AF18" s="67"/>
      <c r="AG18" s="67"/>
      <c r="AH18" s="67">
        <f>AH19</f>
        <v>23470014</v>
      </c>
    </row>
    <row r="19" spans="1:36" ht="21" x14ac:dyDescent="0.25">
      <c r="A19" s="240" t="s">
        <v>211</v>
      </c>
      <c r="B19" s="323">
        <f>B18</f>
        <v>4236913.4249999998</v>
      </c>
      <c r="C19" s="124"/>
      <c r="D19" s="124"/>
      <c r="E19" s="124"/>
      <c r="F19" s="124"/>
      <c r="G19" s="124">
        <f>Z19-B19</f>
        <v>7029448.5750000002</v>
      </c>
      <c r="H19" s="316">
        <v>7029448.5750000002</v>
      </c>
      <c r="I19" s="124"/>
      <c r="J19" s="125">
        <f>H19-J18</f>
        <v>-387430.59377807286</v>
      </c>
      <c r="K19" s="125"/>
      <c r="L19" s="125"/>
      <c r="M19" s="125"/>
      <c r="N19" s="328">
        <f>H19-N18</f>
        <v>59.381814020685852</v>
      </c>
      <c r="O19" s="340"/>
      <c r="P19" s="340"/>
      <c r="Q19" s="340"/>
      <c r="R19" s="340">
        <f>R3+R4+R16+R17</f>
        <v>7029313.2237133048</v>
      </c>
      <c r="S19" s="340"/>
      <c r="T19" s="125">
        <f>-J19</f>
        <v>387430.59377807286</v>
      </c>
      <c r="U19" s="125"/>
      <c r="V19" s="125"/>
      <c r="W19" s="316">
        <f>H19</f>
        <v>7029448.5750000002</v>
      </c>
      <c r="X19" s="124"/>
      <c r="Y19" s="124"/>
      <c r="Z19" s="323">
        <v>11266362</v>
      </c>
      <c r="AA19" s="67"/>
      <c r="AB19" s="67"/>
      <c r="AC19" s="67">
        <v>12203652</v>
      </c>
      <c r="AD19" s="67"/>
      <c r="AE19" s="67"/>
      <c r="AF19" s="67"/>
      <c r="AG19" s="67"/>
      <c r="AH19" s="67">
        <v>23470014</v>
      </c>
    </row>
    <row r="20" spans="1:36" ht="23.25" x14ac:dyDescent="0.35">
      <c r="A20" s="222"/>
      <c r="B20" s="222"/>
      <c r="C20" s="222"/>
      <c r="D20" s="222"/>
      <c r="E20" s="222"/>
      <c r="F20" s="222"/>
      <c r="G20" s="222"/>
      <c r="H20" s="222"/>
      <c r="J20" s="222"/>
      <c r="N20" s="119">
        <f>SUM(N12:N14)</f>
        <v>526699.86383233021</v>
      </c>
      <c r="O20" s="341"/>
      <c r="P20" s="341"/>
      <c r="Q20" s="341"/>
      <c r="R20" s="342">
        <v>7029448.5750000002</v>
      </c>
      <c r="S20" s="341"/>
      <c r="Y20" s="353" t="s">
        <v>436</v>
      </c>
      <c r="Z20" s="353">
        <f>Z19/AH19*100</f>
        <v>48.003218063696082</v>
      </c>
      <c r="AA20" s="352"/>
      <c r="AB20" s="352"/>
      <c r="AC20" s="353">
        <f>AC19/AH19*100</f>
        <v>51.996781936303918</v>
      </c>
      <c r="AG20" s="221">
        <v>0.5</v>
      </c>
      <c r="AH20" s="67">
        <f>AH19/2</f>
        <v>11735007</v>
      </c>
      <c r="AI20" s="67" t="s">
        <v>202</v>
      </c>
      <c r="AJ20" s="59"/>
    </row>
    <row r="21" spans="1:36" ht="42" hidden="1" x14ac:dyDescent="0.35">
      <c r="D21" s="63"/>
      <c r="E21" s="63"/>
      <c r="F21" s="63"/>
      <c r="G21" s="63"/>
      <c r="H21" s="241" t="s">
        <v>419</v>
      </c>
      <c r="I21" s="241"/>
      <c r="J21" s="241" t="s">
        <v>420</v>
      </c>
      <c r="K21" s="241"/>
      <c r="L21" s="241"/>
      <c r="M21" s="241"/>
      <c r="N21" s="241"/>
      <c r="O21" s="241"/>
      <c r="P21" s="241"/>
      <c r="Q21" s="241"/>
      <c r="R21" s="241"/>
      <c r="S21" s="241"/>
      <c r="T21" s="241"/>
      <c r="U21" s="241"/>
      <c r="V21" s="241"/>
      <c r="W21" s="241"/>
      <c r="X21" s="241" t="s">
        <v>421</v>
      </c>
      <c r="Y21" s="2"/>
      <c r="AF21" s="223" t="s">
        <v>202</v>
      </c>
      <c r="AG21" s="224">
        <f>Z19/2</f>
        <v>5633181</v>
      </c>
      <c r="AH21" s="67">
        <v>5633181</v>
      </c>
      <c r="AI21" s="224"/>
    </row>
    <row r="22" spans="1:36" ht="42" hidden="1" x14ac:dyDescent="0.35">
      <c r="D22" s="242" t="s">
        <v>407</v>
      </c>
      <c r="E22" s="63"/>
      <c r="F22" s="63"/>
      <c r="G22" s="63"/>
      <c r="H22" s="243">
        <f>N4</f>
        <v>2193522.1226934381</v>
      </c>
      <c r="I22" s="243"/>
      <c r="J22" s="243"/>
      <c r="K22" s="243"/>
      <c r="L22" s="243"/>
      <c r="M22" s="243"/>
      <c r="N22" s="243"/>
      <c r="O22" s="243"/>
      <c r="P22" s="243"/>
      <c r="Q22" s="243"/>
      <c r="R22" s="243"/>
      <c r="S22" s="243"/>
      <c r="T22" s="243"/>
      <c r="U22" s="243"/>
      <c r="V22" s="243"/>
      <c r="W22" s="243"/>
      <c r="X22" s="243"/>
      <c r="Y22" s="2"/>
      <c r="AF22" s="230" t="s">
        <v>203</v>
      </c>
      <c r="AG22" s="231">
        <f>AC19/2</f>
        <v>6101826</v>
      </c>
      <c r="AH22" s="67">
        <f>AH23+AH25+AI27</f>
        <v>5633180.5583300004</v>
      </c>
      <c r="AI22" s="224">
        <f>AH21-AH22</f>
        <v>0.44166999962180853</v>
      </c>
    </row>
    <row r="23" spans="1:36" s="222" customFormat="1" ht="21" hidden="1" x14ac:dyDescent="0.35">
      <c r="D23" s="242" t="s">
        <v>411</v>
      </c>
      <c r="E23" s="63"/>
      <c r="F23" s="63"/>
      <c r="G23" s="63"/>
      <c r="H23" s="244">
        <f>H22/2.5</f>
        <v>877408.84907737526</v>
      </c>
      <c r="I23" s="244"/>
      <c r="J23" s="244">
        <v>1059300</v>
      </c>
      <c r="K23" s="244"/>
      <c r="L23" s="244"/>
      <c r="M23" s="244"/>
      <c r="N23" s="244"/>
      <c r="O23" s="244"/>
      <c r="P23" s="244"/>
      <c r="Q23" s="244"/>
      <c r="R23" s="244"/>
      <c r="S23" s="244"/>
      <c r="T23" s="244"/>
      <c r="U23" s="244"/>
      <c r="V23" s="244"/>
      <c r="W23" s="244"/>
      <c r="X23" s="244">
        <v>1089046.9795970151</v>
      </c>
      <c r="AF23" s="221" t="s">
        <v>404</v>
      </c>
      <c r="AG23" s="67">
        <v>12703000</v>
      </c>
      <c r="AH23" s="228">
        <f>(AH21-AI27)*91%-4763</f>
        <v>4762598.0803000005</v>
      </c>
      <c r="AI23" s="226">
        <v>5891179</v>
      </c>
    </row>
    <row r="24" spans="1:36" ht="63" hidden="1" x14ac:dyDescent="0.35">
      <c r="D24" s="242" t="s">
        <v>408</v>
      </c>
      <c r="E24" s="63"/>
      <c r="F24" s="63"/>
      <c r="G24" s="63"/>
      <c r="H24" s="243">
        <f>H22+D18</f>
        <v>2339839.8307999168</v>
      </c>
      <c r="I24" s="243"/>
      <c r="J24" s="243"/>
      <c r="K24" s="243"/>
      <c r="L24" s="243"/>
      <c r="M24" s="243"/>
      <c r="N24" s="243"/>
      <c r="O24" s="243"/>
      <c r="P24" s="243"/>
      <c r="Q24" s="243"/>
      <c r="R24" s="243"/>
      <c r="S24" s="243"/>
      <c r="T24" s="243"/>
      <c r="U24" s="243"/>
      <c r="V24" s="243"/>
      <c r="W24" s="243"/>
      <c r="X24" s="243"/>
      <c r="Y24" s="2"/>
      <c r="AF24" s="221" t="s">
        <v>414</v>
      </c>
      <c r="AG24" s="67">
        <f>SUM(AH21:AH27)</f>
        <v>17483350.446660001</v>
      </c>
      <c r="AH24" s="67"/>
      <c r="AI24" s="227">
        <f>AH23-AI23</f>
        <v>-1128580.9196999995</v>
      </c>
    </row>
    <row r="25" spans="1:36" ht="31.5" hidden="1" x14ac:dyDescent="0.35">
      <c r="D25" s="63" t="s">
        <v>409</v>
      </c>
      <c r="E25" s="63"/>
      <c r="F25" s="63"/>
      <c r="G25" s="63"/>
      <c r="H25" s="244">
        <f>H24/2.5</f>
        <v>935935.93231996673</v>
      </c>
      <c r="I25" s="244"/>
      <c r="J25" s="244"/>
      <c r="K25" s="244"/>
      <c r="L25" s="244"/>
      <c r="M25" s="244"/>
      <c r="N25" s="244"/>
      <c r="O25" s="244"/>
      <c r="P25" s="244"/>
      <c r="Q25" s="244"/>
      <c r="R25" s="244"/>
      <c r="S25" s="244"/>
      <c r="T25" s="244"/>
      <c r="U25" s="244"/>
      <c r="V25" s="244"/>
      <c r="W25" s="244"/>
      <c r="X25" s="244"/>
      <c r="Y25" s="2"/>
      <c r="AF25" s="221" t="s">
        <v>415</v>
      </c>
      <c r="AG25" s="67">
        <f>AG24*100/AH19</f>
        <v>74.492288102853294</v>
      </c>
      <c r="AH25" s="224">
        <f>AH23*10%</f>
        <v>476259.80803000007</v>
      </c>
    </row>
    <row r="26" spans="1:36" ht="84" hidden="1" x14ac:dyDescent="0.35">
      <c r="D26" s="242" t="s">
        <v>410</v>
      </c>
      <c r="E26" s="63"/>
      <c r="F26" s="63"/>
      <c r="G26" s="63"/>
      <c r="H26" s="243">
        <v>1000000</v>
      </c>
      <c r="I26" s="243"/>
      <c r="J26" s="243"/>
      <c r="K26" s="243"/>
      <c r="L26" s="243"/>
      <c r="M26" s="243"/>
      <c r="N26" s="243"/>
      <c r="O26" s="243"/>
      <c r="P26" s="243"/>
      <c r="Q26" s="243"/>
      <c r="R26" s="243"/>
      <c r="S26" s="243"/>
      <c r="T26" s="243"/>
      <c r="U26" s="243"/>
      <c r="V26" s="243"/>
      <c r="W26" s="243"/>
      <c r="X26" s="243"/>
      <c r="Y26" s="2"/>
      <c r="AF26" s="221" t="s">
        <v>412</v>
      </c>
      <c r="AG26" s="67">
        <f>AG23*10%</f>
        <v>1270300</v>
      </c>
      <c r="AH26" s="224"/>
    </row>
    <row r="27" spans="1:36" hidden="1" x14ac:dyDescent="0.25">
      <c r="AG27" s="221" t="s">
        <v>413</v>
      </c>
      <c r="AH27" s="67">
        <f>(AG23+AG26)*7%</f>
        <v>978131.00000000012</v>
      </c>
      <c r="AI27" s="224">
        <f>AG21*7%</f>
        <v>394322.67000000004</v>
      </c>
    </row>
    <row r="28" spans="1:36" hidden="1" x14ac:dyDescent="0.25">
      <c r="B28" s="2" t="s">
        <v>221</v>
      </c>
      <c r="C28" s="2" t="s">
        <v>226</v>
      </c>
      <c r="D28" s="2" t="s">
        <v>424</v>
      </c>
      <c r="AI28" s="119"/>
    </row>
    <row r="29" spans="1:36" hidden="1" x14ac:dyDescent="0.25">
      <c r="A29" s="2" t="s">
        <v>425</v>
      </c>
      <c r="B29" s="270">
        <v>7832177.0785602974</v>
      </c>
      <c r="C29" s="2">
        <v>6377689.2879029447</v>
      </c>
      <c r="D29" s="2">
        <v>14209866.366463242</v>
      </c>
    </row>
    <row r="30" spans="1:36" hidden="1" x14ac:dyDescent="0.25">
      <c r="B30" s="270"/>
    </row>
    <row r="31" spans="1:36" hidden="1" x14ac:dyDescent="0.25">
      <c r="A31" s="2" t="s">
        <v>426</v>
      </c>
      <c r="B31" s="270">
        <v>2555662.2887780718</v>
      </c>
      <c r="C31" s="2">
        <v>2153763.3336807205</v>
      </c>
      <c r="D31" s="2">
        <v>4709425.6224587923</v>
      </c>
    </row>
    <row r="32" spans="1:36" hidden="1" x14ac:dyDescent="0.25">
      <c r="A32" s="2" t="s">
        <v>427</v>
      </c>
      <c r="B32" s="270">
        <v>3713517.5499600004</v>
      </c>
      <c r="C32" s="2">
        <v>2660928.7143999999</v>
      </c>
      <c r="D32" s="2">
        <v>6374446.2643600004</v>
      </c>
    </row>
    <row r="33" spans="1:4" hidden="1" x14ac:dyDescent="0.25">
      <c r="A33" s="2" t="s">
        <v>428</v>
      </c>
      <c r="B33" s="270">
        <v>1562997.2398222247</v>
      </c>
      <c r="C33" s="2">
        <v>1562997.2398222247</v>
      </c>
      <c r="D33" s="2">
        <v>3125994.4796444494</v>
      </c>
    </row>
    <row r="34" spans="1:4" hidden="1" x14ac:dyDescent="0.25">
      <c r="A34" s="2" t="s">
        <v>424</v>
      </c>
      <c r="B34" s="270">
        <v>7832177.0785602974</v>
      </c>
      <c r="C34" s="2">
        <v>6377689.2879029447</v>
      </c>
      <c r="D34" s="2">
        <v>14209866.366463242</v>
      </c>
    </row>
  </sheetData>
  <mergeCells count="3">
    <mergeCell ref="AA1:AC1"/>
    <mergeCell ref="AD1:AH1"/>
    <mergeCell ref="D2:E2"/>
  </mergeCells>
  <pageMargins left="0.7" right="0.7" top="0.75" bottom="0.75" header="0.3" footer="0.3"/>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85"/>
  <sheetViews>
    <sheetView topLeftCell="A47" workbookViewId="0">
      <selection activeCell="I38" sqref="I38"/>
    </sheetView>
  </sheetViews>
  <sheetFormatPr defaultRowHeight="15" x14ac:dyDescent="0.25"/>
  <cols>
    <col min="1" max="1" width="12.85546875" style="222" customWidth="1"/>
    <col min="2" max="2" width="9.140625" style="222"/>
    <col min="3" max="3" width="81.7109375" style="222" bestFit="1" customWidth="1"/>
    <col min="4" max="4" width="31.5703125" style="222" customWidth="1"/>
    <col min="5" max="5" width="30" style="222" bestFit="1" customWidth="1"/>
    <col min="6" max="6" width="24.140625" style="222" bestFit="1" customWidth="1"/>
    <col min="7" max="8" width="9.140625" style="222"/>
    <col min="9" max="9" width="18.7109375" style="222" customWidth="1"/>
    <col min="10" max="16384" width="9.140625" style="222"/>
  </cols>
  <sheetData>
    <row r="3" spans="1:6" x14ac:dyDescent="0.25">
      <c r="D3" s="363" t="s">
        <v>437</v>
      </c>
    </row>
    <row r="4" spans="1:6" x14ac:dyDescent="0.25">
      <c r="A4" s="363" t="s">
        <v>218</v>
      </c>
      <c r="B4" s="363" t="s">
        <v>438</v>
      </c>
      <c r="C4" s="363" t="s">
        <v>439</v>
      </c>
      <c r="D4" s="222" t="s">
        <v>440</v>
      </c>
      <c r="E4" s="222" t="s">
        <v>441</v>
      </c>
      <c r="F4" s="222" t="s">
        <v>442</v>
      </c>
    </row>
    <row r="5" spans="1:6" x14ac:dyDescent="0.25">
      <c r="A5" s="222" t="s">
        <v>221</v>
      </c>
      <c r="B5" s="222" t="s">
        <v>367</v>
      </c>
      <c r="C5" s="222" t="s">
        <v>443</v>
      </c>
      <c r="D5" s="354">
        <v>300</v>
      </c>
      <c r="E5" s="355">
        <v>300</v>
      </c>
      <c r="F5" s="354">
        <v>0</v>
      </c>
    </row>
    <row r="6" spans="1:6" x14ac:dyDescent="0.25">
      <c r="C6" s="222" t="s">
        <v>401</v>
      </c>
      <c r="D6" s="354">
        <v>16740</v>
      </c>
      <c r="E6" s="355">
        <v>16740</v>
      </c>
      <c r="F6" s="354">
        <v>0</v>
      </c>
    </row>
    <row r="7" spans="1:6" x14ac:dyDescent="0.25">
      <c r="C7" s="222" t="s">
        <v>444</v>
      </c>
      <c r="D7" s="354">
        <v>2280.7017543859647</v>
      </c>
      <c r="E7" s="355">
        <v>2280.7017543859647</v>
      </c>
      <c r="F7" s="354">
        <v>0</v>
      </c>
    </row>
    <row r="8" spans="1:6" x14ac:dyDescent="0.25">
      <c r="C8" s="222" t="s">
        <v>445</v>
      </c>
      <c r="D8" s="354">
        <v>777648.24</v>
      </c>
      <c r="E8" s="355">
        <v>124272.22</v>
      </c>
      <c r="F8" s="354">
        <v>653376.02</v>
      </c>
    </row>
    <row r="9" spans="1:6" x14ac:dyDescent="0.25">
      <c r="C9" s="222" t="s">
        <v>446</v>
      </c>
      <c r="D9" s="354">
        <v>96000</v>
      </c>
      <c r="E9" s="355">
        <v>86400</v>
      </c>
      <c r="F9" s="354">
        <v>9600</v>
      </c>
    </row>
    <row r="10" spans="1:6" x14ac:dyDescent="0.25">
      <c r="C10" s="222" t="s">
        <v>447</v>
      </c>
      <c r="D10" s="354">
        <v>8775</v>
      </c>
      <c r="E10" s="355">
        <v>0</v>
      </c>
      <c r="F10" s="354">
        <v>8775</v>
      </c>
    </row>
    <row r="11" spans="1:6" x14ac:dyDescent="0.25">
      <c r="C11" s="222" t="s">
        <v>448</v>
      </c>
      <c r="D11" s="354">
        <v>68580.72</v>
      </c>
      <c r="E11" s="355">
        <v>0</v>
      </c>
      <c r="F11" s="354">
        <v>68580.72</v>
      </c>
    </row>
    <row r="12" spans="1:6" x14ac:dyDescent="0.25">
      <c r="C12" s="222" t="s">
        <v>449</v>
      </c>
      <c r="D12" s="354">
        <v>136973.20000000001</v>
      </c>
      <c r="E12" s="355">
        <v>0</v>
      </c>
      <c r="F12" s="354">
        <v>136973.20000000001</v>
      </c>
    </row>
    <row r="13" spans="1:6" x14ac:dyDescent="0.25">
      <c r="C13" s="222" t="s">
        <v>450</v>
      </c>
      <c r="D13" s="354">
        <v>95040</v>
      </c>
      <c r="E13" s="355">
        <v>0</v>
      </c>
      <c r="F13" s="354">
        <v>95040</v>
      </c>
    </row>
    <row r="14" spans="1:6" x14ac:dyDescent="0.25">
      <c r="C14" s="222" t="s">
        <v>451</v>
      </c>
      <c r="D14" s="354">
        <v>95883</v>
      </c>
      <c r="E14" s="355">
        <v>0</v>
      </c>
      <c r="F14" s="354">
        <v>95883</v>
      </c>
    </row>
    <row r="15" spans="1:6" x14ac:dyDescent="0.25">
      <c r="C15" s="222" t="s">
        <v>452</v>
      </c>
      <c r="D15" s="354">
        <v>144605.42666666667</v>
      </c>
      <c r="E15" s="355">
        <v>0</v>
      </c>
      <c r="F15" s="354">
        <v>144605.42666666667</v>
      </c>
    </row>
    <row r="16" spans="1:6" x14ac:dyDescent="0.25">
      <c r="C16" s="222" t="s">
        <v>453</v>
      </c>
      <c r="D16" s="354">
        <v>374211.04000000004</v>
      </c>
      <c r="E16" s="355">
        <v>59120</v>
      </c>
      <c r="F16" s="354">
        <v>315091.04000000004</v>
      </c>
    </row>
    <row r="17" spans="2:10" x14ac:dyDescent="0.25">
      <c r="C17" s="222" t="s">
        <v>454</v>
      </c>
      <c r="D17" s="354">
        <v>171080</v>
      </c>
      <c r="E17" s="355">
        <v>59260</v>
      </c>
      <c r="F17" s="354">
        <v>111820</v>
      </c>
    </row>
    <row r="18" spans="2:10" x14ac:dyDescent="0.25">
      <c r="C18" s="222" t="s">
        <v>455</v>
      </c>
      <c r="D18" s="354">
        <v>428582.10153333336</v>
      </c>
      <c r="E18" s="355">
        <v>52120.380000000005</v>
      </c>
      <c r="F18" s="354">
        <v>376461.7215333333</v>
      </c>
    </row>
    <row r="19" spans="2:10" ht="15.75" thickBot="1" x14ac:dyDescent="0.3">
      <c r="B19" s="356" t="s">
        <v>456</v>
      </c>
      <c r="C19" s="356"/>
      <c r="D19" s="357">
        <v>2416699.4299543863</v>
      </c>
      <c r="E19" s="357">
        <v>400493.30175438593</v>
      </c>
      <c r="F19" s="357">
        <v>2016206.1282000002</v>
      </c>
    </row>
    <row r="20" spans="2:10" ht="15.75" thickTop="1" x14ac:dyDescent="0.25">
      <c r="B20" s="222" t="s">
        <v>343</v>
      </c>
      <c r="C20" s="222" t="s">
        <v>349</v>
      </c>
      <c r="D20" s="354">
        <v>149370.63749999998</v>
      </c>
      <c r="E20" s="355">
        <v>119162.8366008772</v>
      </c>
      <c r="F20" s="354">
        <v>30207.800899122802</v>
      </c>
    </row>
    <row r="21" spans="2:10" x14ac:dyDescent="0.25">
      <c r="C21" s="222" t="s">
        <v>342</v>
      </c>
      <c r="D21" s="354">
        <v>522752.09685672517</v>
      </c>
      <c r="E21" s="355">
        <v>398607.15921052633</v>
      </c>
      <c r="F21" s="354">
        <v>124144.93764619881</v>
      </c>
    </row>
    <row r="22" spans="2:10" x14ac:dyDescent="0.25">
      <c r="C22" s="222" t="s">
        <v>368</v>
      </c>
      <c r="D22" s="354">
        <v>162370.87914208754</v>
      </c>
      <c r="E22" s="355">
        <v>128475.80172432383</v>
      </c>
      <c r="F22" s="354">
        <v>33895.077417763721</v>
      </c>
    </row>
    <row r="23" spans="2:10" x14ac:dyDescent="0.25">
      <c r="C23" s="222" t="s">
        <v>457</v>
      </c>
      <c r="D23" s="354">
        <v>160889.7858577274</v>
      </c>
      <c r="E23" s="355">
        <v>112863.73450292395</v>
      </c>
      <c r="F23" s="354">
        <v>48026.051354803465</v>
      </c>
    </row>
    <row r="24" spans="2:10" x14ac:dyDescent="0.25">
      <c r="C24" s="222" t="s">
        <v>458</v>
      </c>
      <c r="D24" s="354">
        <v>21977.192982456141</v>
      </c>
      <c r="E24" s="355">
        <v>6697.0760233918118</v>
      </c>
      <c r="F24" s="354">
        <v>15280.116959064328</v>
      </c>
    </row>
    <row r="25" spans="2:10" x14ac:dyDescent="0.25">
      <c r="C25" s="222" t="s">
        <v>459</v>
      </c>
      <c r="D25" s="354">
        <v>55968</v>
      </c>
      <c r="E25" s="355">
        <v>24561.403508771928</v>
      </c>
      <c r="F25" s="354">
        <v>31406.596491228072</v>
      </c>
    </row>
    <row r="26" spans="2:10" x14ac:dyDescent="0.25">
      <c r="C26" s="222" t="s">
        <v>460</v>
      </c>
      <c r="D26" s="354">
        <v>13433.060233918128</v>
      </c>
      <c r="E26" s="355">
        <v>7547.3245614035077</v>
      </c>
      <c r="F26" s="354">
        <v>5885.7356725146201</v>
      </c>
    </row>
    <row r="27" spans="2:10" x14ac:dyDescent="0.25">
      <c r="C27" s="222" t="s">
        <v>461</v>
      </c>
      <c r="D27" s="354">
        <v>10321.778659223815</v>
      </c>
      <c r="E27" s="355">
        <v>8847.1947789473688</v>
      </c>
      <c r="F27" s="354">
        <v>1474.5838802764479</v>
      </c>
    </row>
    <row r="28" spans="2:10" x14ac:dyDescent="0.25">
      <c r="C28" s="222" t="s">
        <v>462</v>
      </c>
      <c r="D28" s="354">
        <v>21957.169590643276</v>
      </c>
      <c r="E28" s="355">
        <v>858.55263157894728</v>
      </c>
      <c r="F28" s="354">
        <v>21098.616959064326</v>
      </c>
    </row>
    <row r="29" spans="2:10" x14ac:dyDescent="0.25">
      <c r="C29" s="222" t="s">
        <v>463</v>
      </c>
      <c r="D29" s="354">
        <v>68067.019078947356</v>
      </c>
      <c r="E29" s="355">
        <v>58932.301973684211</v>
      </c>
      <c r="F29" s="354">
        <v>9134.7171052631493</v>
      </c>
    </row>
    <row r="30" spans="2:10" x14ac:dyDescent="0.25">
      <c r="C30" s="222" t="s">
        <v>444</v>
      </c>
      <c r="D30" s="354">
        <v>36385.270833333328</v>
      </c>
      <c r="E30" s="355">
        <v>23114.73684210526</v>
      </c>
      <c r="F30" s="354">
        <v>13270.533991228071</v>
      </c>
      <c r="H30" s="222">
        <f>126000/2</f>
        <v>63000</v>
      </c>
      <c r="I30" s="222">
        <f>GETPIVOTDATA("Сумма по полю Y1 Revised 1-4",$A$3,"Component","HIV","Recipient Type","SR")+H30</f>
        <v>953998.64867432369</v>
      </c>
    </row>
    <row r="31" spans="2:10" x14ac:dyDescent="0.25">
      <c r="C31" s="222" t="s">
        <v>464</v>
      </c>
      <c r="D31" s="354">
        <v>219.29824561403507</v>
      </c>
      <c r="E31" s="355">
        <v>1330.5263157894735</v>
      </c>
      <c r="F31" s="354">
        <v>-1111.2280701754385</v>
      </c>
      <c r="I31" s="222">
        <f>I30+GETPIVOTDATA("Сумма по полю Y1 Revised 1-4",$A$3,"Component","HIV","Recipient Type","PR")</f>
        <v>1354491.9504287096</v>
      </c>
      <c r="J31" s="215">
        <f>I31/G83*100</f>
        <v>48.769367726586765</v>
      </c>
    </row>
    <row r="32" spans="2:10" ht="19.5" thickBot="1" x14ac:dyDescent="0.35">
      <c r="B32" s="356" t="s">
        <v>465</v>
      </c>
      <c r="C32" s="356"/>
      <c r="D32" s="357">
        <v>1223712.188980676</v>
      </c>
      <c r="E32" s="357">
        <v>890998.64867432369</v>
      </c>
      <c r="F32" s="357">
        <v>332713.54030635231</v>
      </c>
      <c r="G32" s="222">
        <f>GETPIVOTDATA("Сумма по полю Y1 Revised 1-4",$A$3,"Component","HIV","Recipient Type","SR")+126000/2</f>
        <v>953998.64867432369</v>
      </c>
      <c r="H32" s="222">
        <v>1060536.7107894737</v>
      </c>
      <c r="I32" s="252">
        <f>H32-G32</f>
        <v>106538.06211515004</v>
      </c>
    </row>
    <row r="33" spans="1:9" ht="15.75" thickTop="1" x14ac:dyDescent="0.25">
      <c r="A33" s="358" t="s">
        <v>466</v>
      </c>
      <c r="B33" s="358"/>
      <c r="C33" s="358"/>
      <c r="D33" s="359">
        <v>3640411.6189350626</v>
      </c>
      <c r="E33" s="359">
        <v>1291491.9504287096</v>
      </c>
      <c r="F33" s="359">
        <v>2348919.6685063527</v>
      </c>
      <c r="G33" s="215">
        <f>GETPIVOTDATA("Сумма по полю Y1 Revised 1-4",$A$3,"Component","HIV")/G83*100</f>
        <v>46.501011561160674</v>
      </c>
      <c r="H33" s="222">
        <f>GETPIVOTDATA("Сумма по полю Y1 Revised 1-4",$A$3,"Component","HIV")+100000</f>
        <v>1391491.9504287096</v>
      </c>
      <c r="I33" s="215">
        <f>H33/G83*100</f>
        <v>50.101576903106846</v>
      </c>
    </row>
    <row r="34" spans="1:9" x14ac:dyDescent="0.25">
      <c r="A34" s="222" t="s">
        <v>467</v>
      </c>
      <c r="B34" s="222" t="s">
        <v>343</v>
      </c>
      <c r="C34" s="222" t="s">
        <v>349</v>
      </c>
      <c r="D34" s="354">
        <v>45254.385964912275</v>
      </c>
      <c r="E34" s="355">
        <v>0</v>
      </c>
      <c r="F34" s="354">
        <v>45254.385964912275</v>
      </c>
      <c r="I34" s="222">
        <f>I30+GETPIVOTDATA("Сумма по полю Y1 Revised 1-4",$A$3,"Component","MOH","Recipient Type","SR")</f>
        <v>964078.64867432369</v>
      </c>
    </row>
    <row r="35" spans="1:9" ht="15.75" x14ac:dyDescent="0.25">
      <c r="C35" s="222" t="s">
        <v>342</v>
      </c>
      <c r="D35" s="354">
        <v>40132.412280701756</v>
      </c>
      <c r="E35" s="355">
        <v>9000</v>
      </c>
      <c r="F35" s="354">
        <v>31132.412280701756</v>
      </c>
      <c r="I35" s="408">
        <f>H32-I34</f>
        <v>96458.062115150038</v>
      </c>
    </row>
    <row r="36" spans="1:9" x14ac:dyDescent="0.25">
      <c r="C36" s="222" t="s">
        <v>457</v>
      </c>
      <c r="D36" s="354">
        <v>3343.4210526315787</v>
      </c>
      <c r="E36" s="355">
        <v>1080</v>
      </c>
      <c r="F36" s="354">
        <v>2263.4210526315787</v>
      </c>
    </row>
    <row r="37" spans="1:9" x14ac:dyDescent="0.25">
      <c r="C37" s="222" t="s">
        <v>401</v>
      </c>
      <c r="D37" s="354">
        <v>3720</v>
      </c>
      <c r="E37" s="355">
        <v>0</v>
      </c>
      <c r="F37" s="354">
        <v>3720</v>
      </c>
    </row>
    <row r="38" spans="1:9" x14ac:dyDescent="0.25">
      <c r="C38" s="222" t="s">
        <v>461</v>
      </c>
      <c r="D38" s="354">
        <v>1515.3508771929824</v>
      </c>
      <c r="E38" s="355">
        <v>0</v>
      </c>
      <c r="F38" s="354">
        <v>1515.3508771929824</v>
      </c>
      <c r="I38" s="222">
        <f>GETPIVOTDATA("Сумма по полю Y1 Revised 1-4",$A$3,"Component","HIV","Recipient Type","SR")+63000</f>
        <v>953998.64867432369</v>
      </c>
    </row>
    <row r="39" spans="1:9" x14ac:dyDescent="0.25">
      <c r="C39" s="222" t="s">
        <v>462</v>
      </c>
      <c r="D39" s="354">
        <v>1235</v>
      </c>
      <c r="E39" s="355">
        <v>0</v>
      </c>
      <c r="F39" s="354">
        <v>1235</v>
      </c>
    </row>
    <row r="40" spans="1:9" ht="15.75" thickBot="1" x14ac:dyDescent="0.3">
      <c r="B40" s="356" t="s">
        <v>465</v>
      </c>
      <c r="C40" s="356"/>
      <c r="D40" s="357">
        <v>95200.570175438581</v>
      </c>
      <c r="E40" s="357">
        <v>10080</v>
      </c>
      <c r="F40" s="357">
        <v>85120.570175438581</v>
      </c>
    </row>
    <row r="41" spans="1:9" ht="15.75" thickTop="1" x14ac:dyDescent="0.25">
      <c r="A41" s="358" t="s">
        <v>468</v>
      </c>
      <c r="B41" s="358"/>
      <c r="C41" s="358"/>
      <c r="D41" s="359">
        <v>95200.570175438581</v>
      </c>
      <c r="E41" s="359">
        <v>10080</v>
      </c>
      <c r="F41" s="359">
        <v>85120.570175438581</v>
      </c>
      <c r="G41" s="222" t="s">
        <v>520</v>
      </c>
    </row>
    <row r="42" spans="1:9" x14ac:dyDescent="0.25">
      <c r="A42" s="222" t="s">
        <v>226</v>
      </c>
      <c r="B42" s="222" t="s">
        <v>367</v>
      </c>
      <c r="C42" s="222" t="s">
        <v>458</v>
      </c>
      <c r="D42" s="354">
        <v>27252.799707602338</v>
      </c>
      <c r="E42" s="355">
        <v>17810</v>
      </c>
      <c r="F42" s="354">
        <v>9442.7997076023385</v>
      </c>
    </row>
    <row r="43" spans="1:9" x14ac:dyDescent="0.25">
      <c r="C43" s="222" t="s">
        <v>460</v>
      </c>
      <c r="D43" s="354">
        <v>13099.41520467836</v>
      </c>
      <c r="E43" s="355">
        <v>13099.41520467836</v>
      </c>
      <c r="F43" s="354">
        <v>0</v>
      </c>
    </row>
    <row r="44" spans="1:9" x14ac:dyDescent="0.25">
      <c r="C44" s="222" t="s">
        <v>401</v>
      </c>
      <c r="D44" s="354">
        <v>10044</v>
      </c>
      <c r="E44" s="355">
        <v>0</v>
      </c>
      <c r="F44" s="354">
        <v>10044</v>
      </c>
    </row>
    <row r="45" spans="1:9" x14ac:dyDescent="0.25">
      <c r="C45" s="222" t="s">
        <v>469</v>
      </c>
      <c r="D45" s="354">
        <v>3740</v>
      </c>
      <c r="E45" s="355">
        <v>0</v>
      </c>
      <c r="F45" s="354">
        <v>3740</v>
      </c>
    </row>
    <row r="46" spans="1:9" x14ac:dyDescent="0.25">
      <c r="C46" s="222" t="s">
        <v>461</v>
      </c>
      <c r="D46" s="354">
        <v>37224.203216374262</v>
      </c>
      <c r="E46" s="355">
        <v>0</v>
      </c>
      <c r="F46" s="354">
        <v>37224.203216374262</v>
      </c>
    </row>
    <row r="47" spans="1:9" x14ac:dyDescent="0.25">
      <c r="C47" s="222" t="s">
        <v>462</v>
      </c>
      <c r="D47" s="354">
        <v>3720</v>
      </c>
      <c r="E47" s="355">
        <v>0</v>
      </c>
      <c r="F47" s="354">
        <v>3720</v>
      </c>
    </row>
    <row r="48" spans="1:9" x14ac:dyDescent="0.25">
      <c r="C48" s="222" t="s">
        <v>463</v>
      </c>
      <c r="D48" s="354">
        <v>1800</v>
      </c>
      <c r="E48" s="355">
        <v>0</v>
      </c>
      <c r="F48" s="354">
        <v>1800</v>
      </c>
    </row>
    <row r="49" spans="2:9" x14ac:dyDescent="0.25">
      <c r="C49" s="222" t="s">
        <v>470</v>
      </c>
      <c r="D49" s="354">
        <v>2315256.17</v>
      </c>
      <c r="E49" s="355">
        <v>848801</v>
      </c>
      <c r="F49" s="354">
        <v>1466455.17</v>
      </c>
    </row>
    <row r="50" spans="2:9" x14ac:dyDescent="0.25">
      <c r="C50" s="222" t="s">
        <v>450</v>
      </c>
      <c r="D50" s="354">
        <v>7650</v>
      </c>
      <c r="E50" s="405">
        <v>3825</v>
      </c>
      <c r="F50" s="354">
        <v>3825</v>
      </c>
    </row>
    <row r="51" spans="2:9" x14ac:dyDescent="0.25">
      <c r="C51" s="222" t="s">
        <v>471</v>
      </c>
      <c r="D51" s="354">
        <v>60993.8</v>
      </c>
      <c r="E51" s="405">
        <v>0</v>
      </c>
      <c r="F51" s="354">
        <v>60993.8</v>
      </c>
    </row>
    <row r="52" spans="2:9" x14ac:dyDescent="0.25">
      <c r="C52" s="222" t="s">
        <v>451</v>
      </c>
      <c r="D52" s="354">
        <v>51614.64</v>
      </c>
      <c r="E52" s="405">
        <v>18997</v>
      </c>
      <c r="F52" s="354">
        <v>32617.64</v>
      </c>
    </row>
    <row r="53" spans="2:9" x14ac:dyDescent="0.25">
      <c r="C53" s="222" t="s">
        <v>452</v>
      </c>
      <c r="D53" s="354">
        <v>199929.41999999998</v>
      </c>
      <c r="E53" s="405">
        <v>0</v>
      </c>
      <c r="F53" s="354">
        <v>199929.41999999998</v>
      </c>
    </row>
    <row r="54" spans="2:9" x14ac:dyDescent="0.25">
      <c r="C54" s="222" t="s">
        <v>472</v>
      </c>
      <c r="D54" s="354">
        <v>2460</v>
      </c>
      <c r="E54" s="405">
        <v>0</v>
      </c>
      <c r="F54" s="354">
        <v>2460</v>
      </c>
    </row>
    <row r="55" spans="2:9" x14ac:dyDescent="0.25">
      <c r="C55" s="222" t="s">
        <v>473</v>
      </c>
      <c r="D55" s="354">
        <v>535998</v>
      </c>
      <c r="E55" s="405">
        <v>267999</v>
      </c>
      <c r="F55" s="354">
        <v>267999</v>
      </c>
    </row>
    <row r="56" spans="2:9" x14ac:dyDescent="0.25">
      <c r="C56" s="222" t="s">
        <v>474</v>
      </c>
      <c r="D56" s="354">
        <v>155624.59999999998</v>
      </c>
      <c r="E56" s="405">
        <v>86312</v>
      </c>
      <c r="F56" s="354">
        <v>69312.599999999977</v>
      </c>
    </row>
    <row r="57" spans="2:9" x14ac:dyDescent="0.25">
      <c r="C57" s="222" t="s">
        <v>455</v>
      </c>
      <c r="D57" s="354">
        <v>543883.16449999996</v>
      </c>
      <c r="E57" s="355">
        <v>201796.26</v>
      </c>
      <c r="F57" s="354">
        <v>342086.90449999995</v>
      </c>
    </row>
    <row r="58" spans="2:9" ht="15.75" thickBot="1" x14ac:dyDescent="0.3">
      <c r="B58" s="356" t="s">
        <v>456</v>
      </c>
      <c r="C58" s="356"/>
      <c r="D58" s="357">
        <v>3970290.2126286547</v>
      </c>
      <c r="E58" s="357">
        <v>1458639.6752046782</v>
      </c>
      <c r="F58" s="357">
        <v>2511650.5374239767</v>
      </c>
      <c r="G58" s="222">
        <f>GETPIVOTDATA("Сумма по полю Y1 Total Cash Outflow",$A$3,"Cost Input","5.4 Rapid Diagnostic Test","Component","TB","Recipient Type","PR")+GETPIVOTDATA("Сумма по полю Y1 Total Cash Outflow",$A$3,"Cost Input","5.6 Laboratory reagents","Component","TB","Recipient Type","PR")+GETPIVOTDATA("Сумма по полю Y1 Total Cash Outflow",$A$3,"Cost Input","5.7 Syringes and needles","Component","TB","Recipient Type","PR")+GETPIVOTDATA("Сумма по полю Y1 Total Cash Outflow",$A$3,"Cost Input","5.8 Other consumables","Component","TB","Recipient Type","PR")+GETPIVOTDATA("Сумма по полю Y1 Total Cash Outflow",$A$3,"Cost Input","6.3 Microscopes","Component","TB","Recipient Type","PR")+GETPIVOTDATA("Сумма по полю Y1 Total Cash Outflow",$A$3,"Cost Input","6.4 TB Molecular Test equipment","Component","TB","Recipient Type","PR")+GETPIVOTDATA("Сумма по полю Y1 Total Cash Outflow",$A$3,"Cost Input","6.6 Other health equipment","Component","TB","Recipient Type","PR")</f>
        <v>1014270.46</v>
      </c>
      <c r="H58" s="105">
        <f>GETPIVOTDATA("Сумма по полю Y1 Revised 1-4",$A$3,"Cost Input","5.4 Rapid Diagnostic Test","Component","TB","Recipient Type","PR")+GETPIVOTDATA("Сумма по полю Y1 Revised 1-4",$A$3,"Cost Input","5.7 Syringes and needles","Component","TB","Recipient Type","PR")+GETPIVOTDATA("Сумма по полю Y1 Revised 1-4",$A$3,"Cost Input","6.4 TB Molecular Test equipment","Component","TB","Recipient Type","PR")+GETPIVOTDATA("Сумма по полю Y1 Revised 1-4",$A$3,"Cost Input","6.6 Other health equipment","Component","TB","Recipient Type","PR")</f>
        <v>377133</v>
      </c>
      <c r="I58" s="105">
        <f>1000000/5</f>
        <v>200000</v>
      </c>
    </row>
    <row r="59" spans="2:9" ht="15.75" thickTop="1" x14ac:dyDescent="0.25">
      <c r="B59" s="222" t="s">
        <v>343</v>
      </c>
      <c r="C59" s="222" t="s">
        <v>349</v>
      </c>
      <c r="D59" s="354">
        <v>12128.339999999998</v>
      </c>
      <c r="E59" s="355">
        <v>20633</v>
      </c>
      <c r="F59" s="354">
        <v>-8504.6600000000017</v>
      </c>
      <c r="G59" s="406">
        <f>G58/GETPIVOTDATA("Сумма по полю Y1 Total Cash Outflow",$A$3,"Component","TB")*100</f>
        <v>20.053227530260177</v>
      </c>
      <c r="H59" s="406">
        <f>H58/GETPIVOTDATA("Сумма по полю Y1 Revised 1-4",$A$3,"Component","TB")*100</f>
        <v>25.381638956716756</v>
      </c>
    </row>
    <row r="60" spans="2:9" x14ac:dyDescent="0.25">
      <c r="C60" s="222" t="s">
        <v>342</v>
      </c>
      <c r="D60" s="354">
        <v>39699.24552631579</v>
      </c>
      <c r="E60" s="355">
        <v>0</v>
      </c>
      <c r="F60" s="354">
        <v>39699.24552631579</v>
      </c>
    </row>
    <row r="61" spans="2:9" x14ac:dyDescent="0.25">
      <c r="C61" s="222" t="s">
        <v>368</v>
      </c>
      <c r="D61" s="354">
        <v>144865.76496491226</v>
      </c>
      <c r="E61" s="355">
        <v>0</v>
      </c>
      <c r="F61" s="354">
        <v>144865.76496491226</v>
      </c>
    </row>
    <row r="62" spans="2:9" x14ac:dyDescent="0.25">
      <c r="C62" s="222" t="s">
        <v>457</v>
      </c>
      <c r="D62" s="354">
        <v>7316.3508771929828</v>
      </c>
      <c r="E62" s="355">
        <v>552</v>
      </c>
      <c r="F62" s="354">
        <v>6764.3508771929828</v>
      </c>
    </row>
    <row r="63" spans="2:9" x14ac:dyDescent="0.25">
      <c r="C63" s="222" t="s">
        <v>459</v>
      </c>
      <c r="D63" s="354">
        <v>605026.31578947371</v>
      </c>
      <c r="E63" s="355">
        <v>0</v>
      </c>
      <c r="F63" s="354">
        <v>605026.31578947371</v>
      </c>
    </row>
    <row r="64" spans="2:9" x14ac:dyDescent="0.25">
      <c r="C64" s="222" t="s">
        <v>461</v>
      </c>
      <c r="D64" s="354">
        <v>42690</v>
      </c>
      <c r="E64" s="355">
        <v>5785</v>
      </c>
      <c r="F64" s="354">
        <v>36905</v>
      </c>
    </row>
    <row r="65" spans="1:9" x14ac:dyDescent="0.25">
      <c r="C65" s="222" t="s">
        <v>462</v>
      </c>
      <c r="D65" s="354">
        <v>480</v>
      </c>
      <c r="E65" s="355">
        <v>240</v>
      </c>
      <c r="F65" s="354">
        <v>240</v>
      </c>
    </row>
    <row r="66" spans="1:9" x14ac:dyDescent="0.25">
      <c r="C66" s="222" t="s">
        <v>463</v>
      </c>
      <c r="D66" s="354">
        <v>20199.218421052628</v>
      </c>
      <c r="E66" s="354">
        <v>0</v>
      </c>
      <c r="F66" s="354">
        <v>20199.218421052628</v>
      </c>
    </row>
    <row r="67" spans="1:9" x14ac:dyDescent="0.25">
      <c r="C67" s="222" t="s">
        <v>444</v>
      </c>
      <c r="D67" s="354">
        <v>215195.89855677009</v>
      </c>
      <c r="E67" s="354">
        <v>0</v>
      </c>
      <c r="F67" s="354">
        <v>215195.89855677009</v>
      </c>
    </row>
    <row r="68" spans="1:9" ht="15.75" thickBot="1" x14ac:dyDescent="0.3">
      <c r="A68" s="360"/>
      <c r="B68" s="361" t="s">
        <v>465</v>
      </c>
      <c r="C68" s="361"/>
      <c r="D68" s="362">
        <v>1087601.1341357175</v>
      </c>
      <c r="E68" s="362">
        <v>27210</v>
      </c>
      <c r="F68" s="362">
        <v>1060391.1341357175</v>
      </c>
    </row>
    <row r="69" spans="1:9" ht="15.75" thickTop="1" x14ac:dyDescent="0.25">
      <c r="A69" s="358" t="s">
        <v>475</v>
      </c>
      <c r="B69" s="358"/>
      <c r="C69" s="358"/>
      <c r="D69" s="359">
        <v>5057891.3467643708</v>
      </c>
      <c r="E69" s="359">
        <v>1485849.6752046782</v>
      </c>
      <c r="F69" s="359">
        <v>3572041.6715596938</v>
      </c>
      <c r="G69" s="215">
        <f>GETPIVOTDATA("Сумма по полю Y1 Revised 1-4",$A$3,"Component","TB")/G83*100</f>
        <v>53.498988438839326</v>
      </c>
      <c r="H69" s="222">
        <f>GETPIVOTDATA("Сумма по полю Y1 Revised 1-4",$A$3,"Component","TB")-100000</f>
        <v>1385849.6752046782</v>
      </c>
      <c r="I69" s="215">
        <f>H69/G83*100</f>
        <v>49.898423096893154</v>
      </c>
    </row>
    <row r="70" spans="1:9" x14ac:dyDescent="0.25">
      <c r="A70" s="222" t="s">
        <v>476</v>
      </c>
      <c r="B70" s="222" t="s">
        <v>367</v>
      </c>
      <c r="C70" s="222" t="s">
        <v>349</v>
      </c>
      <c r="D70" s="354">
        <v>401325.30129999999</v>
      </c>
      <c r="E70" s="354">
        <v>370102</v>
      </c>
      <c r="F70" s="354">
        <v>31223.301299999992</v>
      </c>
    </row>
    <row r="71" spans="1:9" x14ac:dyDescent="0.25">
      <c r="C71" s="222" t="s">
        <v>443</v>
      </c>
      <c r="D71" s="354">
        <v>1500</v>
      </c>
      <c r="E71" s="354">
        <v>1500</v>
      </c>
      <c r="F71" s="354">
        <v>0</v>
      </c>
    </row>
    <row r="72" spans="1:9" x14ac:dyDescent="0.25">
      <c r="C72" s="222" t="s">
        <v>457</v>
      </c>
      <c r="D72" s="354">
        <v>42000</v>
      </c>
      <c r="E72" s="354">
        <v>41400</v>
      </c>
      <c r="F72" s="354">
        <v>600</v>
      </c>
    </row>
    <row r="73" spans="1:9" x14ac:dyDescent="0.25">
      <c r="C73" s="222" t="s">
        <v>477</v>
      </c>
      <c r="D73" s="354">
        <v>653861.93768118857</v>
      </c>
      <c r="E73" s="354">
        <v>229585.27287328459</v>
      </c>
      <c r="F73" s="354">
        <v>424276.66480790399</v>
      </c>
    </row>
    <row r="74" spans="1:9" x14ac:dyDescent="0.25">
      <c r="C74" s="222" t="s">
        <v>461</v>
      </c>
      <c r="D74" s="354">
        <v>16680</v>
      </c>
      <c r="E74" s="354">
        <v>0</v>
      </c>
      <c r="F74" s="354">
        <v>16680</v>
      </c>
    </row>
    <row r="75" spans="1:9" x14ac:dyDescent="0.25">
      <c r="C75" s="222" t="s">
        <v>462</v>
      </c>
      <c r="D75" s="354">
        <v>6510</v>
      </c>
      <c r="E75" s="354">
        <v>0</v>
      </c>
      <c r="F75" s="354">
        <v>6510</v>
      </c>
    </row>
    <row r="76" spans="1:9" x14ac:dyDescent="0.25">
      <c r="C76" s="222" t="s">
        <v>478</v>
      </c>
      <c r="D76" s="354">
        <v>37000</v>
      </c>
      <c r="E76" s="354">
        <v>37000</v>
      </c>
      <c r="F76" s="354">
        <v>0</v>
      </c>
    </row>
    <row r="77" spans="1:9" x14ac:dyDescent="0.25">
      <c r="C77" s="222" t="s">
        <v>447</v>
      </c>
      <c r="D77" s="354">
        <v>712.5</v>
      </c>
      <c r="E77" s="354">
        <v>712.5</v>
      </c>
      <c r="F77" s="354">
        <v>0</v>
      </c>
    </row>
    <row r="78" spans="1:9" x14ac:dyDescent="0.25">
      <c r="C78" s="222" t="s">
        <v>479</v>
      </c>
      <c r="D78" s="354">
        <v>20100</v>
      </c>
      <c r="E78" s="354">
        <v>20100</v>
      </c>
      <c r="F78" s="354">
        <v>0</v>
      </c>
    </row>
    <row r="79" spans="1:9" x14ac:dyDescent="0.25">
      <c r="C79" s="222" t="s">
        <v>480</v>
      </c>
      <c r="D79" s="354">
        <v>21196.73684210526</v>
      </c>
      <c r="E79" s="354">
        <v>21196.73684210526</v>
      </c>
      <c r="F79" s="354">
        <v>0</v>
      </c>
    </row>
    <row r="80" spans="1:9" x14ac:dyDescent="0.25">
      <c r="C80" s="222" t="s">
        <v>455</v>
      </c>
      <c r="D80" s="354">
        <v>356.75</v>
      </c>
      <c r="E80" s="354">
        <v>356.75</v>
      </c>
      <c r="F80" s="354">
        <v>0</v>
      </c>
    </row>
    <row r="81" spans="1:10" ht="15.75" thickBot="1" x14ac:dyDescent="0.3">
      <c r="B81" s="356" t="s">
        <v>456</v>
      </c>
      <c r="C81" s="356"/>
      <c r="D81" s="357">
        <v>1201243.2258232937</v>
      </c>
      <c r="E81" s="357">
        <v>721953.25971538981</v>
      </c>
      <c r="F81" s="357">
        <v>479289.96610790398</v>
      </c>
    </row>
    <row r="82" spans="1:10" ht="15.75" thickTop="1" x14ac:dyDescent="0.25">
      <c r="A82" s="358" t="s">
        <v>481</v>
      </c>
      <c r="B82" s="358"/>
      <c r="C82" s="358"/>
      <c r="D82" s="359">
        <v>1201243.2258232937</v>
      </c>
      <c r="E82" s="359">
        <v>721953.25971538981</v>
      </c>
      <c r="F82" s="359">
        <v>479289.96610790398</v>
      </c>
    </row>
    <row r="83" spans="1:10" x14ac:dyDescent="0.25">
      <c r="A83" s="222" t="s">
        <v>482</v>
      </c>
      <c r="D83" s="354">
        <v>9994746.7616981659</v>
      </c>
      <c r="E83" s="354">
        <v>3509374.8853487778</v>
      </c>
      <c r="F83" s="354">
        <v>6485371.8763493868</v>
      </c>
      <c r="G83" s="222">
        <f>GETPIVOTDATA("Сумма по полю Y1 Revised 1-4",$A$3)-GETPIVOTDATA("Сумма по полю Y1 Revised 1-4",$A$3,"Component","TB/HIV")-GETPIVOTDATA("Сумма по полю Y1 Revised 1-4",$A$3,"Component","MOH")</f>
        <v>2777341.6256333878</v>
      </c>
    </row>
    <row r="84" spans="1:10" x14ac:dyDescent="0.25">
      <c r="B84" s="222">
        <v>11266362</v>
      </c>
      <c r="E84" s="222">
        <v>12203652</v>
      </c>
      <c r="J84" s="222">
        <v>23470014</v>
      </c>
    </row>
    <row r="85" spans="1:10" x14ac:dyDescent="0.25">
      <c r="A85" s="222" t="s">
        <v>436</v>
      </c>
      <c r="B85" s="407">
        <v>48.003218063696082</v>
      </c>
      <c r="C85" s="407"/>
      <c r="D85" s="407"/>
      <c r="E85" s="407">
        <v>51.996781936303918</v>
      </c>
    </row>
  </sheetData>
  <pageMargins left="0.7" right="0.7" top="0.75" bottom="0.75" header="0.3" footer="0.3"/>
  <pageSetup paperSize="8" scale="61"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A28" zoomScale="90" zoomScaleNormal="90" workbookViewId="0">
      <selection activeCell="G40" sqref="G40"/>
    </sheetView>
  </sheetViews>
  <sheetFormatPr defaultRowHeight="15" x14ac:dyDescent="0.25"/>
  <cols>
    <col min="1" max="1" width="22.7109375" style="222" customWidth="1"/>
    <col min="2" max="3" width="15.5703125" style="222" customWidth="1"/>
    <col min="4" max="4" width="13.42578125" style="222" customWidth="1"/>
    <col min="5" max="5" width="13.28515625" style="222" bestFit="1" customWidth="1"/>
    <col min="6" max="6" width="9.140625" style="222"/>
    <col min="7" max="7" width="23.28515625" style="222" customWidth="1"/>
    <col min="8" max="11" width="9.140625" style="222" customWidth="1"/>
    <col min="12" max="12" width="19" style="222" customWidth="1"/>
    <col min="13" max="16384" width="9.140625" style="222"/>
  </cols>
  <sheetData>
    <row r="1" spans="1:12" x14ac:dyDescent="0.25">
      <c r="C1" s="364">
        <v>68.400000000000006</v>
      </c>
    </row>
    <row r="2" spans="1:12" ht="30" x14ac:dyDescent="0.25">
      <c r="A2" s="365"/>
      <c r="B2" s="365" t="s">
        <v>483</v>
      </c>
      <c r="C2" s="366" t="s">
        <v>484</v>
      </c>
      <c r="D2" s="367"/>
      <c r="E2" s="59"/>
      <c r="F2" s="59"/>
      <c r="G2" s="59" t="s">
        <v>485</v>
      </c>
      <c r="L2" s="59"/>
    </row>
    <row r="3" spans="1:12" x14ac:dyDescent="0.25">
      <c r="A3" s="530" t="s">
        <v>486</v>
      </c>
      <c r="B3" s="531"/>
      <c r="C3" s="531"/>
      <c r="D3" s="531"/>
      <c r="E3" s="59"/>
      <c r="F3" s="59"/>
      <c r="G3" s="59"/>
      <c r="L3" s="59"/>
    </row>
    <row r="4" spans="1:12" x14ac:dyDescent="0.25">
      <c r="A4" s="59" t="s">
        <v>487</v>
      </c>
      <c r="B4" s="368">
        <v>1928429.7</v>
      </c>
      <c r="C4" s="369">
        <f t="shared" ref="C4:C10" si="0">B4/68.4</f>
        <v>28193.416666666664</v>
      </c>
      <c r="D4" s="370"/>
      <c r="E4" s="59"/>
      <c r="F4" s="59"/>
      <c r="G4" s="59"/>
      <c r="L4" s="59"/>
    </row>
    <row r="5" spans="1:12" x14ac:dyDescent="0.25">
      <c r="A5" s="59" t="s">
        <v>488</v>
      </c>
      <c r="B5" s="368">
        <v>2850089.7</v>
      </c>
      <c r="C5" s="369">
        <f t="shared" si="0"/>
        <v>41667.978070175435</v>
      </c>
      <c r="D5" s="370"/>
      <c r="E5" s="59"/>
      <c r="F5" s="59"/>
      <c r="G5" s="59"/>
      <c r="L5" s="59"/>
    </row>
    <row r="6" spans="1:12" x14ac:dyDescent="0.25">
      <c r="A6" s="59" t="s">
        <v>489</v>
      </c>
      <c r="B6" s="368">
        <v>1767111</v>
      </c>
      <c r="C6" s="369">
        <f t="shared" si="0"/>
        <v>25834.956140350874</v>
      </c>
      <c r="D6" s="370"/>
      <c r="E6" s="59"/>
      <c r="F6" s="59"/>
      <c r="G6" s="59"/>
      <c r="L6" s="59"/>
    </row>
    <row r="7" spans="1:12" x14ac:dyDescent="0.25">
      <c r="A7" s="59" t="s">
        <v>490</v>
      </c>
      <c r="B7" s="368">
        <v>2219826.63</v>
      </c>
      <c r="C7" s="369">
        <f t="shared" si="0"/>
        <v>32453.605701754383</v>
      </c>
      <c r="D7" s="370"/>
      <c r="E7" s="59"/>
      <c r="F7" s="59"/>
      <c r="G7" s="59"/>
      <c r="L7" s="59"/>
    </row>
    <row r="8" spans="1:12" x14ac:dyDescent="0.25">
      <c r="A8" s="59" t="s">
        <v>491</v>
      </c>
      <c r="B8" s="368">
        <v>1294808.01</v>
      </c>
      <c r="C8" s="369">
        <f t="shared" si="0"/>
        <v>18929.941666666666</v>
      </c>
      <c r="D8" s="370"/>
      <c r="E8" s="59"/>
      <c r="F8" s="59"/>
      <c r="G8" s="59"/>
      <c r="L8" s="59"/>
    </row>
    <row r="9" spans="1:12" x14ac:dyDescent="0.25">
      <c r="A9" s="59" t="s">
        <v>492</v>
      </c>
      <c r="B9" s="368">
        <v>1558222.45</v>
      </c>
      <c r="C9" s="369">
        <f t="shared" si="0"/>
        <v>22781.029970760232</v>
      </c>
      <c r="D9" s="370"/>
      <c r="E9" s="59"/>
      <c r="F9" s="59"/>
      <c r="G9" s="59"/>
      <c r="L9" s="59"/>
    </row>
    <row r="10" spans="1:12" x14ac:dyDescent="0.25">
      <c r="A10" s="59" t="s">
        <v>493</v>
      </c>
      <c r="B10" s="368">
        <v>2015504.7</v>
      </c>
      <c r="C10" s="369">
        <f t="shared" si="0"/>
        <v>29466.442982456138</v>
      </c>
      <c r="D10" s="370"/>
      <c r="E10" s="59"/>
      <c r="F10" s="59"/>
      <c r="G10" s="59"/>
      <c r="L10" s="59"/>
    </row>
    <row r="11" spans="1:12" x14ac:dyDescent="0.25">
      <c r="A11" s="371" t="s">
        <v>494</v>
      </c>
      <c r="B11" s="372">
        <f>SUM(B4:B10)</f>
        <v>13633992.189999999</v>
      </c>
      <c r="C11" s="372">
        <f>SUM(C4:C10)</f>
        <v>199327.37119883037</v>
      </c>
      <c r="D11" s="373">
        <f>C11</f>
        <v>199327.37119883037</v>
      </c>
      <c r="E11" s="59"/>
      <c r="F11" s="59"/>
      <c r="G11" s="59"/>
      <c r="L11" s="410">
        <f>D11</f>
        <v>199327.37119883037</v>
      </c>
    </row>
    <row r="12" spans="1:12" x14ac:dyDescent="0.25">
      <c r="A12" s="59" t="s">
        <v>495</v>
      </c>
      <c r="B12" s="369">
        <v>1372110</v>
      </c>
      <c r="C12" s="369">
        <f>B12/68.4</f>
        <v>20060.087719298244</v>
      </c>
      <c r="D12" s="370"/>
      <c r="E12" s="59"/>
      <c r="F12" s="59"/>
      <c r="G12" s="59"/>
      <c r="L12" s="59"/>
    </row>
    <row r="13" spans="1:12" x14ac:dyDescent="0.25">
      <c r="A13" s="59" t="s">
        <v>496</v>
      </c>
      <c r="B13" s="369">
        <v>1040010</v>
      </c>
      <c r="C13" s="369">
        <f>B13/68.4</f>
        <v>15204.824561403508</v>
      </c>
      <c r="D13" s="370"/>
      <c r="E13" s="59"/>
      <c r="F13" s="59"/>
      <c r="G13" s="59"/>
      <c r="L13" s="59"/>
    </row>
    <row r="14" spans="1:12" x14ac:dyDescent="0.25">
      <c r="A14" s="59" t="s">
        <v>497</v>
      </c>
      <c r="B14" s="369">
        <v>2638967</v>
      </c>
      <c r="C14" s="369">
        <f>B14/68.4</f>
        <v>38581.388888888883</v>
      </c>
      <c r="D14" s="370"/>
      <c r="E14" s="59"/>
      <c r="F14" s="59"/>
      <c r="G14" s="59"/>
      <c r="L14" s="59"/>
    </row>
    <row r="15" spans="1:12" x14ac:dyDescent="0.25">
      <c r="A15" s="371" t="s">
        <v>498</v>
      </c>
      <c r="B15" s="372">
        <f xml:space="preserve"> SUM(B12:B14)</f>
        <v>5051087</v>
      </c>
      <c r="C15" s="372">
        <f>B15/68.4</f>
        <v>73846.301169590632</v>
      </c>
      <c r="D15" s="373">
        <f>C15</f>
        <v>73846.301169590632</v>
      </c>
      <c r="E15" s="59"/>
      <c r="F15" s="59"/>
      <c r="G15" s="374">
        <f>C15-57614</f>
        <v>16232.301169590632</v>
      </c>
      <c r="L15" s="410">
        <f>D15</f>
        <v>73846.301169590632</v>
      </c>
    </row>
    <row r="16" spans="1:12" x14ac:dyDescent="0.25">
      <c r="A16" s="59" t="s">
        <v>499</v>
      </c>
      <c r="B16" s="369">
        <v>903609.83</v>
      </c>
      <c r="C16" s="369">
        <f>B16/68.4</f>
        <v>13210.670029239764</v>
      </c>
      <c r="D16" s="370"/>
      <c r="E16" s="59"/>
      <c r="F16" s="59"/>
      <c r="G16" s="59"/>
      <c r="H16" s="375"/>
      <c r="I16" s="372"/>
      <c r="J16" s="372"/>
      <c r="K16" s="373"/>
      <c r="L16" s="59"/>
    </row>
    <row r="17" spans="1:13" x14ac:dyDescent="0.25">
      <c r="A17" s="59" t="s">
        <v>500</v>
      </c>
      <c r="B17" s="369">
        <v>1177264.55</v>
      </c>
      <c r="C17" s="369">
        <f t="shared" ref="C17:C23" si="1">B17/68.4</f>
        <v>17211.470029239765</v>
      </c>
      <c r="D17" s="370"/>
      <c r="E17" s="59"/>
      <c r="F17" s="59"/>
      <c r="G17" s="59"/>
      <c r="L17" s="59"/>
    </row>
    <row r="18" spans="1:13" x14ac:dyDescent="0.25">
      <c r="A18" s="59" t="s">
        <v>501</v>
      </c>
      <c r="B18" s="369">
        <v>1413888.19</v>
      </c>
      <c r="C18" s="369">
        <f t="shared" si="1"/>
        <v>20670.87997076023</v>
      </c>
      <c r="D18" s="370"/>
      <c r="E18" s="59"/>
      <c r="F18" s="59"/>
      <c r="G18" s="59"/>
      <c r="L18" s="59"/>
    </row>
    <row r="19" spans="1:13" x14ac:dyDescent="0.25">
      <c r="A19" s="59" t="s">
        <v>501</v>
      </c>
      <c r="B19" s="369">
        <v>890379.22</v>
      </c>
      <c r="C19" s="369">
        <f t="shared" si="1"/>
        <v>13017.24005847953</v>
      </c>
      <c r="D19" s="370"/>
      <c r="E19" s="59"/>
      <c r="F19" s="59"/>
      <c r="G19" s="59"/>
      <c r="L19" s="59"/>
    </row>
    <row r="20" spans="1:13" x14ac:dyDescent="0.25">
      <c r="A20" s="59" t="s">
        <v>502</v>
      </c>
      <c r="B20" s="369">
        <v>1199757.2</v>
      </c>
      <c r="C20" s="369">
        <f t="shared" si="1"/>
        <v>17540.309941520467</v>
      </c>
      <c r="D20" s="370"/>
      <c r="E20" s="59"/>
      <c r="F20" s="59"/>
      <c r="G20" s="59"/>
      <c r="L20" s="59"/>
    </row>
    <row r="21" spans="1:13" x14ac:dyDescent="0.25">
      <c r="A21" s="59" t="s">
        <v>503</v>
      </c>
      <c r="B21" s="369">
        <v>1395756.72</v>
      </c>
      <c r="C21" s="369">
        <f t="shared" si="1"/>
        <v>20405.8</v>
      </c>
      <c r="D21" s="370"/>
      <c r="E21" s="59"/>
      <c r="F21" s="59"/>
      <c r="G21" s="59"/>
      <c r="L21" s="59"/>
    </row>
    <row r="22" spans="1:13" x14ac:dyDescent="0.25">
      <c r="A22" s="59" t="s">
        <v>504</v>
      </c>
      <c r="B22" s="369">
        <v>1067327.96</v>
      </c>
      <c r="C22" s="369">
        <f t="shared" si="1"/>
        <v>15604.209941520467</v>
      </c>
      <c r="D22" s="370"/>
      <c r="E22" s="59"/>
      <c r="F22" s="59"/>
      <c r="G22" s="59"/>
      <c r="L22" s="59"/>
    </row>
    <row r="23" spans="1:13" x14ac:dyDescent="0.25">
      <c r="A23" s="59" t="s">
        <v>505</v>
      </c>
      <c r="B23" s="369">
        <v>728062.6</v>
      </c>
      <c r="C23" s="369">
        <f t="shared" si="1"/>
        <v>10644.190058479531</v>
      </c>
      <c r="D23" s="370"/>
      <c r="E23" s="59"/>
      <c r="F23" s="59"/>
      <c r="G23" s="59"/>
      <c r="L23" s="59"/>
    </row>
    <row r="24" spans="1:13" x14ac:dyDescent="0.25">
      <c r="A24" s="371" t="s">
        <v>506</v>
      </c>
      <c r="B24" s="376">
        <f>SUM(B16:B23)</f>
        <v>8776046.2699999996</v>
      </c>
      <c r="C24" s="377">
        <f>B24/68.4</f>
        <v>128304.77002923975</v>
      </c>
      <c r="D24" s="378">
        <f>C24</f>
        <v>128304.77002923975</v>
      </c>
      <c r="E24" s="59"/>
      <c r="F24" s="59"/>
      <c r="G24" s="374">
        <f>C24+C34-168425</f>
        <v>21955.770029239764</v>
      </c>
      <c r="L24" s="59">
        <f>D24</f>
        <v>128304.77002923975</v>
      </c>
    </row>
    <row r="25" spans="1:13" x14ac:dyDescent="0.25">
      <c r="A25" s="532" t="s">
        <v>507</v>
      </c>
      <c r="B25" s="533"/>
      <c r="C25" s="379">
        <f>C24+C15+C11</f>
        <v>401478.44239766075</v>
      </c>
      <c r="D25" s="380">
        <f>C25</f>
        <v>401478.44239766075</v>
      </c>
      <c r="E25" s="59"/>
      <c r="F25" s="59"/>
      <c r="G25" s="59"/>
      <c r="L25" s="411">
        <f>SUM(L11:L24)</f>
        <v>401478.44239766075</v>
      </c>
    </row>
    <row r="26" spans="1:13" x14ac:dyDescent="0.25">
      <c r="A26" s="59" t="s">
        <v>508</v>
      </c>
      <c r="B26" s="369">
        <v>10749832.92</v>
      </c>
      <c r="C26" s="381">
        <v>157161.29999999999</v>
      </c>
      <c r="D26" s="382">
        <v>106087.28</v>
      </c>
      <c r="E26" s="59"/>
      <c r="F26" s="59"/>
      <c r="G26" s="374">
        <f>C26-D26</f>
        <v>51074.01999999999</v>
      </c>
      <c r="H26" s="222">
        <v>40000</v>
      </c>
      <c r="I26" s="222" t="s">
        <v>523</v>
      </c>
      <c r="L26" s="59">
        <v>118017.11</v>
      </c>
      <c r="M26" s="119">
        <f>C43-L41</f>
        <v>255.98788485012483</v>
      </c>
    </row>
    <row r="27" spans="1:13" x14ac:dyDescent="0.25">
      <c r="A27" s="59" t="s">
        <v>509</v>
      </c>
      <c r="B27" s="369">
        <v>17902704.670000002</v>
      </c>
      <c r="C27" s="381">
        <f>B27/68.4</f>
        <v>261735.44839181288</v>
      </c>
      <c r="D27" s="382">
        <v>257109.34</v>
      </c>
      <c r="E27" s="59"/>
      <c r="F27" s="59"/>
      <c r="G27" s="374">
        <f>C27-D27</f>
        <v>4626.1083918128861</v>
      </c>
      <c r="L27" s="410">
        <f>C27</f>
        <v>261735.44839181288</v>
      </c>
    </row>
    <row r="28" spans="1:13" x14ac:dyDescent="0.25">
      <c r="A28" s="59" t="s">
        <v>510</v>
      </c>
      <c r="B28" s="369">
        <v>10080</v>
      </c>
      <c r="C28" s="381"/>
      <c r="D28" s="382">
        <f>800+3*6+180*6</f>
        <v>1898</v>
      </c>
      <c r="E28" s="59"/>
      <c r="F28" s="59"/>
      <c r="G28" s="59"/>
      <c r="L28" s="59"/>
    </row>
    <row r="29" spans="1:13" x14ac:dyDescent="0.25">
      <c r="A29" s="530" t="s">
        <v>511</v>
      </c>
      <c r="B29" s="531"/>
      <c r="C29" s="531"/>
      <c r="D29" s="531"/>
      <c r="E29" s="59"/>
      <c r="F29" s="59"/>
      <c r="G29" s="59"/>
      <c r="L29" s="59"/>
    </row>
    <row r="30" spans="1:13" ht="45" x14ac:dyDescent="0.25">
      <c r="A30" s="221" t="s">
        <v>512</v>
      </c>
      <c r="B30" s="59"/>
      <c r="C30" s="227">
        <v>22263.14</v>
      </c>
      <c r="D30" s="367"/>
      <c r="E30" s="59"/>
      <c r="F30" s="59"/>
      <c r="G30" s="59">
        <v>3000</v>
      </c>
      <c r="H30" s="222" t="s">
        <v>522</v>
      </c>
      <c r="L30" s="59">
        <v>19211.25</v>
      </c>
    </row>
    <row r="31" spans="1:13" ht="30" x14ac:dyDescent="0.25">
      <c r="A31" s="221" t="s">
        <v>513</v>
      </c>
      <c r="B31" s="59"/>
      <c r="C31" s="14">
        <v>14433.18</v>
      </c>
      <c r="D31" s="367"/>
      <c r="E31" s="59"/>
      <c r="F31" s="59"/>
      <c r="G31" s="59">
        <v>260</v>
      </c>
      <c r="H31" s="222" t="s">
        <v>522</v>
      </c>
      <c r="L31" s="59">
        <v>14164.47</v>
      </c>
    </row>
    <row r="32" spans="1:13" ht="30" x14ac:dyDescent="0.25">
      <c r="A32" s="221" t="s">
        <v>514</v>
      </c>
      <c r="B32" s="59"/>
      <c r="C32" s="14">
        <v>15488.46</v>
      </c>
      <c r="D32" s="367"/>
      <c r="E32" s="59"/>
      <c r="F32" s="59"/>
      <c r="G32" s="59">
        <v>900</v>
      </c>
      <c r="H32" s="222" t="s">
        <v>522</v>
      </c>
      <c r="L32" s="59">
        <v>14574.34</v>
      </c>
    </row>
    <row r="33" spans="1:12" x14ac:dyDescent="0.25">
      <c r="A33" s="371" t="s">
        <v>494</v>
      </c>
      <c r="B33" s="371">
        <f>B32+B31+B30</f>
        <v>0</v>
      </c>
      <c r="C33" s="383">
        <f>C32+C31+C30</f>
        <v>52184.78</v>
      </c>
      <c r="D33" s="384">
        <f>C33</f>
        <v>52184.78</v>
      </c>
      <c r="E33" s="59"/>
      <c r="F33" s="59"/>
      <c r="G33" s="14">
        <v>16703</v>
      </c>
      <c r="L33" s="59"/>
    </row>
    <row r="34" spans="1:12" ht="30" x14ac:dyDescent="0.25">
      <c r="A34" s="385" t="s">
        <v>515</v>
      </c>
      <c r="B34" s="386">
        <v>4245998.4000000004</v>
      </c>
      <c r="C34" s="387">
        <v>62076</v>
      </c>
      <c r="D34" s="367"/>
      <c r="E34" s="59"/>
      <c r="F34" s="59"/>
      <c r="G34" s="59">
        <v>10000</v>
      </c>
      <c r="H34" s="222" t="s">
        <v>521</v>
      </c>
      <c r="L34" s="59">
        <v>52076</v>
      </c>
    </row>
    <row r="35" spans="1:12" x14ac:dyDescent="0.25">
      <c r="A35" s="371" t="s">
        <v>506</v>
      </c>
      <c r="B35" s="383">
        <f>B34</f>
        <v>4245998.4000000004</v>
      </c>
      <c r="C35" s="383">
        <f>C34</f>
        <v>62076</v>
      </c>
      <c r="D35" s="384">
        <f>C35</f>
        <v>62076</v>
      </c>
      <c r="E35" s="59"/>
      <c r="F35" s="59"/>
      <c r="G35" s="59"/>
      <c r="L35" s="59"/>
    </row>
    <row r="36" spans="1:12" ht="30" x14ac:dyDescent="0.25">
      <c r="A36" s="385" t="s">
        <v>516</v>
      </c>
      <c r="B36" s="388"/>
      <c r="C36" s="389">
        <v>33457.53</v>
      </c>
      <c r="D36" s="390"/>
      <c r="E36" s="59"/>
      <c r="F36" s="59"/>
      <c r="G36" s="59"/>
      <c r="H36" s="360"/>
      <c r="L36" s="59">
        <v>29700</v>
      </c>
    </row>
    <row r="37" spans="1:12" x14ac:dyDescent="0.25">
      <c r="A37" s="371" t="s">
        <v>498</v>
      </c>
      <c r="B37" s="383"/>
      <c r="C37" s="383">
        <f>C36</f>
        <v>33457.53</v>
      </c>
      <c r="D37" s="384">
        <f>C37</f>
        <v>33457.53</v>
      </c>
      <c r="E37" s="59"/>
      <c r="F37" s="59"/>
      <c r="G37" s="374">
        <f>D37-I37</f>
        <v>3757.5299999999988</v>
      </c>
      <c r="H37" s="222" t="s">
        <v>522</v>
      </c>
      <c r="I37" s="222">
        <v>29700</v>
      </c>
      <c r="L37" s="59"/>
    </row>
    <row r="38" spans="1:12" ht="30" x14ac:dyDescent="0.25">
      <c r="A38" s="221" t="s">
        <v>517</v>
      </c>
      <c r="B38" s="59"/>
      <c r="C38" s="377">
        <v>22071.06</v>
      </c>
      <c r="D38" s="391">
        <f>C38</f>
        <v>22071.06</v>
      </c>
      <c r="E38" s="59"/>
      <c r="F38" s="59"/>
      <c r="G38" s="59">
        <v>1000</v>
      </c>
      <c r="I38" s="119">
        <f>I37+H47+H48</f>
        <v>29700</v>
      </c>
      <c r="L38" s="59">
        <v>21071</v>
      </c>
    </row>
    <row r="39" spans="1:12" x14ac:dyDescent="0.25">
      <c r="A39" s="392" t="s">
        <v>518</v>
      </c>
      <c r="B39" s="392"/>
      <c r="C39" s="393">
        <f>C33+C35+C37+C38</f>
        <v>169789.37</v>
      </c>
      <c r="D39" s="394">
        <f>C39</f>
        <v>169789.37</v>
      </c>
      <c r="E39" s="59"/>
      <c r="F39" s="59"/>
      <c r="G39" s="59"/>
      <c r="L39" s="59"/>
    </row>
    <row r="40" spans="1:12" x14ac:dyDescent="0.25">
      <c r="A40" s="395" t="s">
        <v>519</v>
      </c>
      <c r="B40" s="396"/>
      <c r="C40" s="377">
        <v>60292.15</v>
      </c>
      <c r="D40" s="397">
        <f>C40</f>
        <v>60292.15</v>
      </c>
      <c r="E40" s="59"/>
      <c r="F40" s="59">
        <f>1295412.66*3+542543.4</f>
        <v>4428781.38</v>
      </c>
      <c r="G40" s="59">
        <f>D40-21714</f>
        <v>38578.15</v>
      </c>
      <c r="H40" s="222" t="s">
        <v>522</v>
      </c>
      <c r="L40" s="59">
        <v>21714.6</v>
      </c>
    </row>
    <row r="41" spans="1:12" x14ac:dyDescent="0.25">
      <c r="A41" s="398" t="s">
        <v>424</v>
      </c>
      <c r="B41" s="399"/>
      <c r="C41" s="400">
        <f>C40+C39+C28+C27+C26+C25</f>
        <v>1050456.7107894737</v>
      </c>
      <c r="D41" s="400">
        <f>D40+D39+D28+D27+D26+D25</f>
        <v>996654.58239766071</v>
      </c>
      <c r="E41" s="401">
        <f>D41*90/100</f>
        <v>896989.12415789475</v>
      </c>
      <c r="F41" s="402"/>
      <c r="G41" s="59">
        <f>SUM(G3:G40)</f>
        <v>168086.87959064328</v>
      </c>
      <c r="L41" s="374">
        <f>L25+L26+L27+L28+L30+L31+L32+L34+L36+L38+L40</f>
        <v>953742.66078947356</v>
      </c>
    </row>
    <row r="42" spans="1:12" x14ac:dyDescent="0.25">
      <c r="E42" s="403">
        <f>D41-E41</f>
        <v>99665.458239765954</v>
      </c>
      <c r="G42" s="119">
        <f>C41-G41</f>
        <v>882369.83119883039</v>
      </c>
    </row>
    <row r="43" spans="1:12" x14ac:dyDescent="0.25">
      <c r="C43" s="222">
        <v>953998.64867432369</v>
      </c>
      <c r="G43" s="404">
        <f>E41-G42</f>
        <v>14619.292959064362</v>
      </c>
    </row>
    <row r="44" spans="1:12" x14ac:dyDescent="0.25">
      <c r="C44" s="119">
        <f>C41-C43</f>
        <v>96458.062115150038</v>
      </c>
      <c r="G44" s="119">
        <f>C44-H26</f>
        <v>56458.062115150038</v>
      </c>
    </row>
    <row r="45" spans="1:12" x14ac:dyDescent="0.25">
      <c r="G45" s="119">
        <f>G44-G40</f>
        <v>17879.912115150037</v>
      </c>
    </row>
    <row r="46" spans="1:12" x14ac:dyDescent="0.25">
      <c r="C46" s="119"/>
      <c r="G46" s="119">
        <f>G45-G34</f>
        <v>7879.9121151500367</v>
      </c>
    </row>
    <row r="47" spans="1:12" x14ac:dyDescent="0.25">
      <c r="G47" s="119">
        <f>G46-G30</f>
        <v>4879.9121151500367</v>
      </c>
      <c r="H47" s="119"/>
    </row>
    <row r="48" spans="1:12" x14ac:dyDescent="0.25">
      <c r="G48" s="119">
        <f>G47-G31-G32-G37</f>
        <v>-37.617884849962138</v>
      </c>
    </row>
  </sheetData>
  <mergeCells count="3">
    <mergeCell ref="A3:D3"/>
    <mergeCell ref="A25:B25"/>
    <mergeCell ref="A29:D29"/>
  </mergeCells>
  <pageMargins left="0.7" right="0.7"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7" workbookViewId="0">
      <selection activeCell="G45" sqref="G45:G48"/>
    </sheetView>
  </sheetViews>
  <sheetFormatPr defaultColWidth="16.140625" defaultRowHeight="15" x14ac:dyDescent="0.25"/>
  <cols>
    <col min="1" max="1" width="47.140625" customWidth="1"/>
    <col min="2" max="5" width="16.140625" customWidth="1"/>
  </cols>
  <sheetData>
    <row r="1" spans="1:7" x14ac:dyDescent="0.25">
      <c r="A1" s="222"/>
      <c r="B1" s="222"/>
      <c r="C1" s="364">
        <v>68.400000000000006</v>
      </c>
      <c r="D1" s="222"/>
      <c r="E1" s="222"/>
      <c r="F1" s="534" t="s">
        <v>524</v>
      </c>
      <c r="G1" s="534"/>
    </row>
    <row r="2" spans="1:7" x14ac:dyDescent="0.25">
      <c r="A2" s="365"/>
      <c r="B2" s="365" t="s">
        <v>483</v>
      </c>
      <c r="C2" s="365" t="s">
        <v>525</v>
      </c>
      <c r="D2" s="59"/>
      <c r="E2" s="391" t="s">
        <v>526</v>
      </c>
      <c r="F2" s="365" t="s">
        <v>483</v>
      </c>
      <c r="G2" s="365" t="s">
        <v>525</v>
      </c>
    </row>
    <row r="3" spans="1:7" x14ac:dyDescent="0.25">
      <c r="A3" s="530" t="s">
        <v>486</v>
      </c>
      <c r="B3" s="531"/>
      <c r="C3" s="531"/>
      <c r="D3" s="535"/>
      <c r="E3" s="536"/>
      <c r="F3" s="537"/>
      <c r="G3" s="537"/>
    </row>
    <row r="4" spans="1:7" x14ac:dyDescent="0.25">
      <c r="A4" s="59" t="s">
        <v>487</v>
      </c>
      <c r="B4" s="368">
        <v>1928429.7</v>
      </c>
      <c r="C4" s="369">
        <f t="shared" ref="C4:C10" si="0">B4/68.4</f>
        <v>28193.416666666664</v>
      </c>
      <c r="D4" s="369"/>
      <c r="E4" s="222"/>
      <c r="F4" s="374">
        <f>'[17]Kyrgyz Indigo'!J33</f>
        <v>1928429.7</v>
      </c>
      <c r="G4" s="369">
        <f>F4/C1</f>
        <v>28193.416666666664</v>
      </c>
    </row>
    <row r="5" spans="1:7" x14ac:dyDescent="0.25">
      <c r="A5" s="59" t="s">
        <v>488</v>
      </c>
      <c r="B5" s="368">
        <v>2850089.7</v>
      </c>
      <c r="C5" s="369">
        <f t="shared" si="0"/>
        <v>41667.978070175435</v>
      </c>
      <c r="D5" s="369"/>
      <c r="E5" s="222"/>
      <c r="F5" s="374">
        <f>[17]Musaada!J34</f>
        <v>2850089.7</v>
      </c>
      <c r="G5" s="369">
        <f>F5/C1</f>
        <v>41667.978070175435</v>
      </c>
    </row>
    <row r="6" spans="1:7" x14ac:dyDescent="0.25">
      <c r="A6" s="59" t="s">
        <v>489</v>
      </c>
      <c r="B6" s="368">
        <v>1767111</v>
      </c>
      <c r="C6" s="369">
        <f t="shared" si="0"/>
        <v>25834.956140350874</v>
      </c>
      <c r="D6" s="369"/>
      <c r="E6" s="222"/>
      <c r="F6" s="374">
        <f>[17]Podruga!J32</f>
        <v>1767111</v>
      </c>
      <c r="G6" s="369">
        <f>F6/C1</f>
        <v>25834.956140350874</v>
      </c>
    </row>
    <row r="7" spans="1:7" x14ac:dyDescent="0.25">
      <c r="A7" s="59" t="s">
        <v>490</v>
      </c>
      <c r="B7" s="368">
        <v>2219826.63</v>
      </c>
      <c r="C7" s="369">
        <f t="shared" si="0"/>
        <v>32453.605701754383</v>
      </c>
      <c r="D7" s="369"/>
      <c r="E7" s="222"/>
      <c r="F7" s="374">
        <f>'[17]Tais Plus'!J34</f>
        <v>2219826.63</v>
      </c>
      <c r="G7" s="369">
        <f>F7/C1</f>
        <v>32453.605701754383</v>
      </c>
    </row>
    <row r="8" spans="1:7" x14ac:dyDescent="0.25">
      <c r="A8" s="59" t="s">
        <v>491</v>
      </c>
      <c r="B8" s="368">
        <v>1294808.01</v>
      </c>
      <c r="C8" s="369">
        <f t="shared" si="0"/>
        <v>18929.941666666666</v>
      </c>
      <c r="D8" s="369"/>
      <c r="E8" s="222"/>
      <c r="F8" s="374">
        <f>'[17]Tais Plus Dva'!J33</f>
        <v>1294808.01</v>
      </c>
      <c r="G8" s="369">
        <f>F8/C1</f>
        <v>18929.941666666666</v>
      </c>
    </row>
    <row r="9" spans="1:7" x14ac:dyDescent="0.25">
      <c r="A9" s="59" t="s">
        <v>492</v>
      </c>
      <c r="B9" s="368">
        <v>1558222.45</v>
      </c>
      <c r="C9" s="369">
        <f t="shared" si="0"/>
        <v>22781.029970760232</v>
      </c>
      <c r="D9" s="369"/>
      <c r="E9" s="222"/>
      <c r="F9" s="374">
        <f>'[17]Ulukman Daryger'!J36</f>
        <v>1558222.45</v>
      </c>
      <c r="G9" s="369">
        <f>F9/C1</f>
        <v>22781.029970760232</v>
      </c>
    </row>
    <row r="10" spans="1:7" x14ac:dyDescent="0.25">
      <c r="A10" s="59" t="s">
        <v>493</v>
      </c>
      <c r="B10" s="368">
        <v>2015504.7</v>
      </c>
      <c r="C10" s="369">
        <f t="shared" si="0"/>
        <v>29466.442982456138</v>
      </c>
      <c r="D10" s="369"/>
      <c r="E10" s="222"/>
      <c r="F10" s="374">
        <f>[17]AntiSPID!J35</f>
        <v>2015504.7</v>
      </c>
      <c r="G10" s="369">
        <f>F10/C1</f>
        <v>29466.442982456138</v>
      </c>
    </row>
    <row r="11" spans="1:7" x14ac:dyDescent="0.25">
      <c r="A11" s="371" t="s">
        <v>494</v>
      </c>
      <c r="B11" s="372">
        <f>SUM(B4:B10)</f>
        <v>13633992.189999999</v>
      </c>
      <c r="C11" s="372">
        <f>SUM(C4:C10)</f>
        <v>199327.37119883037</v>
      </c>
      <c r="D11" s="372">
        <f>C11</f>
        <v>199327.37119883037</v>
      </c>
      <c r="E11" s="373">
        <f>SUM(E4:E10)</f>
        <v>0</v>
      </c>
      <c r="F11" s="371"/>
      <c r="G11" s="371">
        <f>SUM(G4:G10)</f>
        <v>199327.37119883037</v>
      </c>
    </row>
    <row r="12" spans="1:7" x14ac:dyDescent="0.25">
      <c r="A12" s="59" t="s">
        <v>495</v>
      </c>
      <c r="B12" s="369">
        <v>1372110</v>
      </c>
      <c r="C12" s="369">
        <f>B12/68.4</f>
        <v>20060.087719298244</v>
      </c>
      <c r="D12" s="369"/>
      <c r="E12" s="222">
        <v>16043.6</v>
      </c>
      <c r="F12" s="374">
        <f>[17]Prosvet!I27</f>
        <v>1372110</v>
      </c>
      <c r="G12" s="369">
        <f>F12/C1</f>
        <v>20060.087719298244</v>
      </c>
    </row>
    <row r="13" spans="1:7" x14ac:dyDescent="0.25">
      <c r="A13" s="59" t="s">
        <v>496</v>
      </c>
      <c r="B13" s="369">
        <v>1040010</v>
      </c>
      <c r="C13" s="369">
        <f>B13/68.4</f>
        <v>15204.824561403508</v>
      </c>
      <c r="D13" s="369"/>
      <c r="E13" s="222">
        <v>14178.3</v>
      </c>
      <c r="F13" s="374">
        <f>'[17] Ishenim Nuru'!I27</f>
        <v>1040010</v>
      </c>
      <c r="G13" s="369">
        <f>F13/C1</f>
        <v>15204.824561403508</v>
      </c>
    </row>
    <row r="14" spans="1:7" x14ac:dyDescent="0.25">
      <c r="A14" s="59" t="s">
        <v>497</v>
      </c>
      <c r="B14" s="369">
        <v>2638967</v>
      </c>
      <c r="C14" s="369">
        <f>B14/68.4</f>
        <v>38581.388888888883</v>
      </c>
      <c r="D14" s="369"/>
      <c r="E14" s="222">
        <v>27392.18</v>
      </c>
      <c r="F14" s="374">
        <f>[17]Krik_SDPСenter!I31</f>
        <v>2638967</v>
      </c>
      <c r="G14" s="369">
        <f>F14/C1</f>
        <v>38581.388888888883</v>
      </c>
    </row>
    <row r="15" spans="1:7" x14ac:dyDescent="0.25">
      <c r="A15" s="371" t="s">
        <v>498</v>
      </c>
      <c r="B15" s="372">
        <f xml:space="preserve"> SUM(B12:B14)</f>
        <v>5051087</v>
      </c>
      <c r="C15" s="372">
        <f>B15/68.4</f>
        <v>73846.301169590632</v>
      </c>
      <c r="D15" s="372">
        <f>C15</f>
        <v>73846.301169590632</v>
      </c>
      <c r="E15" s="373">
        <f>E14+E13+E12</f>
        <v>57614.079999999994</v>
      </c>
      <c r="F15" s="371"/>
      <c r="G15" s="371">
        <f>SUM(G12:G14)</f>
        <v>73846.301169590646</v>
      </c>
    </row>
    <row r="16" spans="1:7" x14ac:dyDescent="0.25">
      <c r="A16" s="59" t="s">
        <v>499</v>
      </c>
      <c r="B16" s="369">
        <v>903609.83</v>
      </c>
      <c r="C16" s="369">
        <f>B16/68.4</f>
        <v>13210.670029239764</v>
      </c>
      <c r="D16" s="369"/>
      <c r="E16" s="222"/>
      <c r="F16" s="374">
        <f>[17]AvN!I24</f>
        <v>903610.05</v>
      </c>
      <c r="G16" s="369">
        <f>F16/C1</f>
        <v>13210.673245614034</v>
      </c>
    </row>
    <row r="17" spans="1:7" x14ac:dyDescent="0.25">
      <c r="A17" s="59" t="s">
        <v>500</v>
      </c>
      <c r="B17" s="369">
        <v>1177264.55</v>
      </c>
      <c r="C17" s="369">
        <f t="shared" ref="C17:C23" si="1">B17/68.4</f>
        <v>17211.470029239765</v>
      </c>
      <c r="D17" s="369"/>
      <c r="E17" s="222"/>
      <c r="F17" s="374">
        <f>'[17]Ayan-Delta'!I30</f>
        <v>1177264.5</v>
      </c>
      <c r="G17" s="369">
        <f>F17/C1</f>
        <v>17211.469298245611</v>
      </c>
    </row>
    <row r="18" spans="1:7" x14ac:dyDescent="0.25">
      <c r="A18" s="59" t="s">
        <v>501</v>
      </c>
      <c r="B18" s="369">
        <v>1413888.19</v>
      </c>
      <c r="C18" s="369">
        <f t="shared" si="1"/>
        <v>20670.87997076023</v>
      </c>
      <c r="D18" s="369"/>
      <c r="E18" s="222"/>
      <c r="F18" s="374">
        <f>'[17]Antistigma К-Б'!I31</f>
        <v>1413888</v>
      </c>
      <c r="G18" s="369">
        <f>F18/C1</f>
        <v>20670.877192982454</v>
      </c>
    </row>
    <row r="19" spans="1:7" x14ac:dyDescent="0.25">
      <c r="A19" s="59" t="s">
        <v>501</v>
      </c>
      <c r="B19" s="369">
        <v>890379.22</v>
      </c>
      <c r="C19" s="369">
        <f t="shared" si="1"/>
        <v>13017.24005847953</v>
      </c>
      <c r="D19" s="369"/>
      <c r="E19" s="222"/>
      <c r="F19" s="374">
        <f>'[17]Antistigma Kant'!I30</f>
        <v>890379</v>
      </c>
      <c r="G19" s="369">
        <f>F19/C1</f>
        <v>13017.236842105262</v>
      </c>
    </row>
    <row r="20" spans="1:7" x14ac:dyDescent="0.25">
      <c r="A20" s="59" t="s">
        <v>502</v>
      </c>
      <c r="B20" s="369">
        <v>1199757.2</v>
      </c>
      <c r="C20" s="369">
        <f t="shared" si="1"/>
        <v>17540.309941520467</v>
      </c>
      <c r="D20" s="369"/>
      <c r="E20" s="222"/>
      <c r="F20" s="374">
        <f>[17]Ranar!I27</f>
        <v>1199757</v>
      </c>
      <c r="G20" s="369">
        <f>F20/C1</f>
        <v>17540.307017543859</v>
      </c>
    </row>
    <row r="21" spans="1:7" x14ac:dyDescent="0.25">
      <c r="A21" s="59" t="s">
        <v>503</v>
      </c>
      <c r="B21" s="369">
        <v>1395756.72</v>
      </c>
      <c r="C21" s="369">
        <f t="shared" si="1"/>
        <v>20405.8</v>
      </c>
      <c r="D21" s="369"/>
      <c r="E21" s="222"/>
      <c r="F21" s="374">
        <f>'[17]RANS plus'!I28</f>
        <v>1395756.9</v>
      </c>
      <c r="G21" s="369">
        <f>F21/C1</f>
        <v>20405.802631578943</v>
      </c>
    </row>
    <row r="22" spans="1:7" x14ac:dyDescent="0.25">
      <c r="A22" s="59" t="s">
        <v>504</v>
      </c>
      <c r="B22" s="369">
        <v>1067327.96</v>
      </c>
      <c r="C22" s="369">
        <f t="shared" si="1"/>
        <v>15604.209941520467</v>
      </c>
      <c r="D22" s="369"/>
      <c r="E22" s="222"/>
      <c r="F22" s="412">
        <f>'[17]Zdorovoe pokolenie'!I28</f>
        <v>1067328</v>
      </c>
      <c r="G22" s="369">
        <f>F22/C1</f>
        <v>15604.210526315788</v>
      </c>
    </row>
    <row r="23" spans="1:7" x14ac:dyDescent="0.25">
      <c r="A23" s="59" t="s">
        <v>505</v>
      </c>
      <c r="B23" s="369">
        <v>728062.6</v>
      </c>
      <c r="C23" s="369">
        <f t="shared" si="1"/>
        <v>10644.190058479531</v>
      </c>
      <c r="D23" s="369"/>
      <c r="E23" s="222"/>
      <c r="F23" s="374">
        <f>'[17]Harmonia plus'!I38</f>
        <v>728062.49999999988</v>
      </c>
      <c r="G23" s="369">
        <f>F23/C1</f>
        <v>10644.188596491225</v>
      </c>
    </row>
    <row r="24" spans="1:7" x14ac:dyDescent="0.25">
      <c r="A24" s="371" t="s">
        <v>506</v>
      </c>
      <c r="B24" s="371">
        <f>SUM(B16:B23)</f>
        <v>8776046.2699999996</v>
      </c>
      <c r="C24" s="371">
        <f>B24/68.4</f>
        <v>128304.77002923975</v>
      </c>
      <c r="D24" s="371">
        <f>C24</f>
        <v>128304.77002923975</v>
      </c>
      <c r="E24" s="371">
        <f>SUM(E16:E23)</f>
        <v>0</v>
      </c>
      <c r="F24" s="371"/>
      <c r="G24" s="371">
        <f>SUM(G16:G23)</f>
        <v>128304.76535087718</v>
      </c>
    </row>
    <row r="25" spans="1:7" x14ac:dyDescent="0.25">
      <c r="A25" s="532" t="s">
        <v>507</v>
      </c>
      <c r="B25" s="533"/>
      <c r="C25" s="379">
        <f>C24+C15+C11</f>
        <v>401478.44239766075</v>
      </c>
      <c r="D25" s="413">
        <f>C25</f>
        <v>401478.44239766075</v>
      </c>
      <c r="E25" s="119">
        <f>E24+E15+E11</f>
        <v>57614.079999999994</v>
      </c>
      <c r="F25" s="59"/>
      <c r="G25" s="369"/>
    </row>
    <row r="26" spans="1:7" x14ac:dyDescent="0.25">
      <c r="A26" s="59" t="s">
        <v>508</v>
      </c>
      <c r="B26" s="369">
        <v>10749832.92</v>
      </c>
      <c r="C26" s="381">
        <v>157161.29999999999</v>
      </c>
      <c r="D26" s="381">
        <v>106087.28</v>
      </c>
      <c r="E26" s="222"/>
      <c r="F26" s="374">
        <f>'[17]РЦ СПИД'!I57+[17]ГЦПБС!J29+[17]ООЦПБС!I37</f>
        <v>8089442.9543237491</v>
      </c>
      <c r="G26" s="369">
        <f>F26/C1</f>
        <v>118266.70985853433</v>
      </c>
    </row>
    <row r="27" spans="1:7" x14ac:dyDescent="0.25">
      <c r="A27" s="59" t="s">
        <v>509</v>
      </c>
      <c r="B27" s="369">
        <v>17902704.670000002</v>
      </c>
      <c r="C27" s="381">
        <f>B27/68.4</f>
        <v>261735.44839181288</v>
      </c>
      <c r="D27" s="381">
        <v>257109.34</v>
      </c>
      <c r="E27" s="222"/>
      <c r="F27" s="374">
        <f>[17]РЦН!L118</f>
        <v>17902704.664999999</v>
      </c>
      <c r="G27" s="369">
        <f>F27/C1</f>
        <v>261735.4483187134</v>
      </c>
    </row>
    <row r="28" spans="1:7" x14ac:dyDescent="0.25">
      <c r="A28" s="59" t="s">
        <v>510</v>
      </c>
      <c r="B28" s="369"/>
      <c r="C28" s="381">
        <f>3*500*6+180*6</f>
        <v>10080</v>
      </c>
      <c r="D28" s="381">
        <f>800*3*6+180*6</f>
        <v>15480</v>
      </c>
      <c r="E28" s="119">
        <v>10080</v>
      </c>
      <c r="F28" s="59">
        <f>[17]MoH!J12</f>
        <v>689471.98</v>
      </c>
      <c r="G28" s="369">
        <f>F28/C1</f>
        <v>10079.999707602337</v>
      </c>
    </row>
    <row r="29" spans="1:7" x14ac:dyDescent="0.25">
      <c r="A29" s="530" t="s">
        <v>511</v>
      </c>
      <c r="B29" s="531"/>
      <c r="C29" s="531"/>
      <c r="D29" s="535"/>
      <c r="E29" s="222"/>
      <c r="F29" s="59"/>
      <c r="G29" s="369"/>
    </row>
    <row r="30" spans="1:7" ht="30" x14ac:dyDescent="0.25">
      <c r="A30" s="221" t="s">
        <v>512</v>
      </c>
      <c r="B30" s="59"/>
      <c r="C30" s="374">
        <v>22263.14</v>
      </c>
      <c r="D30" s="59"/>
      <c r="E30" s="222"/>
      <c r="F30" s="374">
        <f>[17]Карабалта_МСМ!J26</f>
        <v>1314049.6399999999</v>
      </c>
      <c r="G30" s="369">
        <f>F30/C1</f>
        <v>19211.252046783622</v>
      </c>
    </row>
    <row r="31" spans="1:7" x14ac:dyDescent="0.25">
      <c r="A31" s="221" t="s">
        <v>513</v>
      </c>
      <c r="B31" s="59"/>
      <c r="C31" s="59">
        <v>14433.18</v>
      </c>
      <c r="D31" s="59"/>
      <c r="E31" s="222"/>
      <c r="F31" s="374">
        <f>[17]Талас!J30</f>
        <v>968850</v>
      </c>
      <c r="G31" s="369">
        <f>F31/C1</f>
        <v>14164.473684210525</v>
      </c>
    </row>
    <row r="32" spans="1:7" x14ac:dyDescent="0.25">
      <c r="A32" s="221" t="s">
        <v>514</v>
      </c>
      <c r="B32" s="59"/>
      <c r="C32" s="59">
        <v>15488.46</v>
      </c>
      <c r="D32" s="59"/>
      <c r="E32" s="222"/>
      <c r="F32" s="374">
        <f>[17]Кызылкия!J30</f>
        <v>996885</v>
      </c>
      <c r="G32" s="369">
        <f>F32/C1</f>
        <v>14574.342105263157</v>
      </c>
    </row>
    <row r="33" spans="1:7" x14ac:dyDescent="0.25">
      <c r="A33" s="371" t="s">
        <v>494</v>
      </c>
      <c r="B33" s="371">
        <f>B32+B31+B30</f>
        <v>0</v>
      </c>
      <c r="C33" s="383">
        <f>C32+C31+C30</f>
        <v>52184.78</v>
      </c>
      <c r="D33" s="383">
        <f>C33</f>
        <v>52184.78</v>
      </c>
      <c r="E33" s="222">
        <f>E32+E31+E30</f>
        <v>0</v>
      </c>
      <c r="F33" s="59"/>
      <c r="G33" s="369"/>
    </row>
    <row r="34" spans="1:7" x14ac:dyDescent="0.25">
      <c r="A34" s="385" t="s">
        <v>515</v>
      </c>
      <c r="B34" s="386">
        <v>4245998.4000000004</v>
      </c>
      <c r="C34" s="386">
        <v>62076</v>
      </c>
      <c r="D34" s="59"/>
      <c r="E34" s="222"/>
      <c r="F34" s="374">
        <f>'[17]Луин Ош'!I34</f>
        <v>3557415</v>
      </c>
      <c r="G34" s="414">
        <f>F34/C1</f>
        <v>52008.991228070168</v>
      </c>
    </row>
    <row r="35" spans="1:7" x14ac:dyDescent="0.25">
      <c r="A35" s="371" t="s">
        <v>506</v>
      </c>
      <c r="B35" s="383">
        <f>B34</f>
        <v>4245998.4000000004</v>
      </c>
      <c r="C35" s="383">
        <f>C34</f>
        <v>62076</v>
      </c>
      <c r="D35" s="383">
        <f>C35</f>
        <v>62076</v>
      </c>
      <c r="E35" s="222">
        <f>E34</f>
        <v>0</v>
      </c>
      <c r="F35" s="59"/>
      <c r="G35" s="369"/>
    </row>
    <row r="36" spans="1:7" x14ac:dyDescent="0.25">
      <c r="A36" s="385" t="s">
        <v>516</v>
      </c>
      <c r="B36" s="388"/>
      <c r="C36" s="415">
        <v>33457.53</v>
      </c>
      <c r="D36" s="416"/>
      <c r="E36" s="417">
        <v>23453.58</v>
      </c>
      <c r="F36" s="59">
        <f>'[17]Лжв Бишкек'!J24</f>
        <v>2033040.8880000003</v>
      </c>
      <c r="G36" s="414">
        <f>F36/C1</f>
        <v>29722.82</v>
      </c>
    </row>
    <row r="37" spans="1:7" x14ac:dyDescent="0.25">
      <c r="A37" s="371" t="s">
        <v>498</v>
      </c>
      <c r="B37" s="383"/>
      <c r="C37" s="383">
        <f>C36</f>
        <v>33457.53</v>
      </c>
      <c r="D37" s="383">
        <f>C37</f>
        <v>33457.53</v>
      </c>
      <c r="E37" s="417">
        <f>E36</f>
        <v>23453.58</v>
      </c>
      <c r="F37" s="59"/>
      <c r="G37" s="414"/>
    </row>
    <row r="38" spans="1:7" x14ac:dyDescent="0.25">
      <c r="A38" s="221" t="s">
        <v>517</v>
      </c>
      <c r="B38" s="59"/>
      <c r="C38" s="365">
        <v>22071.06</v>
      </c>
      <c r="D38" s="365">
        <f>C38</f>
        <v>22071.06</v>
      </c>
      <c r="E38" s="222">
        <v>17639.25</v>
      </c>
      <c r="F38" s="374">
        <f>[17]Сеть!I29</f>
        <v>1444704.4439999999</v>
      </c>
      <c r="G38" s="414">
        <f>F38/C1</f>
        <v>21121.409999999996</v>
      </c>
    </row>
    <row r="39" spans="1:7" x14ac:dyDescent="0.25">
      <c r="A39" s="392" t="s">
        <v>518</v>
      </c>
      <c r="B39" s="392"/>
      <c r="C39" s="393">
        <f>C33+C35+C37+C38</f>
        <v>169789.37</v>
      </c>
      <c r="D39" s="393">
        <f>C39</f>
        <v>169789.37</v>
      </c>
      <c r="E39" s="222">
        <f>E38+E37+E35+E33</f>
        <v>41092.83</v>
      </c>
      <c r="F39" s="392"/>
      <c r="G39" s="392">
        <f>SUM(G30:G38)</f>
        <v>150803.28906432749</v>
      </c>
    </row>
    <row r="40" spans="1:7" x14ac:dyDescent="0.25">
      <c r="A40" s="395" t="s">
        <v>519</v>
      </c>
      <c r="B40" s="396"/>
      <c r="C40" s="392">
        <v>60292.15</v>
      </c>
      <c r="D40" s="392">
        <f>C40</f>
        <v>60292.15</v>
      </c>
      <c r="E40" s="222">
        <v>21714.6</v>
      </c>
      <c r="F40" s="374">
        <f>[17]ФСК!H23</f>
        <v>1485281.28</v>
      </c>
      <c r="G40" s="369">
        <f>F40/C1</f>
        <v>21714.638596491226</v>
      </c>
    </row>
    <row r="41" spans="1:7" x14ac:dyDescent="0.25">
      <c r="A41" s="398" t="s">
        <v>424</v>
      </c>
      <c r="B41" s="399"/>
      <c r="C41" s="400">
        <f>C40+C39+C28+C27+C26+C25</f>
        <v>1060536.7107894737</v>
      </c>
      <c r="D41" s="400">
        <f>D40+D39+D28+D27+D26+D25</f>
        <v>1010236.5823976607</v>
      </c>
      <c r="E41" s="418">
        <f>D41*90/100</f>
        <v>909212.92415789468</v>
      </c>
      <c r="F41" s="402"/>
      <c r="G41" s="369">
        <f>G11+G15+G24+G26+G27+G28+G39+G40</f>
        <v>964078.52326496691</v>
      </c>
    </row>
    <row r="42" spans="1:7" x14ac:dyDescent="0.25">
      <c r="A42" s="222"/>
      <c r="B42" s="222"/>
      <c r="C42" s="222"/>
      <c r="D42" s="222"/>
      <c r="E42" s="403">
        <f>D41-E41</f>
        <v>101023.65823976602</v>
      </c>
      <c r="F42" s="222"/>
      <c r="G42" s="119">
        <f>G43-G41</f>
        <v>0.12511695944704115</v>
      </c>
    </row>
    <row r="43" spans="1:7" x14ac:dyDescent="0.25">
      <c r="A43" s="222"/>
      <c r="B43" s="222"/>
      <c r="C43" s="222"/>
      <c r="D43" s="222"/>
      <c r="E43" s="222"/>
      <c r="F43" s="222" t="s">
        <v>527</v>
      </c>
      <c r="G43" s="119">
        <f>890998.648674324+G28+63000</f>
        <v>964078.64838192635</v>
      </c>
    </row>
    <row r="44" spans="1:7" x14ac:dyDescent="0.25">
      <c r="F44" t="s">
        <v>533</v>
      </c>
      <c r="G44" s="119">
        <f>G11+G15+G24+G30+G31+G32+G34+G36</f>
        <v>531160.31678362563</v>
      </c>
    </row>
    <row r="45" spans="1:7" x14ac:dyDescent="0.25">
      <c r="F45" t="s">
        <v>0</v>
      </c>
      <c r="G45" s="119">
        <f>G24+G34</f>
        <v>180313.75657894736</v>
      </c>
    </row>
    <row r="46" spans="1:7" x14ac:dyDescent="0.25">
      <c r="F46" t="s">
        <v>9</v>
      </c>
      <c r="G46" s="119">
        <f>G6+G7+G8+G9+G31+G32</f>
        <v>128738.34926900582</v>
      </c>
    </row>
    <row r="47" spans="1:7" x14ac:dyDescent="0.25">
      <c r="F47" t="s">
        <v>13</v>
      </c>
      <c r="G47" s="119">
        <f>G4+G5+G10+G30</f>
        <v>118539.08976608186</v>
      </c>
    </row>
    <row r="48" spans="1:7" x14ac:dyDescent="0.25">
      <c r="F48" t="s">
        <v>45</v>
      </c>
      <c r="G48" s="119">
        <f>G15+G36</f>
        <v>103569.12116959065</v>
      </c>
    </row>
  </sheetData>
  <mergeCells count="5">
    <mergeCell ref="F1:G1"/>
    <mergeCell ref="A3:D3"/>
    <mergeCell ref="E3:G3"/>
    <mergeCell ref="A25:B25"/>
    <mergeCell ref="A29:D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3"/>
  <sheetViews>
    <sheetView topLeftCell="A4" zoomScale="80" zoomScaleNormal="80" workbookViewId="0">
      <selection activeCell="N44" sqref="N44"/>
    </sheetView>
  </sheetViews>
  <sheetFormatPr defaultRowHeight="15" x14ac:dyDescent="0.25"/>
  <cols>
    <col min="1" max="1" width="12.85546875" style="222" customWidth="1"/>
    <col min="2" max="2" width="9.140625" style="222"/>
    <col min="3" max="3" width="81.7109375" style="222" bestFit="1" customWidth="1"/>
    <col min="4" max="4" width="31.5703125" style="222" customWidth="1"/>
    <col min="5" max="5" width="30" style="222" bestFit="1" customWidth="1"/>
    <col min="6" max="6" width="24.140625" style="222" bestFit="1" customWidth="1"/>
    <col min="7" max="7" width="26.7109375" style="222" customWidth="1"/>
    <col min="8" max="8" width="25" style="222" customWidth="1"/>
    <col min="9" max="16384" width="9.140625" style="222"/>
  </cols>
  <sheetData>
    <row r="3" spans="1:7" x14ac:dyDescent="0.25">
      <c r="D3" s="363" t="s">
        <v>437</v>
      </c>
    </row>
    <row r="4" spans="1:7" x14ac:dyDescent="0.25">
      <c r="A4" s="363" t="s">
        <v>218</v>
      </c>
      <c r="B4" s="363" t="s">
        <v>438</v>
      </c>
      <c r="C4" s="363" t="s">
        <v>439</v>
      </c>
      <c r="D4" s="222" t="s">
        <v>440</v>
      </c>
      <c r="E4" s="222" t="s">
        <v>441</v>
      </c>
      <c r="F4" s="222" t="s">
        <v>442</v>
      </c>
    </row>
    <row r="5" spans="1:7" x14ac:dyDescent="0.25">
      <c r="A5" s="222" t="s">
        <v>221</v>
      </c>
      <c r="B5" s="222" t="s">
        <v>367</v>
      </c>
      <c r="C5" s="222" t="s">
        <v>443</v>
      </c>
      <c r="D5" s="354">
        <v>300</v>
      </c>
      <c r="E5" s="405">
        <v>300</v>
      </c>
      <c r="F5" s="354">
        <v>0</v>
      </c>
      <c r="G5" s="538" t="s">
        <v>530</v>
      </c>
    </row>
    <row r="6" spans="1:7" x14ac:dyDescent="0.25">
      <c r="C6" s="222" t="s">
        <v>401</v>
      </c>
      <c r="D6" s="354">
        <v>16740</v>
      </c>
      <c r="E6" s="355">
        <v>16740</v>
      </c>
      <c r="F6" s="354">
        <v>0</v>
      </c>
      <c r="G6" s="538"/>
    </row>
    <row r="7" spans="1:7" x14ac:dyDescent="0.25">
      <c r="C7" s="222" t="s">
        <v>444</v>
      </c>
      <c r="D7" s="354">
        <v>2280.7017543859647</v>
      </c>
      <c r="E7" s="355">
        <v>2280.7017543859647</v>
      </c>
      <c r="F7" s="354">
        <v>0</v>
      </c>
      <c r="G7" s="538"/>
    </row>
    <row r="8" spans="1:7" x14ac:dyDescent="0.25">
      <c r="C8" s="222" t="s">
        <v>445</v>
      </c>
      <c r="D8" s="354">
        <v>777648.24</v>
      </c>
      <c r="E8" s="355">
        <v>124272.22</v>
      </c>
      <c r="F8" s="354">
        <v>653376.02</v>
      </c>
      <c r="G8" s="538" t="s">
        <v>531</v>
      </c>
    </row>
    <row r="9" spans="1:7" x14ac:dyDescent="0.25">
      <c r="C9" s="222" t="s">
        <v>446</v>
      </c>
      <c r="D9" s="354">
        <v>96000</v>
      </c>
      <c r="E9" s="355">
        <v>86400</v>
      </c>
      <c r="F9" s="354">
        <v>9600</v>
      </c>
      <c r="G9" s="538"/>
    </row>
    <row r="10" spans="1:7" x14ac:dyDescent="0.25">
      <c r="C10" s="222" t="s">
        <v>447</v>
      </c>
      <c r="D10" s="354">
        <v>8775</v>
      </c>
      <c r="E10" s="355">
        <v>0</v>
      </c>
      <c r="F10" s="354">
        <v>8775</v>
      </c>
      <c r="G10" s="538"/>
    </row>
    <row r="11" spans="1:7" x14ac:dyDescent="0.25">
      <c r="C11" s="222" t="s">
        <v>448</v>
      </c>
      <c r="D11" s="354">
        <v>68580.72</v>
      </c>
      <c r="E11" s="355">
        <v>0</v>
      </c>
      <c r="F11" s="354">
        <v>68580.72</v>
      </c>
      <c r="G11" s="538"/>
    </row>
    <row r="12" spans="1:7" x14ac:dyDescent="0.25">
      <c r="C12" s="222" t="s">
        <v>449</v>
      </c>
      <c r="D12" s="354">
        <v>136973.20000000001</v>
      </c>
      <c r="E12" s="355">
        <v>0</v>
      </c>
      <c r="F12" s="354">
        <v>136973.20000000001</v>
      </c>
      <c r="G12" s="538"/>
    </row>
    <row r="13" spans="1:7" x14ac:dyDescent="0.25">
      <c r="C13" s="222" t="s">
        <v>450</v>
      </c>
      <c r="D13" s="354">
        <v>95040</v>
      </c>
      <c r="E13" s="355">
        <v>0</v>
      </c>
      <c r="F13" s="354">
        <v>95040</v>
      </c>
      <c r="G13" s="538"/>
    </row>
    <row r="14" spans="1:7" x14ac:dyDescent="0.25">
      <c r="C14" s="222" t="s">
        <v>451</v>
      </c>
      <c r="D14" s="354">
        <v>95883</v>
      </c>
      <c r="E14" s="355">
        <v>0</v>
      </c>
      <c r="F14" s="354">
        <v>95883</v>
      </c>
      <c r="G14" s="538"/>
    </row>
    <row r="15" spans="1:7" x14ac:dyDescent="0.25">
      <c r="C15" s="222" t="s">
        <v>452</v>
      </c>
      <c r="D15" s="354">
        <v>144605.42666666667</v>
      </c>
      <c r="E15" s="355">
        <v>0</v>
      </c>
      <c r="F15" s="354">
        <v>144605.42666666667</v>
      </c>
      <c r="G15" s="538"/>
    </row>
    <row r="16" spans="1:7" x14ac:dyDescent="0.25">
      <c r="C16" s="222" t="s">
        <v>453</v>
      </c>
      <c r="D16" s="354">
        <v>374211.04000000004</v>
      </c>
      <c r="E16" s="355">
        <v>59120</v>
      </c>
      <c r="F16" s="354">
        <v>315091.04000000004</v>
      </c>
      <c r="G16" s="538"/>
    </row>
    <row r="17" spans="2:8" x14ac:dyDescent="0.25">
      <c r="C17" s="222" t="s">
        <v>454</v>
      </c>
      <c r="D17" s="354">
        <v>171080</v>
      </c>
      <c r="E17" s="355">
        <v>59260</v>
      </c>
      <c r="F17" s="354">
        <v>111820</v>
      </c>
      <c r="G17" s="538"/>
    </row>
    <row r="18" spans="2:8" ht="15.75" thickBot="1" x14ac:dyDescent="0.3">
      <c r="C18" s="222" t="s">
        <v>455</v>
      </c>
      <c r="D18" s="354">
        <v>428582.10153333336</v>
      </c>
      <c r="E18" s="355">
        <v>52120.380000000005</v>
      </c>
      <c r="F18" s="354">
        <v>376461.7215333333</v>
      </c>
      <c r="G18" s="538"/>
      <c r="H18" s="419">
        <f>GETPIVOTDATA("Сумма по полю Y1 Revised 1-4",$A$3,"Cost Input","4.1 Antiretroviral medicines","Component","HIV","Recipient Type","PR")+GETPIVOTDATA("Сумма по полю Y1 Revised 1-4",$A$3,"Cost Input","4.4 Opioid substitution medicines","Component","HIV","Recipient Type","PR")+GETPIVOTDATA("Сумма по полю Y1 Revised 1-4",$A$3,"Cost Input","6.1 CD4 analyser/accessories","Component","HIV","Recipient Type","PR")+GETPIVOTDATA("Сумма по полю Y1 Revised 1-4",$A$3,"Cost Input","6.2 HIV Viral Load analyser/accessories","Component","HIV","Recipient Type","PR")+GETPIVOTDATA("Сумма по полю Y1 Revised 1-4",$A$3,"Cost Input","7.7 Other PSM costs","Component","HIV","Recipient Type","PR")</f>
        <v>381172.6</v>
      </c>
    </row>
    <row r="19" spans="2:8" ht="16.5" thickTop="1" thickBot="1" x14ac:dyDescent="0.3">
      <c r="B19" s="356" t="s">
        <v>456</v>
      </c>
      <c r="C19" s="356"/>
      <c r="D19" s="357">
        <v>2416699.4299543863</v>
      </c>
      <c r="E19" s="357">
        <v>400493.30175438593</v>
      </c>
      <c r="F19" s="357">
        <v>2016206.1282000002</v>
      </c>
    </row>
    <row r="20" spans="2:8" ht="15.75" thickTop="1" x14ac:dyDescent="0.25">
      <c r="B20" s="222" t="s">
        <v>343</v>
      </c>
      <c r="C20" s="222" t="s">
        <v>349</v>
      </c>
      <c r="D20" s="354">
        <v>149370.63749999998</v>
      </c>
      <c r="E20" s="355">
        <v>119162.8366008772</v>
      </c>
      <c r="F20" s="354">
        <v>30207.800899122802</v>
      </c>
    </row>
    <row r="21" spans="2:8" x14ac:dyDescent="0.25">
      <c r="C21" s="222" t="s">
        <v>342</v>
      </c>
      <c r="D21" s="354">
        <v>522752.09685672517</v>
      </c>
      <c r="E21" s="355">
        <v>398607.15921052633</v>
      </c>
      <c r="F21" s="354">
        <v>124144.93764619881</v>
      </c>
    </row>
    <row r="22" spans="2:8" x14ac:dyDescent="0.25">
      <c r="C22" s="222" t="s">
        <v>368</v>
      </c>
      <c r="D22" s="354">
        <v>162370.87914208754</v>
      </c>
      <c r="E22" s="355">
        <v>128475.80172432383</v>
      </c>
      <c r="F22" s="354">
        <v>33895.077417763721</v>
      </c>
    </row>
    <row r="23" spans="2:8" x14ac:dyDescent="0.25">
      <c r="C23" s="222" t="s">
        <v>457</v>
      </c>
      <c r="D23" s="354">
        <v>160889.7858577274</v>
      </c>
      <c r="E23" s="355">
        <v>112863.73450292395</v>
      </c>
      <c r="F23" s="354">
        <v>48026.051354803465</v>
      </c>
    </row>
    <row r="24" spans="2:8" x14ac:dyDescent="0.25">
      <c r="C24" s="222" t="s">
        <v>458</v>
      </c>
      <c r="D24" s="354">
        <v>21977.192982456141</v>
      </c>
      <c r="E24" s="355">
        <v>6697.0760233918118</v>
      </c>
      <c r="F24" s="354">
        <v>15280.116959064328</v>
      </c>
    </row>
    <row r="25" spans="2:8" x14ac:dyDescent="0.25">
      <c r="C25" s="222" t="s">
        <v>459</v>
      </c>
      <c r="D25" s="354">
        <v>55968</v>
      </c>
      <c r="E25" s="355">
        <v>24561.403508771928</v>
      </c>
      <c r="F25" s="354">
        <v>31406.596491228072</v>
      </c>
    </row>
    <row r="26" spans="2:8" x14ac:dyDescent="0.25">
      <c r="C26" s="222" t="s">
        <v>460</v>
      </c>
      <c r="D26" s="354">
        <v>13433.060233918128</v>
      </c>
      <c r="E26" s="355">
        <v>7547.3245614035077</v>
      </c>
      <c r="F26" s="354">
        <v>5885.7356725146201</v>
      </c>
    </row>
    <row r="27" spans="2:8" x14ac:dyDescent="0.25">
      <c r="C27" s="222" t="s">
        <v>461</v>
      </c>
      <c r="D27" s="354">
        <v>10321.778659223815</v>
      </c>
      <c r="E27" s="355">
        <v>8847.1947789473688</v>
      </c>
      <c r="F27" s="354">
        <v>1474.5838802764479</v>
      </c>
    </row>
    <row r="28" spans="2:8" x14ac:dyDescent="0.25">
      <c r="C28" s="222" t="s">
        <v>462</v>
      </c>
      <c r="D28" s="354">
        <v>21957.169590643276</v>
      </c>
      <c r="E28" s="355">
        <v>858.55263157894728</v>
      </c>
      <c r="F28" s="354">
        <v>21098.616959064326</v>
      </c>
    </row>
    <row r="29" spans="2:8" x14ac:dyDescent="0.25">
      <c r="C29" s="222" t="s">
        <v>463</v>
      </c>
      <c r="D29" s="354">
        <v>68067.019078947356</v>
      </c>
      <c r="E29" s="355">
        <v>58932.301973684211</v>
      </c>
      <c r="F29" s="354">
        <v>9134.7171052631493</v>
      </c>
    </row>
    <row r="30" spans="2:8" x14ac:dyDescent="0.25">
      <c r="C30" s="222" t="s">
        <v>444</v>
      </c>
      <c r="D30" s="354">
        <v>36385.270833333328</v>
      </c>
      <c r="E30" s="355">
        <v>23114.73684210526</v>
      </c>
      <c r="F30" s="354">
        <v>13270.533991228071</v>
      </c>
    </row>
    <row r="31" spans="2:8" x14ac:dyDescent="0.25">
      <c r="C31" s="222" t="s">
        <v>464</v>
      </c>
      <c r="D31" s="354">
        <v>219.29824561403507</v>
      </c>
      <c r="E31" s="355">
        <v>1330.5263157894735</v>
      </c>
      <c r="F31" s="354">
        <v>-1111.2280701754385</v>
      </c>
    </row>
    <row r="32" spans="2:8" ht="15.75" thickBot="1" x14ac:dyDescent="0.3">
      <c r="B32" s="356" t="s">
        <v>465</v>
      </c>
      <c r="C32" s="356"/>
      <c r="D32" s="357">
        <v>1223712.188980676</v>
      </c>
      <c r="E32" s="357">
        <v>890998.64867432369</v>
      </c>
      <c r="F32" s="357">
        <v>332713.54030635231</v>
      </c>
      <c r="G32" s="222">
        <f>GETPIVOTDATA("Сумма по полю Y1 Revised 1-4",$A$3,"Component","HIV","Recipient Type","SR")+63000</f>
        <v>953998.64867432369</v>
      </c>
      <c r="H32" s="419">
        <f>GETPIVOTDATA("Сумма по полю Y1 Revised 1-4",$A$3,"Component","HIV","Recipient Type","SR")+GETPIVOTDATA("Сумма по полю Y1 Revised 1-4",$A$3,"Cost Input","10.1 Printed materials (forms, books, guidelines, brochure, leaflets...)","Component","HIV","Recipient Type","PR")+GETPIVOTDATA("Сумма по полю Y1 Revised 1-4",$A$3,"Cost Input","2.1 Training related per diems/transport/other costs","Component","HIV","Recipient Type","PR")+GETPIVOTDATA("Сумма по полю Y1 Revised 1-4",$A$3,"Cost Input","3.4 Other external professional services","Component","HIV","Recipient Type","PR")+63000</f>
        <v>973319.35042870964</v>
      </c>
    </row>
    <row r="33" spans="1:8" ht="15.75" thickTop="1" x14ac:dyDescent="0.25">
      <c r="A33" s="358" t="s">
        <v>466</v>
      </c>
      <c r="B33" s="358"/>
      <c r="C33" s="358"/>
      <c r="D33" s="359">
        <v>3640411.6189350626</v>
      </c>
      <c r="E33" s="359">
        <v>1291491.9504287096</v>
      </c>
      <c r="F33" s="359">
        <v>2348919.6685063527</v>
      </c>
      <c r="G33" s="222">
        <f>GETPIVOTDATA("Сумма по полю Y1 Revised 1-4",$A$3,"Component","HIV","Recipient Type","PR")+G32</f>
        <v>1354491.9504287096</v>
      </c>
      <c r="H33" s="222">
        <f>G33*100/G83</f>
        <v>48.593005735934462</v>
      </c>
    </row>
    <row r="34" spans="1:8" x14ac:dyDescent="0.25">
      <c r="A34" s="222" t="s">
        <v>467</v>
      </c>
      <c r="B34" s="222" t="s">
        <v>343</v>
      </c>
      <c r="C34" s="222" t="s">
        <v>349</v>
      </c>
      <c r="D34" s="354">
        <v>45254.385964912275</v>
      </c>
      <c r="E34" s="355">
        <v>0</v>
      </c>
      <c r="F34" s="354">
        <v>45254.385964912275</v>
      </c>
    </row>
    <row r="35" spans="1:8" x14ac:dyDescent="0.25">
      <c r="C35" s="222" t="s">
        <v>342</v>
      </c>
      <c r="D35" s="354">
        <v>40132.412280701756</v>
      </c>
      <c r="E35" s="355">
        <v>9000</v>
      </c>
      <c r="F35" s="354">
        <v>31132.412280701756</v>
      </c>
    </row>
    <row r="36" spans="1:8" x14ac:dyDescent="0.25">
      <c r="C36" s="222" t="s">
        <v>457</v>
      </c>
      <c r="D36" s="354">
        <v>3343.4210526315787</v>
      </c>
      <c r="E36" s="355">
        <v>1080</v>
      </c>
      <c r="F36" s="354">
        <v>2263.4210526315787</v>
      </c>
    </row>
    <row r="37" spans="1:8" x14ac:dyDescent="0.25">
      <c r="C37" s="222" t="s">
        <v>401</v>
      </c>
      <c r="D37" s="354">
        <v>3720</v>
      </c>
      <c r="E37" s="355">
        <v>0</v>
      </c>
      <c r="F37" s="354">
        <v>3720</v>
      </c>
    </row>
    <row r="38" spans="1:8" x14ac:dyDescent="0.25">
      <c r="C38" s="222" t="s">
        <v>461</v>
      </c>
      <c r="D38" s="354">
        <v>1515.3508771929824</v>
      </c>
      <c r="E38" s="355">
        <v>0</v>
      </c>
      <c r="F38" s="354">
        <v>1515.3508771929824</v>
      </c>
    </row>
    <row r="39" spans="1:8" x14ac:dyDescent="0.25">
      <c r="C39" s="222" t="s">
        <v>462</v>
      </c>
      <c r="D39" s="354">
        <v>1235</v>
      </c>
      <c r="E39" s="355">
        <v>0</v>
      </c>
      <c r="F39" s="354">
        <v>1235</v>
      </c>
    </row>
    <row r="40" spans="1:8" ht="15.75" thickBot="1" x14ac:dyDescent="0.3">
      <c r="B40" s="356" t="s">
        <v>465</v>
      </c>
      <c r="C40" s="356"/>
      <c r="D40" s="357">
        <v>95200.570175438581</v>
      </c>
      <c r="E40" s="357">
        <v>10080</v>
      </c>
      <c r="F40" s="357">
        <v>85120.570175438581</v>
      </c>
    </row>
    <row r="41" spans="1:8" ht="16.5" thickTop="1" thickBot="1" x14ac:dyDescent="0.3">
      <c r="A41" s="358" t="s">
        <v>468</v>
      </c>
      <c r="B41" s="358"/>
      <c r="C41" s="358"/>
      <c r="D41" s="359">
        <v>95200.570175438581</v>
      </c>
      <c r="E41" s="359">
        <v>10080</v>
      </c>
      <c r="F41" s="359">
        <v>85120.570175438581</v>
      </c>
      <c r="H41" s="419">
        <v>10080</v>
      </c>
    </row>
    <row r="42" spans="1:8" ht="15.75" thickTop="1" x14ac:dyDescent="0.25">
      <c r="A42" s="222" t="s">
        <v>226</v>
      </c>
      <c r="B42" s="222" t="s">
        <v>367</v>
      </c>
      <c r="C42" s="222" t="s">
        <v>458</v>
      </c>
      <c r="D42" s="354">
        <v>27252.799707602338</v>
      </c>
      <c r="E42" s="355">
        <v>17810</v>
      </c>
      <c r="F42" s="354">
        <v>9442.7997076023385</v>
      </c>
    </row>
    <row r="43" spans="1:8" x14ac:dyDescent="0.25">
      <c r="C43" s="222" t="s">
        <v>460</v>
      </c>
      <c r="D43" s="354">
        <v>13099.41520467836</v>
      </c>
      <c r="E43" s="355">
        <v>13099.41520467836</v>
      </c>
      <c r="F43" s="354">
        <v>0</v>
      </c>
    </row>
    <row r="44" spans="1:8" x14ac:dyDescent="0.25">
      <c r="C44" s="222" t="s">
        <v>401</v>
      </c>
      <c r="D44" s="354">
        <v>10044</v>
      </c>
      <c r="E44" s="355">
        <v>0</v>
      </c>
      <c r="F44" s="354">
        <v>10044</v>
      </c>
    </row>
    <row r="45" spans="1:8" x14ac:dyDescent="0.25">
      <c r="C45" s="222" t="s">
        <v>469</v>
      </c>
      <c r="D45" s="354">
        <v>3740</v>
      </c>
      <c r="E45" s="355">
        <v>0</v>
      </c>
      <c r="F45" s="354">
        <v>3740</v>
      </c>
    </row>
    <row r="46" spans="1:8" x14ac:dyDescent="0.25">
      <c r="C46" s="222" t="s">
        <v>461</v>
      </c>
      <c r="D46" s="354">
        <v>37224.203216374262</v>
      </c>
      <c r="E46" s="355">
        <v>0</v>
      </c>
      <c r="F46" s="354">
        <v>37224.203216374262</v>
      </c>
    </row>
    <row r="47" spans="1:8" x14ac:dyDescent="0.25">
      <c r="C47" s="222" t="s">
        <v>462</v>
      </c>
      <c r="D47" s="354">
        <v>3720</v>
      </c>
      <c r="E47" s="355">
        <v>0</v>
      </c>
      <c r="F47" s="354">
        <v>3720</v>
      </c>
    </row>
    <row r="48" spans="1:8" x14ac:dyDescent="0.25">
      <c r="C48" s="222" t="s">
        <v>463</v>
      </c>
      <c r="D48" s="354">
        <v>1800</v>
      </c>
      <c r="E48" s="355">
        <v>0</v>
      </c>
      <c r="F48" s="354">
        <v>1800</v>
      </c>
    </row>
    <row r="49" spans="2:6" x14ac:dyDescent="0.25">
      <c r="C49" s="222" t="s">
        <v>470</v>
      </c>
      <c r="D49" s="354">
        <v>2315256.17</v>
      </c>
      <c r="E49" s="355">
        <v>848801</v>
      </c>
      <c r="F49" s="354">
        <v>1466455.17</v>
      </c>
    </row>
    <row r="50" spans="2:6" x14ac:dyDescent="0.25">
      <c r="C50" s="222" t="s">
        <v>450</v>
      </c>
      <c r="D50" s="354">
        <v>7650</v>
      </c>
      <c r="E50" s="355">
        <v>3825</v>
      </c>
      <c r="F50" s="354">
        <v>3825</v>
      </c>
    </row>
    <row r="51" spans="2:6" x14ac:dyDescent="0.25">
      <c r="C51" s="222" t="s">
        <v>471</v>
      </c>
      <c r="D51" s="354">
        <v>60993.8</v>
      </c>
      <c r="E51" s="355">
        <v>0</v>
      </c>
      <c r="F51" s="354">
        <v>60993.8</v>
      </c>
    </row>
    <row r="52" spans="2:6" x14ac:dyDescent="0.25">
      <c r="C52" s="222" t="s">
        <v>451</v>
      </c>
      <c r="D52" s="354">
        <v>51614.64</v>
      </c>
      <c r="E52" s="355">
        <v>18997</v>
      </c>
      <c r="F52" s="354">
        <v>32617.64</v>
      </c>
    </row>
    <row r="53" spans="2:6" x14ac:dyDescent="0.25">
      <c r="C53" s="222" t="s">
        <v>452</v>
      </c>
      <c r="D53" s="354">
        <v>199929.41999999998</v>
      </c>
      <c r="E53" s="355">
        <v>0</v>
      </c>
      <c r="F53" s="354">
        <v>199929.41999999998</v>
      </c>
    </row>
    <row r="54" spans="2:6" x14ac:dyDescent="0.25">
      <c r="C54" s="222" t="s">
        <v>472</v>
      </c>
      <c r="D54" s="354">
        <v>2460</v>
      </c>
      <c r="E54" s="355">
        <v>0</v>
      </c>
      <c r="F54" s="354">
        <v>2460</v>
      </c>
    </row>
    <row r="55" spans="2:6" x14ac:dyDescent="0.25">
      <c r="C55" s="222" t="s">
        <v>473</v>
      </c>
      <c r="D55" s="354">
        <v>535998</v>
      </c>
      <c r="E55" s="355">
        <v>267999</v>
      </c>
      <c r="F55" s="354">
        <v>267999</v>
      </c>
    </row>
    <row r="56" spans="2:6" x14ac:dyDescent="0.25">
      <c r="C56" s="222" t="s">
        <v>474</v>
      </c>
      <c r="D56" s="354">
        <v>155624.59999999998</v>
      </c>
      <c r="E56" s="355">
        <v>86312</v>
      </c>
      <c r="F56" s="354">
        <v>69312.599999999977</v>
      </c>
    </row>
    <row r="57" spans="2:6" x14ac:dyDescent="0.25">
      <c r="C57" s="222" t="s">
        <v>455</v>
      </c>
      <c r="D57" s="354">
        <v>543883.16449999996</v>
      </c>
      <c r="E57" s="355">
        <v>201796.26</v>
      </c>
      <c r="F57" s="354">
        <v>342086.90449999995</v>
      </c>
    </row>
    <row r="58" spans="2:6" ht="15.75" thickBot="1" x14ac:dyDescent="0.3">
      <c r="B58" s="356" t="s">
        <v>456</v>
      </c>
      <c r="C58" s="356"/>
      <c r="D58" s="357">
        <v>3970290.2126286547</v>
      </c>
      <c r="E58" s="357">
        <v>1458639.6752046782</v>
      </c>
      <c r="F58" s="357">
        <v>2511650.5374239767</v>
      </c>
    </row>
    <row r="59" spans="2:6" ht="15.75" thickTop="1" x14ac:dyDescent="0.25">
      <c r="B59" s="222" t="s">
        <v>343</v>
      </c>
      <c r="C59" s="222" t="s">
        <v>349</v>
      </c>
      <c r="D59" s="354">
        <v>12128.339999999998</v>
      </c>
      <c r="E59" s="355">
        <v>20633</v>
      </c>
      <c r="F59" s="354">
        <v>-8504.6600000000017</v>
      </c>
    </row>
    <row r="60" spans="2:6" x14ac:dyDescent="0.25">
      <c r="C60" s="222" t="s">
        <v>342</v>
      </c>
      <c r="D60" s="354">
        <v>39699.24552631579</v>
      </c>
      <c r="E60" s="355">
        <v>0</v>
      </c>
      <c r="F60" s="354">
        <v>39699.24552631579</v>
      </c>
    </row>
    <row r="61" spans="2:6" x14ac:dyDescent="0.25">
      <c r="C61" s="222" t="s">
        <v>368</v>
      </c>
      <c r="D61" s="354">
        <v>144865.76496491226</v>
      </c>
      <c r="E61" s="355">
        <v>0</v>
      </c>
      <c r="F61" s="354">
        <v>144865.76496491226</v>
      </c>
    </row>
    <row r="62" spans="2:6" x14ac:dyDescent="0.25">
      <c r="C62" s="222" t="s">
        <v>457</v>
      </c>
      <c r="D62" s="354">
        <v>7316.3508771929828</v>
      </c>
      <c r="E62" s="355">
        <v>552</v>
      </c>
      <c r="F62" s="354">
        <v>6764.3508771929828</v>
      </c>
    </row>
    <row r="63" spans="2:6" x14ac:dyDescent="0.25">
      <c r="C63" s="222" t="s">
        <v>459</v>
      </c>
      <c r="D63" s="354">
        <v>605026.31578947371</v>
      </c>
      <c r="E63" s="355">
        <v>0</v>
      </c>
      <c r="F63" s="354">
        <v>605026.31578947371</v>
      </c>
    </row>
    <row r="64" spans="2:6" x14ac:dyDescent="0.25">
      <c r="C64" s="222" t="s">
        <v>461</v>
      </c>
      <c r="D64" s="354">
        <v>42690</v>
      </c>
      <c r="E64" s="355">
        <v>5785</v>
      </c>
      <c r="F64" s="354">
        <v>36905</v>
      </c>
    </row>
    <row r="65" spans="1:8" x14ac:dyDescent="0.25">
      <c r="C65" s="222" t="s">
        <v>462</v>
      </c>
      <c r="D65" s="354">
        <v>480</v>
      </c>
      <c r="E65" s="355">
        <v>240</v>
      </c>
      <c r="F65" s="354">
        <v>240</v>
      </c>
    </row>
    <row r="66" spans="1:8" x14ac:dyDescent="0.25">
      <c r="C66" s="222" t="s">
        <v>463</v>
      </c>
      <c r="D66" s="354">
        <v>20199.218421052628</v>
      </c>
      <c r="E66" s="354">
        <v>0</v>
      </c>
      <c r="F66" s="354">
        <v>20199.218421052628</v>
      </c>
    </row>
    <row r="67" spans="1:8" x14ac:dyDescent="0.25">
      <c r="C67" s="222" t="s">
        <v>444</v>
      </c>
      <c r="D67" s="354">
        <v>215195.89855677009</v>
      </c>
      <c r="E67" s="354">
        <v>0</v>
      </c>
      <c r="F67" s="354">
        <v>215195.89855677009</v>
      </c>
    </row>
    <row r="68" spans="1:8" ht="15.75" thickBot="1" x14ac:dyDescent="0.3">
      <c r="A68" s="360"/>
      <c r="B68" s="361" t="s">
        <v>465</v>
      </c>
      <c r="C68" s="361"/>
      <c r="D68" s="362">
        <v>1087601.1341357175</v>
      </c>
      <c r="E68" s="362">
        <v>27210</v>
      </c>
      <c r="F68" s="362">
        <v>1060391.1341357175</v>
      </c>
    </row>
    <row r="69" spans="1:8" ht="15.75" thickTop="1" x14ac:dyDescent="0.25">
      <c r="A69" s="358" t="s">
        <v>475</v>
      </c>
      <c r="B69" s="358"/>
      <c r="C69" s="358"/>
      <c r="D69" s="359">
        <v>5057891.3467643708</v>
      </c>
      <c r="E69" s="359">
        <v>1485849.6752046782</v>
      </c>
      <c r="F69" s="359">
        <v>3572041.6715596938</v>
      </c>
    </row>
    <row r="70" spans="1:8" x14ac:dyDescent="0.25">
      <c r="A70" s="222" t="s">
        <v>476</v>
      </c>
      <c r="B70" s="222" t="s">
        <v>367</v>
      </c>
      <c r="C70" s="222" t="s">
        <v>349</v>
      </c>
      <c r="D70" s="354">
        <v>401325.30129999999</v>
      </c>
      <c r="E70" s="354">
        <v>370102</v>
      </c>
      <c r="F70" s="354">
        <v>31223.301299999992</v>
      </c>
    </row>
    <row r="71" spans="1:8" x14ac:dyDescent="0.25">
      <c r="C71" s="222" t="s">
        <v>443</v>
      </c>
      <c r="D71" s="354">
        <v>1500</v>
      </c>
      <c r="E71" s="354">
        <v>1500</v>
      </c>
      <c r="F71" s="354">
        <v>0</v>
      </c>
    </row>
    <row r="72" spans="1:8" ht="15.75" thickBot="1" x14ac:dyDescent="0.3">
      <c r="C72" s="222" t="s">
        <v>457</v>
      </c>
      <c r="D72" s="354">
        <v>42000</v>
      </c>
      <c r="E72" s="354">
        <v>41400</v>
      </c>
      <c r="F72" s="354">
        <v>600</v>
      </c>
      <c r="G72" s="419"/>
      <c r="H72" s="419"/>
    </row>
    <row r="73" spans="1:8" ht="16.5" thickTop="1" thickBot="1" x14ac:dyDescent="0.3">
      <c r="C73" s="222" t="s">
        <v>477</v>
      </c>
      <c r="D73" s="354">
        <v>653861.93768118857</v>
      </c>
      <c r="E73" s="354">
        <v>229585.27287328459</v>
      </c>
      <c r="F73" s="354">
        <v>424276.66480790399</v>
      </c>
      <c r="G73" s="419" t="s">
        <v>532</v>
      </c>
      <c r="H73" s="419">
        <f>(H18+H32+H41)/100*7</f>
        <v>95520.036530009675</v>
      </c>
    </row>
    <row r="74" spans="1:8" ht="15.75" thickTop="1" x14ac:dyDescent="0.25">
      <c r="C74" s="222" t="s">
        <v>461</v>
      </c>
      <c r="D74" s="354">
        <v>16680</v>
      </c>
      <c r="E74" s="354">
        <v>0</v>
      </c>
      <c r="F74" s="354">
        <v>16680</v>
      </c>
    </row>
    <row r="75" spans="1:8" x14ac:dyDescent="0.25">
      <c r="C75" s="222" t="s">
        <v>462</v>
      </c>
      <c r="D75" s="354">
        <v>6510</v>
      </c>
      <c r="E75" s="354">
        <v>0</v>
      </c>
      <c r="F75" s="354">
        <v>6510</v>
      </c>
    </row>
    <row r="76" spans="1:8" x14ac:dyDescent="0.25">
      <c r="C76" s="222" t="s">
        <v>478</v>
      </c>
      <c r="D76" s="354">
        <v>37000</v>
      </c>
      <c r="E76" s="354">
        <v>37000</v>
      </c>
      <c r="F76" s="354">
        <v>0</v>
      </c>
    </row>
    <row r="77" spans="1:8" x14ac:dyDescent="0.25">
      <c r="C77" s="222" t="s">
        <v>447</v>
      </c>
      <c r="D77" s="354">
        <v>712.5</v>
      </c>
      <c r="E77" s="354">
        <v>712.5</v>
      </c>
      <c r="F77" s="354">
        <v>0</v>
      </c>
    </row>
    <row r="78" spans="1:8" x14ac:dyDescent="0.25">
      <c r="C78" s="222" t="s">
        <v>479</v>
      </c>
      <c r="D78" s="354">
        <v>20100</v>
      </c>
      <c r="E78" s="354">
        <v>20100</v>
      </c>
      <c r="F78" s="354">
        <v>0</v>
      </c>
    </row>
    <row r="79" spans="1:8" x14ac:dyDescent="0.25">
      <c r="C79" s="222" t="s">
        <v>480</v>
      </c>
      <c r="D79" s="354">
        <v>21196.73684210526</v>
      </c>
      <c r="E79" s="354">
        <v>21196.73684210526</v>
      </c>
      <c r="F79" s="354">
        <v>0</v>
      </c>
    </row>
    <row r="80" spans="1:8" x14ac:dyDescent="0.25">
      <c r="C80" s="222" t="s">
        <v>455</v>
      </c>
      <c r="D80" s="354">
        <v>356.75</v>
      </c>
      <c r="E80" s="354">
        <v>356.75</v>
      </c>
      <c r="F80" s="354">
        <v>0</v>
      </c>
    </row>
    <row r="81" spans="1:8" ht="15.75" thickBot="1" x14ac:dyDescent="0.3">
      <c r="B81" s="356" t="s">
        <v>456</v>
      </c>
      <c r="C81" s="356"/>
      <c r="D81" s="357">
        <v>1201243.2258232937</v>
      </c>
      <c r="E81" s="357">
        <v>721953.25971538981</v>
      </c>
      <c r="F81" s="357">
        <v>479289.96610790398</v>
      </c>
      <c r="G81" s="419" t="s">
        <v>532</v>
      </c>
      <c r="H81" s="419">
        <f>(GETPIVOTDATA("Сумма по полю Y1 Revised 1-4",$A$3,"Component","TB/HIV","Recipient Type","PR")-GETPIVOTDATA("Сумма по полю Y1 Revised 1-4",$A$3,"Cost Input","11.3 Indirect cost recovery (ICR) - % based","Component","TB/HIV","Recipient Type","PR"))/2</f>
        <v>246183.99342105261</v>
      </c>
    </row>
    <row r="82" spans="1:8" ht="17.25" thickTop="1" thickBot="1" x14ac:dyDescent="0.3">
      <c r="A82" s="358" t="s">
        <v>481</v>
      </c>
      <c r="B82" s="358"/>
      <c r="C82" s="358"/>
      <c r="D82" s="359">
        <v>1201243.2258232937</v>
      </c>
      <c r="E82" s="359">
        <v>721953.25971538981</v>
      </c>
      <c r="F82" s="359">
        <v>479289.96610790398</v>
      </c>
      <c r="G82" s="419" t="s">
        <v>532</v>
      </c>
      <c r="H82" s="422">
        <f>H18+H32+H41+H73+H81</f>
        <v>1706275.9803797719</v>
      </c>
    </row>
    <row r="83" spans="1:8" ht="15.75" thickTop="1" x14ac:dyDescent="0.25">
      <c r="A83" s="222" t="s">
        <v>482</v>
      </c>
      <c r="D83" s="354">
        <v>9994746.7616981659</v>
      </c>
      <c r="E83" s="354">
        <v>3509374.8853487778</v>
      </c>
      <c r="F83" s="354">
        <v>6485371.8763493868</v>
      </c>
      <c r="G83" s="222">
        <f>GETPIVOTDATA("Сумма по полю Y1 Revised 1-4",$A$3)-GETPIVOTDATA("Сумма по полю Y1 Revised 1-4",$A$3,"Component","TB/HIV")</f>
        <v>2787421.6256333878</v>
      </c>
    </row>
  </sheetData>
  <mergeCells count="2">
    <mergeCell ref="G5:G7"/>
    <mergeCell ref="G8:G18"/>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6"/>
  <sheetViews>
    <sheetView tabSelected="1" view="pageBreakPreview" zoomScale="70" zoomScaleNormal="70" zoomScaleSheetLayoutView="70" workbookViewId="0">
      <pane xSplit="1" ySplit="2" topLeftCell="K12" activePane="bottomRight" state="frozen"/>
      <selection pane="topRight" activeCell="B1" sqref="B1"/>
      <selection pane="bottomLeft" activeCell="A3" sqref="A3"/>
      <selection pane="bottomRight" activeCell="AN16" sqref="AN16"/>
    </sheetView>
  </sheetViews>
  <sheetFormatPr defaultRowHeight="15" x14ac:dyDescent="0.25"/>
  <cols>
    <col min="1" max="1" width="25.5703125" style="222" customWidth="1"/>
    <col min="2" max="3" width="16.28515625" style="222" hidden="1" customWidth="1"/>
    <col min="4" max="4" width="19" style="222" hidden="1" customWidth="1"/>
    <col min="5" max="5" width="24.7109375" style="222" hidden="1" customWidth="1"/>
    <col min="6" max="6" width="23.5703125" style="222" hidden="1" customWidth="1"/>
    <col min="7" max="7" width="26.5703125" style="222" hidden="1" customWidth="1"/>
    <col min="8" max="8" width="22.7109375" style="222" hidden="1" customWidth="1"/>
    <col min="9" max="9" width="14.85546875" style="222" hidden="1" customWidth="1"/>
    <col min="10" max="25" width="23.42578125" style="222" hidden="1" customWidth="1"/>
    <col min="26" max="27" width="18.42578125" style="222" customWidth="1"/>
    <col min="28" max="28" width="27.28515625" style="222" customWidth="1"/>
    <col min="29" max="30" width="27.28515625" style="222" hidden="1" customWidth="1"/>
    <col min="31" max="31" width="23" style="222" hidden="1" customWidth="1"/>
    <col min="32" max="32" width="23.85546875" style="222" hidden="1" customWidth="1"/>
    <col min="33" max="33" width="18.42578125" style="222" hidden="1" customWidth="1"/>
    <col min="34" max="36" width="23.7109375" style="222" hidden="1" customWidth="1"/>
    <col min="37" max="40" width="23.7109375" style="222" customWidth="1"/>
    <col min="41" max="41" width="17.85546875" style="222" hidden="1" customWidth="1"/>
    <col min="42" max="48" width="16.28515625" style="222" hidden="1" customWidth="1"/>
    <col min="49" max="49" width="24.42578125" style="222" hidden="1" customWidth="1"/>
    <col min="50" max="50" width="17.140625" style="222" hidden="1" customWidth="1"/>
    <col min="51" max="16384" width="9.140625" style="222"/>
  </cols>
  <sheetData>
    <row r="1" spans="1:48" x14ac:dyDescent="0.25">
      <c r="A1" s="65"/>
      <c r="B1" s="218" t="s">
        <v>202</v>
      </c>
      <c r="C1" s="219"/>
      <c r="D1" s="219"/>
      <c r="E1" s="219"/>
      <c r="F1" s="219"/>
      <c r="G1" s="219"/>
      <c r="H1" s="219"/>
      <c r="I1" s="219"/>
      <c r="J1" s="219"/>
      <c r="K1" s="219"/>
      <c r="L1" s="219"/>
      <c r="M1" s="219"/>
      <c r="N1" s="219"/>
      <c r="O1" s="219"/>
      <c r="P1" s="219"/>
      <c r="Q1" s="219"/>
      <c r="R1" s="219"/>
      <c r="S1" s="219"/>
      <c r="T1" s="219"/>
      <c r="U1" s="219"/>
      <c r="V1" s="219"/>
      <c r="W1" s="219"/>
      <c r="X1" s="219"/>
      <c r="Y1" s="219"/>
      <c r="Z1" s="220"/>
      <c r="AA1" s="219"/>
      <c r="AB1" s="219"/>
      <c r="AC1" s="219"/>
      <c r="AD1" s="219"/>
      <c r="AE1" s="219"/>
      <c r="AF1" s="219"/>
      <c r="AG1" s="219"/>
      <c r="AH1" s="219"/>
      <c r="AI1" s="219"/>
      <c r="AJ1" s="219"/>
      <c r="AK1" s="219"/>
      <c r="AL1" s="219"/>
      <c r="AM1" s="219"/>
      <c r="AN1" s="219"/>
      <c r="AO1" s="509" t="s">
        <v>203</v>
      </c>
      <c r="AP1" s="510"/>
      <c r="AQ1" s="511"/>
      <c r="AR1" s="509" t="s">
        <v>210</v>
      </c>
      <c r="AS1" s="510"/>
      <c r="AT1" s="510"/>
      <c r="AU1" s="510"/>
      <c r="AV1" s="511"/>
    </row>
    <row r="2" spans="1:48" ht="93.75" x14ac:dyDescent="0.25">
      <c r="A2" s="65"/>
      <c r="B2" s="117" t="s">
        <v>208</v>
      </c>
      <c r="C2" s="117" t="s">
        <v>278</v>
      </c>
      <c r="D2" s="117" t="s">
        <v>528</v>
      </c>
      <c r="E2" s="512" t="s">
        <v>277</v>
      </c>
      <c r="F2" s="513"/>
      <c r="G2" s="117" t="s">
        <v>209</v>
      </c>
      <c r="H2" s="117" t="s">
        <v>209</v>
      </c>
      <c r="I2" s="117" t="s">
        <v>435</v>
      </c>
      <c r="J2" s="117" t="s">
        <v>416</v>
      </c>
      <c r="K2" s="322" t="s">
        <v>433</v>
      </c>
      <c r="L2" s="322">
        <v>2019</v>
      </c>
      <c r="M2" s="322">
        <v>2020</v>
      </c>
      <c r="N2" s="409" t="s">
        <v>434</v>
      </c>
      <c r="O2" s="343" t="s">
        <v>433</v>
      </c>
      <c r="P2" s="343">
        <v>2019</v>
      </c>
      <c r="Q2" s="343">
        <v>2020</v>
      </c>
      <c r="R2" s="343" t="s">
        <v>434</v>
      </c>
      <c r="S2" s="343"/>
      <c r="T2" s="117" t="s">
        <v>429</v>
      </c>
      <c r="U2" s="117" t="s">
        <v>430</v>
      </c>
      <c r="V2" s="117" t="s">
        <v>431</v>
      </c>
      <c r="W2" s="241" t="s">
        <v>432</v>
      </c>
      <c r="X2" s="117" t="s">
        <v>417</v>
      </c>
      <c r="Y2" s="117" t="s">
        <v>418</v>
      </c>
      <c r="Z2" s="472" t="s">
        <v>529</v>
      </c>
      <c r="AA2" s="473"/>
      <c r="AB2" s="474"/>
      <c r="AC2" s="539" t="s">
        <v>535</v>
      </c>
      <c r="AD2" s="540"/>
      <c r="AE2" s="541"/>
      <c r="AF2" s="420" t="s">
        <v>536</v>
      </c>
      <c r="AG2" s="420" t="s">
        <v>541</v>
      </c>
      <c r="AH2" s="420" t="s">
        <v>534</v>
      </c>
      <c r="AI2" s="420" t="s">
        <v>537</v>
      </c>
      <c r="AJ2" s="420" t="s">
        <v>540</v>
      </c>
      <c r="AK2" s="469" t="s">
        <v>433</v>
      </c>
      <c r="AL2" s="469">
        <v>2019</v>
      </c>
      <c r="AM2" s="469">
        <v>2020</v>
      </c>
      <c r="AN2" s="469" t="s">
        <v>546</v>
      </c>
      <c r="AO2" s="65" t="s">
        <v>208</v>
      </c>
      <c r="AP2" s="65" t="s">
        <v>209</v>
      </c>
      <c r="AQ2" s="65" t="s">
        <v>77</v>
      </c>
      <c r="AR2" s="65" t="s">
        <v>208</v>
      </c>
      <c r="AS2" s="65" t="s">
        <v>232</v>
      </c>
      <c r="AT2" s="65" t="s">
        <v>77</v>
      </c>
      <c r="AU2" s="65" t="s">
        <v>209</v>
      </c>
      <c r="AV2" s="65" t="s">
        <v>77</v>
      </c>
    </row>
    <row r="3" spans="1:48" ht="21" x14ac:dyDescent="0.25">
      <c r="A3" s="117" t="s">
        <v>245</v>
      </c>
      <c r="B3" s="124">
        <v>2398447.98</v>
      </c>
      <c r="C3" s="232">
        <v>167891.36</v>
      </c>
      <c r="D3" s="124">
        <f t="shared" ref="D3:D12" si="0">B3+C3</f>
        <v>2566339.34</v>
      </c>
      <c r="E3" s="232"/>
      <c r="F3" s="232" t="s">
        <v>281</v>
      </c>
      <c r="G3" s="124">
        <f>'на новую заявку'!I91</f>
        <v>3284053.8191475659</v>
      </c>
      <c r="H3" s="124">
        <f>3713517.55</f>
        <v>3713517.55</v>
      </c>
      <c r="I3" s="124">
        <f>H3-J3</f>
        <v>363861.48</v>
      </c>
      <c r="J3" s="124">
        <v>3349656.07</v>
      </c>
      <c r="K3" s="323"/>
      <c r="L3" s="323"/>
      <c r="M3" s="323"/>
      <c r="N3" s="328">
        <v>3349656.0672000004</v>
      </c>
      <c r="O3" s="340"/>
      <c r="P3" s="340"/>
      <c r="Q3" s="340"/>
      <c r="R3" s="340">
        <v>2657918.52</v>
      </c>
      <c r="S3" s="340"/>
      <c r="T3" s="124"/>
      <c r="U3" s="124"/>
      <c r="V3" s="124"/>
      <c r="W3" s="308">
        <f>J3</f>
        <v>3349656.07</v>
      </c>
      <c r="X3" s="124"/>
      <c r="Y3" s="124"/>
      <c r="Z3" s="67"/>
      <c r="AA3" s="67"/>
      <c r="AB3" s="316">
        <f>PIVOT!H18</f>
        <v>381172.6</v>
      </c>
      <c r="AC3" s="316"/>
      <c r="AD3" s="316"/>
      <c r="AE3" s="316">
        <f>R3</f>
        <v>2657918.52</v>
      </c>
      <c r="AF3" s="316">
        <f>AB3+AE3</f>
        <v>3039091.12</v>
      </c>
      <c r="AG3" s="316"/>
      <c r="AH3" s="229">
        <f>B3-AB3</f>
        <v>2017275.38</v>
      </c>
      <c r="AI3" s="281">
        <f>AH3</f>
        <v>2017275.38</v>
      </c>
      <c r="AJ3" s="284">
        <f>AE3+AI3</f>
        <v>4675193.9000000004</v>
      </c>
      <c r="AK3" s="470"/>
      <c r="AL3" s="470"/>
      <c r="AM3" s="470"/>
      <c r="AN3" s="491">
        <v>4501212.2771653337</v>
      </c>
      <c r="AO3" s="67">
        <v>3873409.79</v>
      </c>
      <c r="AP3" s="67"/>
      <c r="AQ3" s="67"/>
      <c r="AR3" s="67">
        <f>B3+AO3</f>
        <v>6271857.7699999996</v>
      </c>
      <c r="AS3" s="67"/>
      <c r="AT3" s="67"/>
      <c r="AU3" s="67"/>
      <c r="AV3" s="67"/>
    </row>
    <row r="4" spans="1:48" ht="21" x14ac:dyDescent="0.25">
      <c r="A4" s="117" t="s">
        <v>204</v>
      </c>
      <c r="B4" s="124">
        <v>1244532.8899999999</v>
      </c>
      <c r="C4" s="232">
        <v>87117.3</v>
      </c>
      <c r="D4" s="124">
        <f t="shared" si="0"/>
        <v>1331650.19</v>
      </c>
      <c r="E4" s="232"/>
      <c r="F4" s="124"/>
      <c r="G4" s="233">
        <v>1518428.5708024343</v>
      </c>
      <c r="H4" s="124"/>
      <c r="I4" s="124"/>
      <c r="J4" s="124">
        <f>J5+J6+J14+J12+J15+J16</f>
        <v>2555662.2887780727</v>
      </c>
      <c r="K4" s="323"/>
      <c r="L4" s="323"/>
      <c r="M4" s="323"/>
      <c r="N4" s="328">
        <v>2193522.1226934381</v>
      </c>
      <c r="O4" s="340"/>
      <c r="P4" s="340"/>
      <c r="Q4" s="340"/>
      <c r="R4" s="340">
        <f>R5+R6+R12+R14+R15+R16</f>
        <v>2839904.3915974805</v>
      </c>
      <c r="S4" s="340">
        <v>1500985.5</v>
      </c>
      <c r="T4" s="124"/>
      <c r="U4" s="124"/>
      <c r="V4" s="124"/>
      <c r="W4" s="308">
        <f>J4-U13</f>
        <v>2168231.6949999998</v>
      </c>
      <c r="X4" s="124">
        <f>X5+X6+X14+X12+X15</f>
        <v>1017800.915511229</v>
      </c>
      <c r="Y4" s="124">
        <f>Y5+Y6+Y12+Y14</f>
        <v>990000</v>
      </c>
      <c r="Z4" s="67"/>
      <c r="AA4" s="67"/>
      <c r="AB4" s="316">
        <f>PIVOT!H32-300</f>
        <v>973019.35042870964</v>
      </c>
      <c r="AC4" s="316"/>
      <c r="AD4" s="316"/>
      <c r="AE4" s="316">
        <f>R4</f>
        <v>2839904.3915974805</v>
      </c>
      <c r="AF4" s="316">
        <f>AB4+AE4</f>
        <v>3812923.7420261903</v>
      </c>
      <c r="AG4" s="316"/>
      <c r="AH4" s="426">
        <f>B4-AB4</f>
        <v>271513.53957129025</v>
      </c>
      <c r="AI4" s="437">
        <f>SUM(AI5:AI16)</f>
        <v>326507.68828474067</v>
      </c>
      <c r="AJ4" s="426">
        <f>AE4+AI4</f>
        <v>3166412.0798822213</v>
      </c>
      <c r="AK4" s="470">
        <v>823419.04139490088</v>
      </c>
      <c r="AL4" s="470">
        <v>1441838.5967569812</v>
      </c>
      <c r="AM4" s="470">
        <v>1088897.824215315</v>
      </c>
      <c r="AN4" s="491">
        <v>3354155.4623671989</v>
      </c>
      <c r="AO4" s="67">
        <v>1190991.55</v>
      </c>
      <c r="AP4" s="67"/>
      <c r="AQ4" s="67"/>
      <c r="AR4" s="67">
        <f>B4+AO4</f>
        <v>2435524.44</v>
      </c>
      <c r="AS4" s="67"/>
      <c r="AT4" s="67"/>
      <c r="AU4" s="67"/>
      <c r="AV4" s="67"/>
    </row>
    <row r="5" spans="1:48" ht="64.5" customHeight="1" thickBot="1" x14ac:dyDescent="0.3">
      <c r="A5" s="117" t="s">
        <v>212</v>
      </c>
      <c r="B5" s="232">
        <v>296614.19</v>
      </c>
      <c r="C5" s="232">
        <f t="shared" ref="C5:C12" si="1">B5*7%</f>
        <v>20762.993300000002</v>
      </c>
      <c r="D5" s="232">
        <f t="shared" si="0"/>
        <v>317377.18330000003</v>
      </c>
      <c r="E5" s="232">
        <v>20000</v>
      </c>
      <c r="F5" s="232" t="s">
        <v>276</v>
      </c>
      <c r="G5" s="232"/>
      <c r="H5" s="232"/>
      <c r="I5" s="234"/>
      <c r="J5" s="288">
        <v>804978.42032238469</v>
      </c>
      <c r="K5" s="324">
        <v>158206.40870437954</v>
      </c>
      <c r="L5" s="324">
        <v>327763.1739051094</v>
      </c>
      <c r="M5" s="324">
        <v>163089.10375818828</v>
      </c>
      <c r="N5" s="337">
        <f>K5+L5+M5</f>
        <v>649058.68636767729</v>
      </c>
      <c r="O5" s="344"/>
      <c r="P5" s="344"/>
      <c r="Q5" s="344"/>
      <c r="R5" s="344">
        <v>679341.7424990643</v>
      </c>
      <c r="S5" s="344"/>
      <c r="T5" s="234">
        <f>J5/J13*100</f>
        <v>39.674387776989569</v>
      </c>
      <c r="U5" s="289">
        <f>T21/100*T5</f>
        <v>153710.71614220584</v>
      </c>
      <c r="V5" s="299">
        <f>J5-U5</f>
        <v>651267.70418017881</v>
      </c>
      <c r="W5" s="309">
        <v>651267.70418017881</v>
      </c>
      <c r="X5" s="234">
        <f>J5/2.5</f>
        <v>321991.36812895385</v>
      </c>
      <c r="Y5" s="234">
        <v>320000</v>
      </c>
      <c r="Z5" s="67" t="s">
        <v>542</v>
      </c>
      <c r="AA5" s="67" t="s">
        <v>436</v>
      </c>
      <c r="AB5" s="428">
        <f>'SRs 6 мес final'!G27</f>
        <v>261735.4483187134</v>
      </c>
      <c r="AC5" s="428"/>
      <c r="AD5" s="428"/>
      <c r="AE5" s="428">
        <f>R5</f>
        <v>679341.7424990643</v>
      </c>
      <c r="AF5" s="428">
        <f>AB5+AE5</f>
        <v>941077.19081777777</v>
      </c>
      <c r="AG5" s="449"/>
      <c r="AH5" s="438">
        <f>B5-AB5</f>
        <v>34878.741681286599</v>
      </c>
      <c r="AI5" s="439">
        <v>34878.741681286599</v>
      </c>
      <c r="AJ5" s="467">
        <f>AE5+AI5</f>
        <v>714220.4841803509</v>
      </c>
      <c r="AK5" s="480">
        <v>164883.71790589084</v>
      </c>
      <c r="AL5" s="480">
        <v>346614.98019636027</v>
      </c>
      <c r="AM5" s="480">
        <v>191667.35397509582</v>
      </c>
      <c r="AN5" s="485">
        <v>703166.05207734683</v>
      </c>
      <c r="AO5" s="67"/>
      <c r="AP5" s="67"/>
      <c r="AQ5" s="67"/>
      <c r="AR5" s="67"/>
      <c r="AS5" s="67"/>
      <c r="AT5" s="67"/>
      <c r="AU5" s="67"/>
      <c r="AV5" s="67"/>
    </row>
    <row r="6" spans="1:48" ht="21" x14ac:dyDescent="0.25">
      <c r="A6" s="335" t="s">
        <v>0</v>
      </c>
      <c r="B6" s="297">
        <v>268227.93</v>
      </c>
      <c r="C6" s="297">
        <f t="shared" si="1"/>
        <v>18775.955100000003</v>
      </c>
      <c r="D6" s="297">
        <f t="shared" si="0"/>
        <v>287003.88510000001</v>
      </c>
      <c r="E6" s="297">
        <v>77846.764963203896</v>
      </c>
      <c r="F6" s="297"/>
      <c r="G6" s="297"/>
      <c r="H6" s="297"/>
      <c r="I6" s="336"/>
      <c r="J6" s="294">
        <v>844168.5</v>
      </c>
      <c r="K6" s="294">
        <v>197536.5</v>
      </c>
      <c r="L6" s="294">
        <v>378189</v>
      </c>
      <c r="M6" s="294">
        <v>134749.125</v>
      </c>
      <c r="N6" s="338">
        <f>K6+L6+M6</f>
        <v>710474.625</v>
      </c>
      <c r="O6" s="463">
        <v>399561.75</v>
      </c>
      <c r="P6" s="463">
        <v>723439.5</v>
      </c>
      <c r="Q6" s="463">
        <v>377984.25</v>
      </c>
      <c r="R6" s="456">
        <v>1500985.5</v>
      </c>
      <c r="S6" s="345">
        <f>R6-S4</f>
        <v>0</v>
      </c>
      <c r="T6" s="235">
        <f>J6/J13*100</f>
        <v>41.605920820469329</v>
      </c>
      <c r="U6" s="290">
        <f>T21/100*T6</f>
        <v>161194.06608157916</v>
      </c>
      <c r="V6" s="300">
        <f>J6-U6</f>
        <v>682974.43391842081</v>
      </c>
      <c r="W6" s="310">
        <v>682974.43391842081</v>
      </c>
      <c r="X6" s="287">
        <f>J6/2.5</f>
        <v>337667.4</v>
      </c>
      <c r="Y6" s="235">
        <v>330000</v>
      </c>
      <c r="Z6" s="225">
        <f>'SRs 6 мес final'!G24+'SRs 6 мес final'!G34</f>
        <v>180313.75657894736</v>
      </c>
      <c r="AA6" s="224">
        <f>Z6/AB6*100</f>
        <v>33.947143806000909</v>
      </c>
      <c r="AB6" s="429">
        <f>'SRs 6 мес final'!G44</f>
        <v>531160.31678362563</v>
      </c>
      <c r="AC6" s="428">
        <v>374262</v>
      </c>
      <c r="AD6" s="428">
        <f>AC6/AC10*100</f>
        <v>38.425424340917296</v>
      </c>
      <c r="AE6" s="495">
        <f>R6</f>
        <v>1500985.5</v>
      </c>
      <c r="AF6" s="428">
        <f>AB6+AE6</f>
        <v>2032145.8167836256</v>
      </c>
      <c r="AG6" s="428">
        <f>E6+'ВИЧ с дефицитом'!G34-3000</f>
        <v>84846.764963203896</v>
      </c>
      <c r="AH6" s="438">
        <f>(B6+B7+B8+B9)-AB6</f>
        <v>141398.55321637436</v>
      </c>
      <c r="AI6" s="442">
        <v>141398.55321637436</v>
      </c>
      <c r="AJ6" s="467">
        <f>AE6+AI6</f>
        <v>1642384.0532163745</v>
      </c>
      <c r="AK6" s="482">
        <v>452282.25</v>
      </c>
      <c r="AL6" s="482">
        <v>786586.5</v>
      </c>
      <c r="AM6" s="482">
        <v>670719</v>
      </c>
      <c r="AN6" s="487">
        <v>1909587.75</v>
      </c>
      <c r="AO6" s="225"/>
      <c r="AP6" s="67"/>
      <c r="AQ6" s="67"/>
      <c r="AR6" s="67"/>
      <c r="AS6" s="67"/>
      <c r="AT6" s="67"/>
      <c r="AU6" s="67"/>
      <c r="AV6" s="67"/>
    </row>
    <row r="7" spans="1:48" ht="21" x14ac:dyDescent="0.25">
      <c r="A7" s="335" t="s">
        <v>9</v>
      </c>
      <c r="B7" s="297">
        <v>142856.06</v>
      </c>
      <c r="C7" s="297">
        <f t="shared" si="1"/>
        <v>9999.9242000000013</v>
      </c>
      <c r="D7" s="297">
        <f t="shared" si="0"/>
        <v>152855.98420000001</v>
      </c>
      <c r="E7" s="297">
        <v>14294.474546783673</v>
      </c>
      <c r="F7" s="297"/>
      <c r="G7" s="297"/>
      <c r="H7" s="297"/>
      <c r="I7" s="336"/>
      <c r="J7" s="295"/>
      <c r="K7" s="295"/>
      <c r="L7" s="295"/>
      <c r="M7" s="295"/>
      <c r="N7" s="339"/>
      <c r="O7" s="464">
        <f>O6+AI6/3</f>
        <v>446694.60107212479</v>
      </c>
      <c r="P7" s="464">
        <f>P6+AI6/3</f>
        <v>770572.35107212479</v>
      </c>
      <c r="Q7" s="464">
        <f>Q6+AI6/3</f>
        <v>425117.10107212479</v>
      </c>
      <c r="R7" s="456"/>
      <c r="S7" s="346"/>
      <c r="T7" s="236"/>
      <c r="U7" s="291"/>
      <c r="V7" s="301"/>
      <c r="W7" s="311"/>
      <c r="X7" s="285"/>
      <c r="Y7" s="236"/>
      <c r="Z7" s="225">
        <f>'SRs 6 мес final'!G46</f>
        <v>128738.34926900582</v>
      </c>
      <c r="AA7" s="224">
        <f>Z7/AB6*100</f>
        <v>24.237192651846559</v>
      </c>
      <c r="AB7" s="430"/>
      <c r="AC7" s="428">
        <v>176930.25</v>
      </c>
      <c r="AD7" s="428">
        <f>AC7/AC10*100</f>
        <v>18.165402672444923</v>
      </c>
      <c r="AE7" s="431"/>
      <c r="AF7" s="431"/>
      <c r="AG7" s="452">
        <f>E7+'ВИЧ с дефицитом'!G31+'ВИЧ с дефицитом'!G32</f>
        <v>15454.474546783673</v>
      </c>
      <c r="AH7" s="440"/>
      <c r="AI7" s="439"/>
      <c r="AJ7" s="467"/>
      <c r="AK7" s="483"/>
      <c r="AL7" s="483"/>
      <c r="AM7" s="483"/>
      <c r="AN7" s="488"/>
      <c r="AO7" s="225"/>
      <c r="AP7" s="67"/>
      <c r="AQ7" s="67"/>
      <c r="AR7" s="67"/>
      <c r="AS7" s="67"/>
      <c r="AT7" s="67"/>
      <c r="AU7" s="67"/>
      <c r="AV7" s="67"/>
    </row>
    <row r="8" spans="1:48" ht="21" x14ac:dyDescent="0.25">
      <c r="A8" s="335" t="s">
        <v>13</v>
      </c>
      <c r="B8" s="297">
        <v>130017.64</v>
      </c>
      <c r="C8" s="297">
        <f t="shared" si="1"/>
        <v>9101.2348000000002</v>
      </c>
      <c r="D8" s="297">
        <f t="shared" si="0"/>
        <v>139118.87479999999</v>
      </c>
      <c r="E8" s="297">
        <v>8426.6636842105618</v>
      </c>
      <c r="F8" s="297"/>
      <c r="G8" s="297"/>
      <c r="H8" s="297"/>
      <c r="I8" s="336"/>
      <c r="J8" s="295"/>
      <c r="K8" s="295"/>
      <c r="L8" s="295"/>
      <c r="M8" s="295"/>
      <c r="N8" s="339"/>
      <c r="O8" s="465">
        <f>O7-O6</f>
        <v>47132.851072124788</v>
      </c>
      <c r="P8" s="465">
        <f>P7-P6</f>
        <v>47132.851072124788</v>
      </c>
      <c r="Q8" s="465">
        <f>Q7-Q6</f>
        <v>47132.851072124788</v>
      </c>
      <c r="R8" s="456"/>
      <c r="S8" s="346"/>
      <c r="T8" s="236"/>
      <c r="U8" s="291"/>
      <c r="V8" s="301"/>
      <c r="W8" s="311"/>
      <c r="X8" s="285"/>
      <c r="Y8" s="236"/>
      <c r="Z8" s="225">
        <f>'SRs 6 мес final'!G4+'SRs 6 мес final'!G5+'SRs 6 мес final'!G10+'SRs 6 мес final'!G30</f>
        <v>118539.08976608186</v>
      </c>
      <c r="AA8" s="224">
        <f>Z8/AB6*100</f>
        <v>22.317007882644617</v>
      </c>
      <c r="AB8" s="430"/>
      <c r="AC8" s="428">
        <v>279289.5</v>
      </c>
      <c r="AD8" s="428">
        <f>AC8/AC10*100</f>
        <v>28.674611773203324</v>
      </c>
      <c r="AE8" s="431"/>
      <c r="AF8" s="431"/>
      <c r="AG8" s="452">
        <f>E8+'ВИЧ с дефицитом'!G30</f>
        <v>11426.663684210562</v>
      </c>
      <c r="AH8" s="440"/>
      <c r="AI8" s="439"/>
      <c r="AJ8" s="467"/>
      <c r="AK8" s="483"/>
      <c r="AL8" s="483"/>
      <c r="AM8" s="483"/>
      <c r="AN8" s="488"/>
      <c r="AO8" s="225"/>
      <c r="AP8" s="67"/>
      <c r="AQ8" s="67"/>
      <c r="AR8" s="67"/>
      <c r="AS8" s="67"/>
      <c r="AT8" s="67"/>
      <c r="AU8" s="67"/>
      <c r="AV8" s="67"/>
    </row>
    <row r="9" spans="1:48" ht="21.75" thickBot="1" x14ac:dyDescent="0.3">
      <c r="A9" s="335" t="s">
        <v>213</v>
      </c>
      <c r="B9" s="297">
        <v>131457.24</v>
      </c>
      <c r="C9" s="297">
        <f t="shared" si="1"/>
        <v>9202.006800000001</v>
      </c>
      <c r="D9" s="297">
        <f t="shared" si="0"/>
        <v>140659.24679999999</v>
      </c>
      <c r="E9" s="297">
        <v>25749.804912280699</v>
      </c>
      <c r="F9" s="297"/>
      <c r="G9" s="297"/>
      <c r="H9" s="297"/>
      <c r="I9" s="336"/>
      <c r="J9" s="296"/>
      <c r="K9" s="295"/>
      <c r="L9" s="295"/>
      <c r="M9" s="295"/>
      <c r="N9" s="339"/>
      <c r="O9" s="466">
        <v>469869.75</v>
      </c>
      <c r="P9" s="466">
        <v>803470.5</v>
      </c>
      <c r="Q9" s="466">
        <v>379152.375</v>
      </c>
      <c r="R9" s="456"/>
      <c r="S9" s="456"/>
      <c r="T9" s="237"/>
      <c r="U9" s="292"/>
      <c r="V9" s="302"/>
      <c r="W9" s="312"/>
      <c r="X9" s="286"/>
      <c r="Y9" s="237"/>
      <c r="Z9" s="225">
        <f>'SRs 6 мес final'!G15+'SRs 6 мес final'!G36</f>
        <v>103569.12116959065</v>
      </c>
      <c r="AA9" s="224">
        <f>Z9/AB6*100</f>
        <v>19.498655659507929</v>
      </c>
      <c r="AB9" s="432"/>
      <c r="AC9" s="428">
        <v>143514</v>
      </c>
      <c r="AD9" s="428">
        <f>AC9/AC10*100</f>
        <v>14.734561213434452</v>
      </c>
      <c r="AE9" s="433"/>
      <c r="AF9" s="433"/>
      <c r="AG9" s="452">
        <f>E9+'ВИЧ с дефицитом'!G37</f>
        <v>29507.334912280698</v>
      </c>
      <c r="AH9" s="441"/>
      <c r="AI9" s="439"/>
      <c r="AJ9" s="467"/>
      <c r="AK9" s="483"/>
      <c r="AL9" s="483"/>
      <c r="AM9" s="483"/>
      <c r="AN9" s="488"/>
      <c r="AO9" s="225"/>
      <c r="AP9" s="67"/>
      <c r="AQ9" s="67"/>
      <c r="AR9" s="67"/>
      <c r="AS9" s="67"/>
      <c r="AT9" s="67"/>
      <c r="AU9" s="67"/>
      <c r="AV9" s="67"/>
    </row>
    <row r="10" spans="1:48" ht="21" x14ac:dyDescent="0.25">
      <c r="A10" s="335"/>
      <c r="B10" s="297"/>
      <c r="C10" s="297"/>
      <c r="D10" s="297"/>
      <c r="E10" s="297"/>
      <c r="F10" s="297"/>
      <c r="G10" s="297"/>
      <c r="H10" s="297"/>
      <c r="I10" s="336"/>
      <c r="J10" s="336"/>
      <c r="K10" s="336"/>
      <c r="L10" s="336"/>
      <c r="M10" s="336"/>
      <c r="N10" s="455"/>
      <c r="O10" s="456"/>
      <c r="P10" s="456"/>
      <c r="Q10" s="456"/>
      <c r="R10" s="456"/>
      <c r="S10" s="456"/>
      <c r="T10" s="283"/>
      <c r="U10" s="457"/>
      <c r="V10" s="458"/>
      <c r="W10" s="459"/>
      <c r="X10" s="283"/>
      <c r="Y10" s="283"/>
      <c r="Z10" s="225"/>
      <c r="AA10" s="67"/>
      <c r="AB10" s="432"/>
      <c r="AC10" s="453">
        <f>SUM(AC6:AC9)</f>
        <v>973995.75</v>
      </c>
      <c r="AD10" s="432"/>
      <c r="AE10" s="433"/>
      <c r="AF10" s="433"/>
      <c r="AG10" s="433"/>
      <c r="AH10" s="441"/>
      <c r="AI10" s="439"/>
      <c r="AJ10" s="467"/>
      <c r="AK10" s="483"/>
      <c r="AL10" s="483"/>
      <c r="AM10" s="483"/>
      <c r="AN10" s="488"/>
      <c r="AO10" s="225"/>
      <c r="AP10" s="67"/>
      <c r="AQ10" s="67"/>
      <c r="AR10" s="67"/>
      <c r="AS10" s="67"/>
      <c r="AT10" s="67"/>
      <c r="AU10" s="67"/>
      <c r="AV10" s="67"/>
    </row>
    <row r="11" spans="1:48" ht="21.75" thickBot="1" x14ac:dyDescent="0.3">
      <c r="A11" s="335" t="s">
        <v>543</v>
      </c>
      <c r="B11" s="297"/>
      <c r="C11" s="297"/>
      <c r="D11" s="297"/>
      <c r="E11" s="297"/>
      <c r="F11" s="297"/>
      <c r="G11" s="297"/>
      <c r="H11" s="297"/>
      <c r="I11" s="336"/>
      <c r="J11" s="336"/>
      <c r="K11" s="336"/>
      <c r="L11" s="336"/>
      <c r="M11" s="336"/>
      <c r="N11" s="455"/>
      <c r="O11" s="456"/>
      <c r="P11" s="456"/>
      <c r="Q11" s="456"/>
      <c r="R11" s="456"/>
      <c r="S11" s="456"/>
      <c r="T11" s="283"/>
      <c r="U11" s="457"/>
      <c r="V11" s="458"/>
      <c r="W11" s="459"/>
      <c r="X11" s="283"/>
      <c r="Y11" s="283"/>
      <c r="Z11" s="225"/>
      <c r="AA11" s="67"/>
      <c r="AB11" s="432"/>
      <c r="AC11" s="453">
        <v>526989.75</v>
      </c>
      <c r="AD11" s="432"/>
      <c r="AE11" s="433"/>
      <c r="AF11" s="433"/>
      <c r="AG11" s="433"/>
      <c r="AH11" s="441"/>
      <c r="AI11" s="439"/>
      <c r="AJ11" s="467"/>
      <c r="AK11" s="484"/>
      <c r="AL11" s="484"/>
      <c r="AM11" s="484"/>
      <c r="AN11" s="489"/>
      <c r="AO11" s="225"/>
      <c r="AP11" s="67"/>
      <c r="AQ11" s="67"/>
      <c r="AR11" s="67"/>
      <c r="AS11" s="67"/>
      <c r="AT11" s="67"/>
      <c r="AU11" s="67"/>
      <c r="AV11" s="67"/>
    </row>
    <row r="12" spans="1:48" ht="56.25" x14ac:dyDescent="0.25">
      <c r="A12" s="117" t="s">
        <v>214</v>
      </c>
      <c r="B12" s="232">
        <v>157161.29999999999</v>
      </c>
      <c r="C12" s="232">
        <f t="shared" si="1"/>
        <v>11001.291000000001</v>
      </c>
      <c r="D12" s="232">
        <f t="shared" si="0"/>
        <v>168162.59099999999</v>
      </c>
      <c r="E12" s="232" t="s">
        <v>406</v>
      </c>
      <c r="F12" s="232" t="s">
        <v>275</v>
      </c>
      <c r="G12" s="232"/>
      <c r="H12" s="232"/>
      <c r="I12" s="232"/>
      <c r="J12" s="297">
        <v>379815.50462335767</v>
      </c>
      <c r="K12" s="334">
        <v>88582.143077372268</v>
      </c>
      <c r="L12" s="334">
        <v>146259.12790510943</v>
      </c>
      <c r="M12" s="334">
        <v>72447.676510948892</v>
      </c>
      <c r="N12" s="332">
        <f>K12+L12+M12</f>
        <v>307288.94749343058</v>
      </c>
      <c r="O12" s="347"/>
      <c r="P12" s="347"/>
      <c r="Q12" s="347"/>
      <c r="R12" s="347">
        <v>307720.29055912403</v>
      </c>
      <c r="S12" s="347"/>
      <c r="T12" s="238">
        <f>J12/J13*100</f>
        <v>18.719691402541105</v>
      </c>
      <c r="U12" s="293">
        <f>T21/100*T12</f>
        <v>72525.811554287866</v>
      </c>
      <c r="V12" s="303">
        <f>J12-U12</f>
        <v>307289.69306906982</v>
      </c>
      <c r="W12" s="309">
        <v>307289.69306906982</v>
      </c>
      <c r="X12" s="234">
        <f>J12/2.5</f>
        <v>151926.20184934308</v>
      </c>
      <c r="Y12" s="238">
        <v>160000</v>
      </c>
      <c r="Z12" s="67"/>
      <c r="AA12" s="67"/>
      <c r="AB12" s="428">
        <f>'SRs 6 мес final'!G26</f>
        <v>118266.70985853433</v>
      </c>
      <c r="AC12" s="453"/>
      <c r="AD12" s="453"/>
      <c r="AE12" s="433">
        <f>R12</f>
        <v>307720.29055912403</v>
      </c>
      <c r="AF12" s="433">
        <f>AB12+AE12</f>
        <v>425987.00041765836</v>
      </c>
      <c r="AG12" s="433"/>
      <c r="AH12" s="441">
        <f>B12-AB12</f>
        <v>38894.590141465655</v>
      </c>
      <c r="AI12" s="439">
        <v>38894.590141465655</v>
      </c>
      <c r="AJ12" s="467">
        <f>AE12+AI12</f>
        <v>346614.88070058968</v>
      </c>
      <c r="AK12" s="481">
        <v>87770.521563218397</v>
      </c>
      <c r="AL12" s="481">
        <v>159531.60093247131</v>
      </c>
      <c r="AM12" s="481">
        <v>93409.954612068963</v>
      </c>
      <c r="AN12" s="486">
        <v>340712.07710775873</v>
      </c>
      <c r="AO12" s="67"/>
      <c r="AP12" s="67"/>
      <c r="AQ12" s="67"/>
      <c r="AR12" s="67"/>
      <c r="AS12" s="67"/>
      <c r="AT12" s="67"/>
      <c r="AU12" s="67"/>
      <c r="AV12" s="67"/>
    </row>
    <row r="13" spans="1:48" ht="21.75" thickBot="1" x14ac:dyDescent="0.3">
      <c r="A13" s="117"/>
      <c r="B13" s="232"/>
      <c r="C13" s="232"/>
      <c r="D13" s="232"/>
      <c r="E13" s="232"/>
      <c r="F13" s="232"/>
      <c r="G13" s="232"/>
      <c r="H13" s="232"/>
      <c r="I13" s="239"/>
      <c r="J13" s="298">
        <f>SUM(J5:J12)</f>
        <v>2028962.4249457424</v>
      </c>
      <c r="K13" s="325"/>
      <c r="L13" s="325"/>
      <c r="M13" s="325"/>
      <c r="N13" s="330"/>
      <c r="O13" s="348"/>
      <c r="P13" s="348"/>
      <c r="Q13" s="348"/>
      <c r="R13" s="349"/>
      <c r="S13" s="349"/>
      <c r="T13" s="306">
        <f>SUM(T5:T12)</f>
        <v>100</v>
      </c>
      <c r="U13" s="307">
        <f>SUM(U5:U12)</f>
        <v>387430.59377807286</v>
      </c>
      <c r="V13" s="305">
        <f>SUM(V5:V12)</f>
        <v>1641531.8311676695</v>
      </c>
      <c r="W13" s="309"/>
      <c r="X13" s="304"/>
      <c r="Y13" s="283"/>
      <c r="Z13" s="225"/>
      <c r="AA13" s="225"/>
      <c r="AB13" s="428"/>
      <c r="AC13" s="454"/>
      <c r="AD13" s="454"/>
      <c r="AE13" s="434"/>
      <c r="AF13" s="433"/>
      <c r="AG13" s="433"/>
      <c r="AH13" s="427"/>
      <c r="AI13" s="435"/>
      <c r="AJ13" s="467"/>
      <c r="AK13" s="470"/>
      <c r="AL13" s="470"/>
      <c r="AM13" s="470"/>
      <c r="AN13" s="471"/>
      <c r="AO13" s="67"/>
      <c r="AP13" s="67"/>
      <c r="AQ13" s="67"/>
      <c r="AR13" s="67"/>
      <c r="AS13" s="67"/>
      <c r="AT13" s="67"/>
      <c r="AU13" s="67"/>
      <c r="AV13" s="67"/>
    </row>
    <row r="14" spans="1:48" ht="21" x14ac:dyDescent="0.25">
      <c r="A14" s="494" t="s">
        <v>215</v>
      </c>
      <c r="B14" s="232">
        <v>22071.06</v>
      </c>
      <c r="C14" s="232">
        <f>B14*7%</f>
        <v>1544.9742000000003</v>
      </c>
      <c r="D14" s="232">
        <f>B14+C14</f>
        <v>23616.034200000002</v>
      </c>
      <c r="E14" s="232"/>
      <c r="F14" s="232"/>
      <c r="G14" s="232"/>
      <c r="H14" s="232"/>
      <c r="I14" s="239"/>
      <c r="J14" s="239">
        <v>166546.01058607586</v>
      </c>
      <c r="K14" s="325"/>
      <c r="L14" s="325"/>
      <c r="M14" s="325"/>
      <c r="N14" s="330">
        <v>166546.01058607586</v>
      </c>
      <c r="O14" s="348"/>
      <c r="P14" s="348"/>
      <c r="Q14" s="348"/>
      <c r="R14" s="348">
        <v>86993.005293037932</v>
      </c>
      <c r="S14" s="348">
        <f>N14-R14</f>
        <v>79553.005293037932</v>
      </c>
      <c r="T14" s="239"/>
      <c r="U14" s="239"/>
      <c r="V14" s="239"/>
      <c r="W14" s="313">
        <v>166546.01058607586</v>
      </c>
      <c r="X14" s="232">
        <f>J14/2.5</f>
        <v>66618.404234430345</v>
      </c>
      <c r="Y14" s="235">
        <v>180000</v>
      </c>
      <c r="Z14" s="225"/>
      <c r="AA14" s="225"/>
      <c r="AB14" s="496">
        <f>'SRs 6 мес final'!G38</f>
        <v>21121.409999999996</v>
      </c>
      <c r="AC14" s="454"/>
      <c r="AD14" s="454"/>
      <c r="AE14" s="434">
        <f>R14</f>
        <v>86993.005293037932</v>
      </c>
      <c r="AF14" s="433">
        <f t="shared" ref="AF14:AF19" si="2">AB14+AE14</f>
        <v>108114.41529303792</v>
      </c>
      <c r="AG14" s="433"/>
      <c r="AH14" s="231">
        <f>B14-AB14</f>
        <v>949.65000000000509</v>
      </c>
      <c r="AI14" s="423">
        <v>50000</v>
      </c>
      <c r="AJ14" s="462">
        <f>AE14+AH14+(AJ15-AN15)</f>
        <v>104792.04002749542</v>
      </c>
      <c r="AK14" s="470">
        <v>40369.58822343214</v>
      </c>
      <c r="AL14" s="470">
        <v>31627.58822343214</v>
      </c>
      <c r="AM14" s="470">
        <v>31627.58822343214</v>
      </c>
      <c r="AN14" s="496">
        <v>103624.76467029641</v>
      </c>
      <c r="AO14" s="225"/>
      <c r="AP14" s="67"/>
      <c r="AQ14" s="67"/>
      <c r="AR14" s="67"/>
      <c r="AS14" s="67"/>
      <c r="AT14" s="67"/>
      <c r="AU14" s="67"/>
      <c r="AV14" s="67"/>
    </row>
    <row r="15" spans="1:48" ht="21.75" thickBot="1" x14ac:dyDescent="0.3">
      <c r="A15" s="494" t="s">
        <v>216</v>
      </c>
      <c r="B15" s="232">
        <v>60292.15</v>
      </c>
      <c r="C15" s="232">
        <f>B15*7%</f>
        <v>4220.4505000000008</v>
      </c>
      <c r="D15" s="232">
        <f>B15+C15</f>
        <v>64512.6005</v>
      </c>
      <c r="E15" s="232"/>
      <c r="F15" s="232"/>
      <c r="G15" s="232"/>
      <c r="H15" s="232"/>
      <c r="I15" s="232"/>
      <c r="J15" s="232">
        <v>348993.85324625438</v>
      </c>
      <c r="K15" s="324"/>
      <c r="L15" s="324"/>
      <c r="M15" s="324"/>
      <c r="N15" s="329">
        <v>348993.85324625438</v>
      </c>
      <c r="O15" s="350"/>
      <c r="P15" s="350"/>
      <c r="Q15" s="350"/>
      <c r="R15" s="350">
        <v>253703.85324625429</v>
      </c>
      <c r="S15" s="348">
        <f>N15-R15</f>
        <v>95290.000000000087</v>
      </c>
      <c r="T15" s="234"/>
      <c r="U15" s="234"/>
      <c r="V15" s="234"/>
      <c r="W15" s="309">
        <v>348993.85324625438</v>
      </c>
      <c r="X15" s="234">
        <f>J15/2.5</f>
        <v>139597.54129850175</v>
      </c>
      <c r="Y15" s="237"/>
      <c r="Z15" s="225"/>
      <c r="AA15" s="225"/>
      <c r="AB15" s="496">
        <f>'SRs 6 мес final'!G40</f>
        <v>21714.638596491226</v>
      </c>
      <c r="AC15" s="454"/>
      <c r="AD15" s="454"/>
      <c r="AE15" s="434">
        <f>R15</f>
        <v>253703.85324625429</v>
      </c>
      <c r="AF15" s="433">
        <f t="shared" si="2"/>
        <v>275418.49184274551</v>
      </c>
      <c r="AG15" s="433"/>
      <c r="AH15" s="231">
        <f>B15-AB15</f>
        <v>38577.511403508775</v>
      </c>
      <c r="AI15" s="425"/>
      <c r="AJ15" s="462">
        <f>AE15+AI14-AH14</f>
        <v>302754.20324625424</v>
      </c>
      <c r="AK15" s="470">
        <v>72532.963702359353</v>
      </c>
      <c r="AL15" s="470">
        <v>111897.92740471869</v>
      </c>
      <c r="AM15" s="470">
        <v>101473.92740471869</v>
      </c>
      <c r="AN15" s="496">
        <v>285904.81851179677</v>
      </c>
      <c r="AO15" s="225"/>
      <c r="AP15" s="67"/>
      <c r="AQ15" s="67"/>
      <c r="AR15" s="67"/>
      <c r="AS15" s="67"/>
      <c r="AT15" s="67"/>
      <c r="AU15" s="67"/>
      <c r="AV15" s="67"/>
    </row>
    <row r="16" spans="1:48" ht="56.25" x14ac:dyDescent="0.25">
      <c r="A16" s="117" t="s">
        <v>547</v>
      </c>
      <c r="B16" s="232">
        <v>35836.22</v>
      </c>
      <c r="C16" s="232">
        <f>B16*7%</f>
        <v>2508.5354000000002</v>
      </c>
      <c r="D16" s="232">
        <f>B16+C16</f>
        <v>38344.755400000002</v>
      </c>
      <c r="E16" s="232"/>
      <c r="F16" s="232"/>
      <c r="G16" s="232"/>
      <c r="H16" s="232"/>
      <c r="I16" s="232"/>
      <c r="J16" s="232">
        <v>11160</v>
      </c>
      <c r="K16" s="326"/>
      <c r="L16" s="326"/>
      <c r="M16" s="326"/>
      <c r="N16" s="331">
        <v>11160</v>
      </c>
      <c r="O16" s="351"/>
      <c r="P16" s="351"/>
      <c r="Q16" s="351"/>
      <c r="R16" s="351">
        <v>11160</v>
      </c>
      <c r="S16" s="351"/>
      <c r="T16" s="232"/>
      <c r="U16" s="232"/>
      <c r="V16" s="232"/>
      <c r="W16" s="314">
        <v>11160</v>
      </c>
      <c r="X16" s="232"/>
      <c r="Y16" s="239"/>
      <c r="Z16" s="67"/>
      <c r="AA16" s="67"/>
      <c r="AB16" s="428">
        <f>GETPIVOTDATA("Сумма по полю Y1 Revised 1-4",PIVOT!$A$3,"Cost Input","10.1 Printed materials (forms, books, guidelines, brochure, leaflets...)","Component","HIV","Recipient Type","PR")+GETPIVOTDATA("Сумма по полю Y1 Revised 1-4",PIVOT!$A$3,"Cost Input","2.1 Training related per diems/transport/other costs","Component","HIV","Recipient Type","PR")+GETPIVOTDATA("Сумма по полю Y1 Revised 1-4",PIVOT!$A$3,"Cost Input","3.4 Other external professional services","Component","HIV","Recipient Type","PR")-300</f>
        <v>19020.701754385966</v>
      </c>
      <c r="AC16" s="454"/>
      <c r="AD16" s="454"/>
      <c r="AE16" s="434">
        <f>R16</f>
        <v>11160</v>
      </c>
      <c r="AF16" s="433">
        <f t="shared" si="2"/>
        <v>30180.701754385966</v>
      </c>
      <c r="AG16" s="433"/>
      <c r="AH16" s="427">
        <f>B16-AB16</f>
        <v>16815.518245614036</v>
      </c>
      <c r="AI16" s="436">
        <f>AH16+AH17+7000</f>
        <v>61335.803245614035</v>
      </c>
      <c r="AJ16" s="462">
        <f>AE16+AI16</f>
        <v>72495.803245614035</v>
      </c>
      <c r="AK16" s="490">
        <v>5580</v>
      </c>
      <c r="AL16" s="490">
        <v>5580</v>
      </c>
      <c r="AM16" s="490"/>
      <c r="AN16" s="496">
        <v>11160</v>
      </c>
      <c r="AO16" s="67"/>
      <c r="AP16" s="67"/>
      <c r="AQ16" s="67"/>
      <c r="AR16" s="67"/>
      <c r="AS16" s="67"/>
      <c r="AT16" s="67"/>
      <c r="AU16" s="67"/>
      <c r="AV16" s="67"/>
    </row>
    <row r="17" spans="1:50" ht="21" x14ac:dyDescent="0.25">
      <c r="A17" s="117" t="s">
        <v>206</v>
      </c>
      <c r="B17" s="124">
        <f>95200.57/2</f>
        <v>47600.285000000003</v>
      </c>
      <c r="C17" s="124">
        <f>6664.04/2</f>
        <v>3332.02</v>
      </c>
      <c r="D17" s="124">
        <f>B17+C17</f>
        <v>50932.305</v>
      </c>
      <c r="E17" s="124"/>
      <c r="F17" s="124"/>
      <c r="G17" s="124" t="s">
        <v>289</v>
      </c>
      <c r="H17" s="124"/>
      <c r="I17" s="124"/>
      <c r="J17" s="124"/>
      <c r="K17" s="323"/>
      <c r="L17" s="323"/>
      <c r="M17" s="323"/>
      <c r="N17" s="328"/>
      <c r="O17" s="340"/>
      <c r="P17" s="340"/>
      <c r="Q17" s="340"/>
      <c r="R17" s="340"/>
      <c r="S17" s="340"/>
      <c r="T17" s="124"/>
      <c r="U17" s="124"/>
      <c r="V17" s="124"/>
      <c r="W17" s="315"/>
      <c r="X17" s="124"/>
      <c r="Y17" s="124"/>
      <c r="Z17" s="67"/>
      <c r="AA17" s="67"/>
      <c r="AB17" s="316">
        <f>GETPIVOTDATA("Сумма по полю Y1 Revised 1-4",PIVOT!$A$3,"Component","MOH","Recipient Type","SR")</f>
        <v>10080</v>
      </c>
      <c r="AC17" s="316"/>
      <c r="AD17" s="316"/>
      <c r="AE17" s="421">
        <v>0</v>
      </c>
      <c r="AF17" s="424">
        <f t="shared" si="2"/>
        <v>10080</v>
      </c>
      <c r="AG17" s="424"/>
      <c r="AH17" s="421">
        <f>B17-AB17</f>
        <v>37520.285000000003</v>
      </c>
      <c r="AI17" s="420"/>
      <c r="AJ17" s="284"/>
      <c r="AK17" s="470"/>
      <c r="AL17" s="470"/>
      <c r="AM17" s="470"/>
      <c r="AN17" s="470"/>
      <c r="AO17" s="67">
        <f>AT17/2</f>
        <v>50932.305</v>
      </c>
      <c r="AP17" s="67"/>
      <c r="AQ17" s="67"/>
      <c r="AR17" s="67">
        <v>95200.57</v>
      </c>
      <c r="AS17" s="67">
        <v>6664.04</v>
      </c>
      <c r="AT17" s="67">
        <f>AR17+AS17</f>
        <v>101864.61</v>
      </c>
      <c r="AU17" s="67"/>
      <c r="AV17" s="67"/>
    </row>
    <row r="18" spans="1:50" ht="21" x14ac:dyDescent="0.25">
      <c r="A18" s="117" t="s">
        <v>205</v>
      </c>
      <c r="B18" s="124">
        <f>538302.04/2</f>
        <v>269151.02</v>
      </c>
      <c r="C18" s="124">
        <f>37681.14/2</f>
        <v>18840.57</v>
      </c>
      <c r="D18" s="124">
        <f>B18+C18</f>
        <v>287991.59000000003</v>
      </c>
      <c r="E18" s="232"/>
      <c r="F18" s="124"/>
      <c r="G18" s="124">
        <v>1439957.9500000002</v>
      </c>
      <c r="H18" s="124"/>
      <c r="I18" s="124"/>
      <c r="J18" s="281">
        <v>1098188.53</v>
      </c>
      <c r="K18" s="327"/>
      <c r="L18" s="327"/>
      <c r="M18" s="327"/>
      <c r="N18" s="332">
        <v>1098188.53</v>
      </c>
      <c r="O18" s="340"/>
      <c r="P18" s="340"/>
      <c r="Q18" s="340"/>
      <c r="R18" s="340">
        <v>1098188.53</v>
      </c>
      <c r="S18" s="340"/>
      <c r="T18" s="284"/>
      <c r="U18" s="284"/>
      <c r="V18" s="284"/>
      <c r="W18" s="315">
        <f>J18</f>
        <v>1098188.53</v>
      </c>
      <c r="X18" s="124"/>
      <c r="Y18" s="124"/>
      <c r="Z18" s="67"/>
      <c r="AA18" s="67"/>
      <c r="AB18" s="316">
        <f>PIVOT!H81</f>
        <v>246183.99342105261</v>
      </c>
      <c r="AC18" s="316"/>
      <c r="AD18" s="316"/>
      <c r="AE18" s="421">
        <v>1098188.53</v>
      </c>
      <c r="AF18" s="424">
        <f t="shared" si="2"/>
        <v>1344372.5234210526</v>
      </c>
      <c r="AG18" s="424"/>
      <c r="AH18" s="443">
        <f>B18-AB18</f>
        <v>22967.026578947407</v>
      </c>
      <c r="AI18" s="305">
        <f>AE18+AH18</f>
        <v>1121155.5565789475</v>
      </c>
      <c r="AJ18" s="284">
        <f>2310280.65/2</f>
        <v>1155140.325</v>
      </c>
      <c r="AK18" s="470"/>
      <c r="AL18" s="470"/>
      <c r="AM18" s="470"/>
      <c r="AN18" s="492">
        <f>2310280.65/2</f>
        <v>1155140.325</v>
      </c>
      <c r="AO18" s="67">
        <f>AT18/2</f>
        <v>287991.59000000003</v>
      </c>
      <c r="AP18" s="67"/>
      <c r="AQ18" s="67"/>
      <c r="AR18" s="67">
        <v>538302.04</v>
      </c>
      <c r="AS18" s="67">
        <v>37681.14</v>
      </c>
      <c r="AT18" s="67">
        <f>AR18+AS18</f>
        <v>575983.18000000005</v>
      </c>
      <c r="AU18" s="67"/>
      <c r="AV18" s="67"/>
    </row>
    <row r="19" spans="1:50" ht="21" x14ac:dyDescent="0.25">
      <c r="A19" s="117" t="s">
        <v>232</v>
      </c>
      <c r="B19" s="124"/>
      <c r="C19" s="124">
        <f>C3+C4+C17+C18</f>
        <v>277181.24999999994</v>
      </c>
      <c r="D19" s="124"/>
      <c r="E19" s="232"/>
      <c r="F19" s="124"/>
      <c r="G19" s="124"/>
      <c r="H19" s="124"/>
      <c r="I19" s="124"/>
      <c r="J19" s="282">
        <v>413372.28</v>
      </c>
      <c r="K19" s="323"/>
      <c r="L19" s="323"/>
      <c r="M19" s="323"/>
      <c r="N19" s="328">
        <v>388022.4732925407</v>
      </c>
      <c r="O19" s="340"/>
      <c r="P19" s="340"/>
      <c r="Q19" s="340"/>
      <c r="R19" s="340">
        <v>433301.78211582365</v>
      </c>
      <c r="S19" s="340"/>
      <c r="T19" s="124"/>
      <c r="U19" s="124"/>
      <c r="V19" s="124"/>
      <c r="W19" s="308">
        <f>J19</f>
        <v>413372.28</v>
      </c>
      <c r="X19" s="124">
        <f>X4*7%</f>
        <v>71246.064085786027</v>
      </c>
      <c r="Y19" s="124">
        <f>Y4*7%</f>
        <v>69300</v>
      </c>
      <c r="Z19" s="67"/>
      <c r="AA19" s="67"/>
      <c r="AB19" s="316">
        <f>PIVOT!H73</f>
        <v>95520.036530009675</v>
      </c>
      <c r="AC19" s="316"/>
      <c r="AD19" s="316"/>
      <c r="AE19" s="421">
        <f>R19</f>
        <v>433301.78211582365</v>
      </c>
      <c r="AF19" s="424">
        <f t="shared" si="2"/>
        <v>528821.81864583329</v>
      </c>
      <c r="AG19" s="424"/>
      <c r="AH19" s="421">
        <f>C19-AB19</f>
        <v>181661.21346999027</v>
      </c>
      <c r="AI19" s="421">
        <f>AI3/100*7+(AI4/100*7)</f>
        <v>164064.81477993182</v>
      </c>
      <c r="AJ19" s="421">
        <f>AJ3/100*7+(AJ4/100*7)</f>
        <v>548912.41859175556</v>
      </c>
      <c r="AK19" s="470"/>
      <c r="AL19" s="470"/>
      <c r="AM19" s="470"/>
      <c r="AN19" s="491">
        <v>549875.74176727724</v>
      </c>
      <c r="AO19" s="67"/>
      <c r="AP19" s="67"/>
      <c r="AQ19" s="67"/>
      <c r="AR19" s="67"/>
      <c r="AS19" s="67"/>
      <c r="AT19" s="67"/>
      <c r="AU19" s="67"/>
      <c r="AV19" s="67"/>
    </row>
    <row r="20" spans="1:50" ht="23.25" x14ac:dyDescent="0.25">
      <c r="A20" s="117" t="s">
        <v>207</v>
      </c>
      <c r="B20" s="124">
        <f>B3+B4+B17+B18</f>
        <v>3959732.1750000003</v>
      </c>
      <c r="C20" s="124">
        <f>D20-B20</f>
        <v>277181.24999999953</v>
      </c>
      <c r="D20" s="124">
        <f>D3+D4+D17+D18</f>
        <v>4236913.4249999998</v>
      </c>
      <c r="E20" s="124">
        <f>SUM(E3:E19)</f>
        <v>146317.70810647885</v>
      </c>
      <c r="F20" s="124"/>
      <c r="G20" s="124">
        <f>G3+G4+G18</f>
        <v>6242440.3399499999</v>
      </c>
      <c r="H20" s="124"/>
      <c r="I20" s="124"/>
      <c r="J20" s="124">
        <f>J3+J4+J18+J19</f>
        <v>7416879.168778073</v>
      </c>
      <c r="K20" s="323"/>
      <c r="L20" s="323"/>
      <c r="M20" s="323"/>
      <c r="N20" s="333">
        <f>N3+N4+N18+N19</f>
        <v>7029389.1931859795</v>
      </c>
      <c r="O20" s="340"/>
      <c r="P20" s="340"/>
      <c r="Q20" s="340"/>
      <c r="R20" s="340"/>
      <c r="S20" s="340"/>
      <c r="T20" s="124"/>
      <c r="U20" s="124"/>
      <c r="V20" s="124"/>
      <c r="W20" s="316">
        <f>W3+W4+W18+W19</f>
        <v>7029448.5750000002</v>
      </c>
      <c r="X20" s="229">
        <f>X4+X19</f>
        <v>1089046.9795970151</v>
      </c>
      <c r="Y20" s="229">
        <f>Y4+Y19</f>
        <v>1059300</v>
      </c>
      <c r="Z20" s="124"/>
      <c r="AA20" s="124"/>
      <c r="AB20" s="316">
        <f>AB3+AB4+AB17+AB18+AB19</f>
        <v>1705975.9803797719</v>
      </c>
      <c r="AC20" s="316"/>
      <c r="AD20" s="316"/>
      <c r="AE20" s="229">
        <f>AE3+AE4+AE18+AE19</f>
        <v>7029313.2237133048</v>
      </c>
      <c r="AF20" s="229">
        <f>AF3+AF4+AF17+AF18+AF19</f>
        <v>8735289.2040930763</v>
      </c>
      <c r="AG20" s="229"/>
      <c r="AH20" s="229">
        <f>AH3+AH4+AH17+AH18+AH19</f>
        <v>2530937.4446202279</v>
      </c>
      <c r="AI20" s="305">
        <f>AI3+AI4+AI19</f>
        <v>2507847.8830646724</v>
      </c>
      <c r="AJ20" s="119">
        <f>AJ3+AJ4+AJ18+AJ19</f>
        <v>9545658.7234739773</v>
      </c>
      <c r="AK20" s="470"/>
      <c r="AL20" s="470"/>
      <c r="AM20" s="470"/>
      <c r="AN20" s="493">
        <f>AN3+AN4+AN18+AN19</f>
        <v>9560383.8062998094</v>
      </c>
      <c r="AO20" s="67"/>
      <c r="AP20" s="67"/>
      <c r="AQ20" s="67"/>
      <c r="AR20" s="67">
        <v>9994746.7616981622</v>
      </c>
      <c r="AS20" s="67"/>
      <c r="AT20" s="67"/>
      <c r="AU20" s="67"/>
      <c r="AV20" s="67">
        <f>AV21</f>
        <v>23470014</v>
      </c>
      <c r="AX20" s="119">
        <f>AB20+AJ21</f>
        <v>11243137.087157749</v>
      </c>
    </row>
    <row r="21" spans="1:50" ht="23.25" x14ac:dyDescent="0.25">
      <c r="A21" s="240" t="s">
        <v>211</v>
      </c>
      <c r="B21" s="124"/>
      <c r="C21" s="124"/>
      <c r="D21" s="323">
        <f>D20</f>
        <v>4236913.4249999998</v>
      </c>
      <c r="E21" s="124"/>
      <c r="F21" s="124"/>
      <c r="G21" s="124">
        <f>Z21-D21</f>
        <v>7029448.5750000002</v>
      </c>
      <c r="H21" s="316">
        <v>7029448.5750000002</v>
      </c>
      <c r="I21" s="124"/>
      <c r="J21" s="125">
        <f>H21-J20</f>
        <v>-387430.59377807286</v>
      </c>
      <c r="K21" s="125"/>
      <c r="L21" s="125"/>
      <c r="M21" s="125"/>
      <c r="N21" s="328">
        <f>H21-N20</f>
        <v>59.381814020685852</v>
      </c>
      <c r="O21" s="340"/>
      <c r="P21" s="340"/>
      <c r="Q21" s="340"/>
      <c r="R21" s="340">
        <f>R3+R4+R18+R19</f>
        <v>7029313.2237133048</v>
      </c>
      <c r="S21" s="340"/>
      <c r="T21" s="125">
        <f>-J21</f>
        <v>387430.59377807286</v>
      </c>
      <c r="U21" s="125"/>
      <c r="V21" s="125"/>
      <c r="W21" s="316">
        <f>H21</f>
        <v>7029448.5750000002</v>
      </c>
      <c r="X21" s="124"/>
      <c r="Y21" s="124"/>
      <c r="Z21" s="323">
        <v>11266362</v>
      </c>
      <c r="AA21" s="323"/>
      <c r="AB21" s="323" t="s">
        <v>545</v>
      </c>
      <c r="AC21" s="323"/>
      <c r="AD21" s="323"/>
      <c r="AE21" s="323"/>
      <c r="AF21" s="323"/>
      <c r="AG21" s="323"/>
      <c r="AH21" s="323">
        <f>Z21-AF20</f>
        <v>2531072.7959069237</v>
      </c>
      <c r="AI21" s="444">
        <f>AH20-AI20</f>
        <v>23089.561555555556</v>
      </c>
      <c r="AJ21" s="284">
        <f>AE20+AI20</f>
        <v>9537161.1067779772</v>
      </c>
      <c r="AK21" s="470"/>
      <c r="AL21" s="470"/>
      <c r="AM21" s="470"/>
      <c r="AN21" s="493">
        <f>Z21-AB20</f>
        <v>9560386.0196202286</v>
      </c>
      <c r="AO21" s="67"/>
      <c r="AP21" s="67"/>
      <c r="AQ21" s="67">
        <v>12203652</v>
      </c>
      <c r="AR21" s="67"/>
      <c r="AS21" s="67"/>
      <c r="AT21" s="67"/>
      <c r="AU21" s="67"/>
      <c r="AV21" s="67">
        <v>23470014</v>
      </c>
    </row>
    <row r="22" spans="1:50" ht="23.25" x14ac:dyDescent="0.35">
      <c r="N22" s="119">
        <f>SUM(N14:N16)</f>
        <v>526699.86383233021</v>
      </c>
      <c r="O22" s="341"/>
      <c r="P22" s="341"/>
      <c r="Q22" s="341"/>
      <c r="R22" s="342">
        <v>7029448.5750000002</v>
      </c>
      <c r="S22" s="341"/>
      <c r="Y22" s="353" t="s">
        <v>436</v>
      </c>
      <c r="Z22" s="353">
        <f>Z21/AV21*100</f>
        <v>48.003218063696082</v>
      </c>
      <c r="AA22" s="353"/>
      <c r="AB22" s="353"/>
      <c r="AC22" s="353"/>
      <c r="AD22" s="353"/>
      <c r="AE22" s="353"/>
      <c r="AF22" s="353"/>
      <c r="AG22" s="353"/>
      <c r="AH22" s="353"/>
      <c r="AI22" s="353"/>
      <c r="AJ22" s="353"/>
      <c r="AK22" s="353"/>
      <c r="AL22" s="353"/>
      <c r="AM22" s="353"/>
      <c r="AN22" s="470">
        <f>AN21-AN20</f>
        <v>2.2133204191923141</v>
      </c>
      <c r="AO22" s="352"/>
      <c r="AP22" s="352"/>
      <c r="AQ22" s="353">
        <f>AQ21/AV21*100</f>
        <v>51.996781936303918</v>
      </c>
      <c r="AU22" s="221">
        <v>0.5</v>
      </c>
      <c r="AV22" s="67">
        <f>AV21/2</f>
        <v>11735007</v>
      </c>
      <c r="AW22" s="67" t="s">
        <v>202</v>
      </c>
      <c r="AX22" s="59"/>
    </row>
    <row r="23" spans="1:50" ht="42.75" hidden="1" thickBot="1" x14ac:dyDescent="0.4">
      <c r="C23" s="63"/>
      <c r="E23" s="63"/>
      <c r="F23" s="63"/>
      <c r="G23" s="63"/>
      <c r="H23" s="241" t="s">
        <v>419</v>
      </c>
      <c r="I23" s="241"/>
      <c r="J23" s="241" t="s">
        <v>420</v>
      </c>
      <c r="K23" s="241"/>
      <c r="L23" s="241"/>
      <c r="M23" s="241"/>
      <c r="N23" s="241"/>
      <c r="O23" s="241"/>
      <c r="P23" s="241"/>
      <c r="Q23" s="241"/>
      <c r="R23" s="241"/>
      <c r="S23" s="241"/>
      <c r="T23" s="241"/>
      <c r="U23" s="241"/>
      <c r="V23" s="241"/>
      <c r="W23" s="241"/>
      <c r="X23" s="241" t="s">
        <v>421</v>
      </c>
      <c r="AT23" s="223" t="s">
        <v>202</v>
      </c>
      <c r="AU23" s="224">
        <f>Z21/2</f>
        <v>5633181</v>
      </c>
      <c r="AV23" s="67">
        <v>5633181</v>
      </c>
      <c r="AW23" s="224"/>
    </row>
    <row r="24" spans="1:50" ht="42.75" hidden="1" thickBot="1" x14ac:dyDescent="0.4">
      <c r="C24" s="63"/>
      <c r="E24" s="242" t="s">
        <v>407</v>
      </c>
      <c r="F24" s="63"/>
      <c r="G24" s="63"/>
      <c r="H24" s="243">
        <f>N4</f>
        <v>2193522.1226934381</v>
      </c>
      <c r="I24" s="243"/>
      <c r="J24" s="243"/>
      <c r="K24" s="243"/>
      <c r="L24" s="243"/>
      <c r="M24" s="243"/>
      <c r="N24" s="243"/>
      <c r="O24" s="243"/>
      <c r="P24" s="243"/>
      <c r="Q24" s="243"/>
      <c r="R24" s="243"/>
      <c r="S24" s="243"/>
      <c r="T24" s="243"/>
      <c r="U24" s="243"/>
      <c r="V24" s="243"/>
      <c r="W24" s="243"/>
      <c r="X24" s="243"/>
      <c r="AT24" s="230" t="s">
        <v>203</v>
      </c>
      <c r="AU24" s="231">
        <f>AQ21/2</f>
        <v>6101826</v>
      </c>
      <c r="AV24" s="67">
        <f>AV25+AV27+AW29</f>
        <v>5633180.5583300004</v>
      </c>
      <c r="AW24" s="224">
        <f>AV23-AV24</f>
        <v>0.44166999962180853</v>
      </c>
    </row>
    <row r="25" spans="1:50" ht="21.75" hidden="1" thickBot="1" x14ac:dyDescent="0.4">
      <c r="C25" s="63"/>
      <c r="E25" s="242" t="s">
        <v>411</v>
      </c>
      <c r="F25" s="63"/>
      <c r="G25" s="63"/>
      <c r="H25" s="244">
        <f>H24/2.5</f>
        <v>877408.84907737526</v>
      </c>
      <c r="I25" s="244"/>
      <c r="J25" s="244">
        <v>1059300</v>
      </c>
      <c r="K25" s="244"/>
      <c r="L25" s="244"/>
      <c r="M25" s="244"/>
      <c r="N25" s="244"/>
      <c r="O25" s="244"/>
      <c r="P25" s="244"/>
      <c r="Q25" s="244"/>
      <c r="R25" s="244"/>
      <c r="S25" s="244"/>
      <c r="T25" s="244"/>
      <c r="U25" s="244"/>
      <c r="V25" s="244"/>
      <c r="W25" s="244"/>
      <c r="X25" s="244">
        <v>1089046.9795970151</v>
      </c>
      <c r="AT25" s="221" t="s">
        <v>404</v>
      </c>
      <c r="AU25" s="67">
        <v>12703000</v>
      </c>
      <c r="AV25" s="228">
        <f>(AV23-AW29)*91%-4763</f>
        <v>4762598.0803000005</v>
      </c>
      <c r="AW25" s="226">
        <v>5891179</v>
      </c>
    </row>
    <row r="26" spans="1:50" ht="63.75" hidden="1" thickBot="1" x14ac:dyDescent="0.4">
      <c r="C26" s="63"/>
      <c r="E26" s="242" t="s">
        <v>408</v>
      </c>
      <c r="F26" s="63"/>
      <c r="G26" s="63"/>
      <c r="H26" s="243">
        <f>H24+E20</f>
        <v>2339839.8307999168</v>
      </c>
      <c r="I26" s="243"/>
      <c r="J26" s="243"/>
      <c r="K26" s="243"/>
      <c r="L26" s="243"/>
      <c r="M26" s="243"/>
      <c r="N26" s="243"/>
      <c r="O26" s="243"/>
      <c r="P26" s="243"/>
      <c r="Q26" s="243"/>
      <c r="R26" s="243"/>
      <c r="S26" s="243"/>
      <c r="T26" s="243"/>
      <c r="U26" s="243"/>
      <c r="V26" s="243"/>
      <c r="W26" s="243"/>
      <c r="X26" s="243"/>
      <c r="AT26" s="221" t="s">
        <v>414</v>
      </c>
      <c r="AU26" s="67">
        <f>SUM(AV23:AV29)</f>
        <v>17483350.446660001</v>
      </c>
      <c r="AV26" s="67"/>
      <c r="AW26" s="227">
        <f>AV25-AW25</f>
        <v>-1128580.9196999995</v>
      </c>
    </row>
    <row r="27" spans="1:50" ht="32.25" hidden="1" thickBot="1" x14ac:dyDescent="0.4">
      <c r="C27" s="63"/>
      <c r="E27" s="63" t="s">
        <v>409</v>
      </c>
      <c r="F27" s="63"/>
      <c r="G27" s="63"/>
      <c r="H27" s="244">
        <f>H26/2.5</f>
        <v>935935.93231996673</v>
      </c>
      <c r="I27" s="244"/>
      <c r="J27" s="244"/>
      <c r="K27" s="244"/>
      <c r="L27" s="244"/>
      <c r="M27" s="244"/>
      <c r="N27" s="244"/>
      <c r="O27" s="244"/>
      <c r="P27" s="244"/>
      <c r="Q27" s="244"/>
      <c r="R27" s="244"/>
      <c r="S27" s="244"/>
      <c r="T27" s="244"/>
      <c r="U27" s="244"/>
      <c r="V27" s="244"/>
      <c r="W27" s="244"/>
      <c r="X27" s="244"/>
      <c r="AT27" s="221" t="s">
        <v>415</v>
      </c>
      <c r="AU27" s="67">
        <f>AU26*100/AV21</f>
        <v>74.492288102853294</v>
      </c>
      <c r="AV27" s="224">
        <f>AV25*10%</f>
        <v>476259.80803000007</v>
      </c>
    </row>
    <row r="28" spans="1:50" ht="84.75" hidden="1" thickBot="1" x14ac:dyDescent="0.4">
      <c r="C28" s="63"/>
      <c r="E28" s="242" t="s">
        <v>410</v>
      </c>
      <c r="F28" s="63"/>
      <c r="G28" s="63"/>
      <c r="H28" s="243">
        <v>1000000</v>
      </c>
      <c r="I28" s="243"/>
      <c r="J28" s="243"/>
      <c r="K28" s="243"/>
      <c r="L28" s="243"/>
      <c r="M28" s="243"/>
      <c r="N28" s="243"/>
      <c r="O28" s="243"/>
      <c r="P28" s="243"/>
      <c r="Q28" s="243"/>
      <c r="R28" s="243"/>
      <c r="S28" s="243"/>
      <c r="T28" s="243"/>
      <c r="U28" s="243"/>
      <c r="V28" s="243"/>
      <c r="W28" s="243"/>
      <c r="X28" s="243"/>
      <c r="AT28" s="221" t="s">
        <v>412</v>
      </c>
      <c r="AU28" s="67">
        <f>AU25*10%</f>
        <v>1270300</v>
      </c>
      <c r="AV28" s="224"/>
    </row>
    <row r="29" spans="1:50" ht="15.75" hidden="1" thickBot="1" x14ac:dyDescent="0.3">
      <c r="AU29" s="221" t="s">
        <v>413</v>
      </c>
      <c r="AV29" s="67">
        <f>(AU25+AU28)*7%</f>
        <v>978131.00000000012</v>
      </c>
      <c r="AW29" s="224">
        <f>AU23*7%</f>
        <v>394322.67000000004</v>
      </c>
    </row>
    <row r="30" spans="1:50" ht="15.75" hidden="1" thickBot="1" x14ac:dyDescent="0.3">
      <c r="B30" s="222" t="s">
        <v>226</v>
      </c>
      <c r="D30" s="222" t="s">
        <v>221</v>
      </c>
      <c r="E30" s="222" t="s">
        <v>424</v>
      </c>
      <c r="AW30" s="119"/>
    </row>
    <row r="31" spans="1:50" ht="15.75" hidden="1" thickBot="1" x14ac:dyDescent="0.3">
      <c r="A31" s="222" t="s">
        <v>425</v>
      </c>
      <c r="B31" s="222">
        <v>6377689.2879029447</v>
      </c>
      <c r="D31" s="270">
        <v>7832177.0785602974</v>
      </c>
      <c r="E31" s="222">
        <v>14209866.366463242</v>
      </c>
    </row>
    <row r="32" spans="1:50" ht="15.75" hidden="1" thickBot="1" x14ac:dyDescent="0.3">
      <c r="D32" s="270"/>
    </row>
    <row r="33" spans="1:40" ht="15.75" hidden="1" thickBot="1" x14ac:dyDescent="0.3">
      <c r="A33" s="222" t="s">
        <v>426</v>
      </c>
      <c r="B33" s="222">
        <v>2153763.3336807205</v>
      </c>
      <c r="D33" s="270">
        <v>2555662.2887780718</v>
      </c>
      <c r="E33" s="222">
        <v>4709425.6224587923</v>
      </c>
    </row>
    <row r="34" spans="1:40" ht="15.75" hidden="1" thickBot="1" x14ac:dyDescent="0.3">
      <c r="A34" s="222" t="s">
        <v>427</v>
      </c>
      <c r="B34" s="222">
        <v>2660928.7143999999</v>
      </c>
      <c r="D34" s="270">
        <v>3713517.5499600004</v>
      </c>
      <c r="E34" s="222">
        <v>6374446.2643600004</v>
      </c>
    </row>
    <row r="35" spans="1:40" ht="15.75" hidden="1" thickBot="1" x14ac:dyDescent="0.3">
      <c r="A35" s="222" t="s">
        <v>428</v>
      </c>
      <c r="B35" s="222">
        <v>1562997.2398222247</v>
      </c>
      <c r="D35" s="270">
        <v>1562997.2398222247</v>
      </c>
      <c r="E35" s="222">
        <v>3125994.4796444494</v>
      </c>
    </row>
    <row r="36" spans="1:40" ht="15.75" hidden="1" thickBot="1" x14ac:dyDescent="0.3">
      <c r="A36" s="222" t="s">
        <v>424</v>
      </c>
      <c r="B36" s="222">
        <v>6377689.2879029447</v>
      </c>
      <c r="D36" s="270">
        <v>7832177.0785602974</v>
      </c>
      <c r="E36" s="222">
        <v>14209866.366463242</v>
      </c>
    </row>
    <row r="37" spans="1:40" x14ac:dyDescent="0.25">
      <c r="Z37" s="128"/>
      <c r="AA37" s="128"/>
      <c r="AD37" s="450"/>
      <c r="AK37" s="119">
        <f>AN21-AN18</f>
        <v>8405245.6946202293</v>
      </c>
    </row>
    <row r="38" spans="1:40" x14ac:dyDescent="0.25">
      <c r="Z38" s="59" t="s">
        <v>539</v>
      </c>
      <c r="AA38" s="59"/>
      <c r="AD38" s="451"/>
      <c r="AG38" s="468">
        <f>AJ18-AI18</f>
        <v>33984.768421052489</v>
      </c>
      <c r="AH38" s="468"/>
      <c r="AI38" s="468"/>
      <c r="AJ38" s="468"/>
      <c r="AK38" s="128"/>
    </row>
    <row r="39" spans="1:40" x14ac:dyDescent="0.25">
      <c r="Z39" s="59">
        <v>500586.3749535</v>
      </c>
      <c r="AA39" s="374">
        <f>AB14+AB15+AN14+AN15+AN16</f>
        <v>443525.63177858439</v>
      </c>
      <c r="AD39" s="450"/>
      <c r="AG39" s="128"/>
      <c r="AH39" s="128"/>
      <c r="AI39" s="128"/>
      <c r="AJ39" s="128"/>
      <c r="AK39" s="468"/>
    </row>
    <row r="40" spans="1:40" x14ac:dyDescent="0.25">
      <c r="Z40" s="59" t="s">
        <v>203</v>
      </c>
      <c r="AA40" s="374">
        <v>70386</v>
      </c>
      <c r="AD40" s="451"/>
      <c r="AG40" s="445"/>
      <c r="AH40" s="445"/>
      <c r="AI40" s="445"/>
      <c r="AJ40" s="445"/>
      <c r="AK40" s="479"/>
    </row>
    <row r="41" spans="1:40" x14ac:dyDescent="0.25">
      <c r="Z41" s="59"/>
      <c r="AA41" s="374">
        <f>SUM(AA39:AA40)</f>
        <v>513911.63177858439</v>
      </c>
      <c r="AD41" s="451"/>
      <c r="AG41" s="128"/>
      <c r="AH41" s="128"/>
      <c r="AI41" s="128"/>
      <c r="AJ41" s="128"/>
      <c r="AK41" s="128"/>
    </row>
    <row r="42" spans="1:40" ht="56.25" x14ac:dyDescent="0.25">
      <c r="Z42" s="117" t="s">
        <v>538</v>
      </c>
      <c r="AA42" s="374"/>
      <c r="AG42" s="128"/>
      <c r="AH42" s="128"/>
      <c r="AI42" s="128"/>
      <c r="AJ42" s="128"/>
      <c r="AK42" s="128"/>
      <c r="AL42" s="222">
        <f>AK15/28/6</f>
        <v>431.74383156166283</v>
      </c>
    </row>
    <row r="43" spans="1:40" x14ac:dyDescent="0.25">
      <c r="Z43" s="128"/>
      <c r="AA43" s="128"/>
      <c r="AG43" s="128"/>
      <c r="AH43" s="128"/>
      <c r="AI43" s="128"/>
      <c r="AJ43" s="128"/>
      <c r="AK43" s="128"/>
    </row>
    <row r="44" spans="1:40" x14ac:dyDescent="0.25">
      <c r="Z44" s="445"/>
      <c r="AA44" s="445"/>
      <c r="AG44" s="128"/>
      <c r="AH44" s="128"/>
      <c r="AI44" s="128"/>
      <c r="AJ44" s="128"/>
      <c r="AK44" s="128"/>
    </row>
    <row r="45" spans="1:40" x14ac:dyDescent="0.25">
      <c r="Z45" s="128"/>
      <c r="AA45" s="128"/>
      <c r="AG45" s="445"/>
      <c r="AH45" s="445"/>
      <c r="AI45" s="445"/>
      <c r="AJ45" s="445"/>
      <c r="AK45" s="445"/>
    </row>
    <row r="46" spans="1:40" x14ac:dyDescent="0.25">
      <c r="AJ46" s="128"/>
      <c r="AK46" s="128"/>
      <c r="AL46" s="128"/>
      <c r="AM46" s="128"/>
      <c r="AN46" s="128"/>
    </row>
  </sheetData>
  <mergeCells count="4">
    <mergeCell ref="AO1:AQ1"/>
    <mergeCell ref="AR1:AV1"/>
    <mergeCell ref="E2:F2"/>
    <mergeCell ref="AC2:AE2"/>
  </mergeCells>
  <pageMargins left="0.7" right="0.7" top="0.75" bottom="0.75" header="0.3" footer="0.3"/>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1"/>
  <sheetViews>
    <sheetView zoomScale="70" zoomScaleNormal="70" workbookViewId="0">
      <selection activeCell="S38" sqref="S38"/>
    </sheetView>
  </sheetViews>
  <sheetFormatPr defaultRowHeight="15" x14ac:dyDescent="0.25"/>
  <cols>
    <col min="1" max="1" width="29.5703125" style="4" customWidth="1"/>
    <col min="2" max="3" width="25.140625" style="4" customWidth="1"/>
    <col min="4" max="5" width="16.85546875" style="11" customWidth="1"/>
    <col min="6" max="7" width="12.7109375" style="4" customWidth="1"/>
    <col min="8" max="8" width="14.5703125" style="4" hidden="1" customWidth="1"/>
    <col min="9" max="9" width="15.42578125" style="4" customWidth="1"/>
    <col min="10" max="11" width="10.5703125" style="4" bestFit="1" customWidth="1"/>
    <col min="12" max="12" width="9.28515625" style="4" bestFit="1" customWidth="1"/>
    <col min="13" max="16384" width="9.140625" style="4"/>
  </cols>
  <sheetData>
    <row r="1" spans="1:28" ht="23.25" x14ac:dyDescent="0.25">
      <c r="A1" s="497"/>
      <c r="B1" s="497"/>
      <c r="C1" s="497"/>
      <c r="D1" s="497"/>
      <c r="E1" s="497"/>
      <c r="F1" s="497"/>
      <c r="G1" s="497"/>
      <c r="H1" s="497"/>
      <c r="I1" s="222"/>
      <c r="J1" s="222"/>
      <c r="K1" s="222"/>
      <c r="L1" s="222"/>
      <c r="M1" s="222"/>
      <c r="N1" s="222"/>
      <c r="O1" s="222"/>
      <c r="P1" s="222"/>
      <c r="Q1" s="222"/>
      <c r="R1" s="222"/>
      <c r="S1" s="222"/>
      <c r="T1" s="222"/>
      <c r="U1" s="222"/>
      <c r="V1" s="222"/>
      <c r="W1" s="222"/>
      <c r="X1" s="222"/>
      <c r="Y1" s="222"/>
      <c r="Z1" s="222"/>
      <c r="AA1" s="222"/>
      <c r="AB1" s="222"/>
    </row>
    <row r="2" spans="1:28" ht="15" customHeight="1" x14ac:dyDescent="0.3">
      <c r="A2" s="522" t="s">
        <v>19</v>
      </c>
      <c r="B2" s="520" t="s">
        <v>286</v>
      </c>
      <c r="C2" s="447"/>
      <c r="D2" s="523" t="s">
        <v>160</v>
      </c>
      <c r="E2" s="526"/>
      <c r="F2" s="524" t="s">
        <v>161</v>
      </c>
      <c r="G2" s="528"/>
      <c r="H2" s="525" t="s">
        <v>162</v>
      </c>
      <c r="I2" s="514"/>
      <c r="J2" s="516" t="s">
        <v>298</v>
      </c>
      <c r="K2" s="517"/>
      <c r="L2" s="248"/>
      <c r="M2" s="222"/>
      <c r="N2" s="222"/>
      <c r="O2" s="222"/>
      <c r="P2" s="222"/>
      <c r="Q2" s="222"/>
      <c r="R2" s="222"/>
      <c r="S2" s="222"/>
      <c r="T2" s="222"/>
      <c r="U2" s="222"/>
      <c r="V2" s="222"/>
      <c r="W2" s="222"/>
      <c r="X2" s="222"/>
      <c r="Y2" s="222"/>
      <c r="Z2" s="222"/>
      <c r="AA2" s="222"/>
      <c r="AB2" s="222"/>
    </row>
    <row r="3" spans="1:28" ht="56.25" customHeight="1" x14ac:dyDescent="0.3">
      <c r="A3" s="522"/>
      <c r="B3" s="521"/>
      <c r="C3" s="448"/>
      <c r="D3" s="523"/>
      <c r="E3" s="527"/>
      <c r="F3" s="524"/>
      <c r="G3" s="529"/>
      <c r="H3" s="525"/>
      <c r="I3" s="515"/>
      <c r="J3" s="518"/>
      <c r="K3" s="519"/>
      <c r="L3" s="248"/>
      <c r="M3" s="222"/>
      <c r="N3" s="222"/>
      <c r="O3" s="222"/>
      <c r="P3" s="222"/>
      <c r="Q3" s="222"/>
      <c r="R3" s="222"/>
      <c r="S3" s="222"/>
      <c r="T3" s="222"/>
      <c r="U3" s="222"/>
      <c r="V3" s="222"/>
      <c r="W3" s="222"/>
      <c r="X3" s="222"/>
      <c r="Y3" s="222"/>
      <c r="Z3" s="222"/>
      <c r="AA3" s="222"/>
      <c r="AB3" s="222"/>
    </row>
    <row r="4" spans="1:28" ht="18.75" x14ac:dyDescent="0.3">
      <c r="A4" s="250" t="s">
        <v>0</v>
      </c>
      <c r="B4" s="250" t="s">
        <v>297</v>
      </c>
      <c r="C4" s="250" t="s">
        <v>296</v>
      </c>
      <c r="D4" s="250" t="s">
        <v>297</v>
      </c>
      <c r="E4" s="250" t="s">
        <v>296</v>
      </c>
      <c r="F4" s="250" t="s">
        <v>297</v>
      </c>
      <c r="G4" s="250" t="s">
        <v>296</v>
      </c>
      <c r="H4" s="250"/>
      <c r="I4" s="251"/>
      <c r="J4" s="251"/>
      <c r="K4" s="251"/>
      <c r="L4" s="248"/>
      <c r="M4" s="222"/>
      <c r="N4" s="222"/>
      <c r="O4" s="222"/>
      <c r="P4" s="222"/>
      <c r="Q4" s="222"/>
      <c r="R4" s="222"/>
      <c r="S4" s="222"/>
      <c r="T4" s="222"/>
      <c r="U4" s="222"/>
      <c r="V4" s="222"/>
      <c r="W4" s="222"/>
      <c r="X4" s="222"/>
      <c r="Y4" s="222"/>
      <c r="Z4" s="222"/>
      <c r="AA4" s="222"/>
      <c r="AB4" s="222"/>
    </row>
    <row r="5" spans="1:28" ht="75" x14ac:dyDescent="0.3">
      <c r="A5" s="90" t="s">
        <v>60</v>
      </c>
      <c r="B5" s="90">
        <v>16250</v>
      </c>
      <c r="C5" s="246" t="s">
        <v>285</v>
      </c>
      <c r="D5" s="246">
        <v>17500</v>
      </c>
      <c r="E5" s="246" t="s">
        <v>284</v>
      </c>
      <c r="F5" s="90">
        <v>18750</v>
      </c>
      <c r="G5" s="246" t="s">
        <v>283</v>
      </c>
      <c r="H5" s="56">
        <f>F5</f>
        <v>18750</v>
      </c>
      <c r="I5" s="246" t="s">
        <v>282</v>
      </c>
      <c r="J5" s="246" t="s">
        <v>297</v>
      </c>
      <c r="K5" s="246" t="s">
        <v>296</v>
      </c>
      <c r="L5" s="248"/>
      <c r="M5" s="222"/>
      <c r="N5" s="222"/>
      <c r="O5" s="222"/>
      <c r="P5" s="222"/>
      <c r="Q5" s="222"/>
      <c r="R5" s="222"/>
      <c r="S5" s="222"/>
      <c r="T5" s="222"/>
      <c r="U5" s="222"/>
      <c r="V5" s="222"/>
      <c r="W5" s="222"/>
      <c r="X5" s="222"/>
      <c r="Y5" s="222"/>
      <c r="Z5" s="222"/>
      <c r="AA5" s="222"/>
      <c r="AB5" s="222"/>
    </row>
    <row r="6" spans="1:28" ht="18.75" x14ac:dyDescent="0.3">
      <c r="A6" s="90" t="s">
        <v>423</v>
      </c>
      <c r="B6" s="90">
        <v>40</v>
      </c>
      <c r="C6" s="90">
        <v>69</v>
      </c>
      <c r="D6" s="246">
        <v>40</v>
      </c>
      <c r="E6" s="246">
        <v>65</v>
      </c>
      <c r="F6" s="90">
        <v>20</v>
      </c>
      <c r="G6" s="246">
        <v>62</v>
      </c>
      <c r="H6" s="56"/>
      <c r="I6" s="246"/>
      <c r="J6" s="251">
        <f>6500/B6</f>
        <v>162.5</v>
      </c>
      <c r="K6" s="251">
        <f>9750/C6</f>
        <v>141.30434782608697</v>
      </c>
      <c r="L6" s="248">
        <v>2018</v>
      </c>
      <c r="M6" s="222"/>
      <c r="N6" s="222"/>
      <c r="O6" s="222"/>
      <c r="P6" s="222"/>
      <c r="Q6" s="222"/>
      <c r="R6" s="222"/>
      <c r="S6" s="222"/>
      <c r="T6" s="222"/>
      <c r="U6" s="222"/>
      <c r="V6" s="222"/>
      <c r="W6" s="222"/>
      <c r="X6" s="222"/>
      <c r="Y6" s="222"/>
      <c r="Z6" s="222"/>
      <c r="AA6" s="222"/>
      <c r="AB6" s="222"/>
    </row>
    <row r="7" spans="1:28" ht="18.75" x14ac:dyDescent="0.3">
      <c r="A7" s="260" t="s">
        <v>292</v>
      </c>
      <c r="B7" s="90">
        <f>6500/100</f>
        <v>65</v>
      </c>
      <c r="C7" s="260">
        <f>9750/100</f>
        <v>97.5</v>
      </c>
      <c r="D7" s="246">
        <f>7000/100</f>
        <v>70</v>
      </c>
      <c r="E7" s="460">
        <f>10500/100</f>
        <v>105</v>
      </c>
      <c r="F7" s="90">
        <f>7500/100</f>
        <v>75</v>
      </c>
      <c r="G7" s="461">
        <f>11250/100</f>
        <v>112.5</v>
      </c>
      <c r="H7" s="56"/>
      <c r="I7" s="257" t="s">
        <v>288</v>
      </c>
      <c r="J7" s="251">
        <f>7000/D6</f>
        <v>175</v>
      </c>
      <c r="K7" s="251">
        <f>10500/E6</f>
        <v>161.53846153846155</v>
      </c>
      <c r="L7" s="248">
        <v>2019</v>
      </c>
      <c r="M7" s="222"/>
      <c r="N7" s="222"/>
      <c r="O7" s="222"/>
      <c r="P7" s="222"/>
      <c r="Q7" s="222"/>
      <c r="R7" s="222"/>
      <c r="S7" s="222"/>
      <c r="T7" s="222"/>
      <c r="U7" s="222"/>
      <c r="V7" s="222"/>
      <c r="W7" s="222"/>
      <c r="X7" s="222"/>
      <c r="Y7" s="222"/>
      <c r="Z7" s="222"/>
      <c r="AA7" s="222"/>
      <c r="AB7" s="222"/>
    </row>
    <row r="8" spans="1:28" ht="18.75" x14ac:dyDescent="0.3">
      <c r="A8" s="90" t="s">
        <v>300</v>
      </c>
      <c r="B8" s="54">
        <f t="shared" ref="B8:G8" si="0">B7-B6</f>
        <v>25</v>
      </c>
      <c r="C8" s="54">
        <f t="shared" si="0"/>
        <v>28.5</v>
      </c>
      <c r="D8" s="54">
        <f t="shared" si="0"/>
        <v>30</v>
      </c>
      <c r="E8" s="54">
        <f t="shared" si="0"/>
        <v>40</v>
      </c>
      <c r="F8" s="54">
        <f t="shared" si="0"/>
        <v>55</v>
      </c>
      <c r="G8" s="54">
        <f t="shared" si="0"/>
        <v>50.5</v>
      </c>
      <c r="H8" s="56"/>
      <c r="I8" s="90"/>
      <c r="J8" s="251">
        <f>7500/F6</f>
        <v>375</v>
      </c>
      <c r="K8" s="251">
        <f>11250/G6</f>
        <v>181.45161290322579</v>
      </c>
      <c r="L8" s="248">
        <v>2020</v>
      </c>
      <c r="M8" s="222"/>
      <c r="N8" s="222"/>
      <c r="O8" s="222"/>
      <c r="P8" s="222"/>
      <c r="Q8" s="222"/>
      <c r="R8" s="222"/>
      <c r="S8" s="222"/>
      <c r="T8" s="222"/>
      <c r="U8" s="222"/>
      <c r="V8" s="222"/>
      <c r="W8" s="222"/>
      <c r="X8" s="222"/>
      <c r="Y8" s="222"/>
      <c r="Z8" s="222"/>
      <c r="AA8" s="222"/>
      <c r="AB8" s="222"/>
    </row>
    <row r="9" spans="1:28" ht="18.75" x14ac:dyDescent="0.3">
      <c r="A9" s="90" t="s">
        <v>548</v>
      </c>
      <c r="B9" s="90">
        <v>5</v>
      </c>
      <c r="C9" s="54">
        <v>15</v>
      </c>
      <c r="D9" s="54">
        <v>5</v>
      </c>
      <c r="E9" s="54">
        <v>15</v>
      </c>
      <c r="F9" s="54">
        <v>5</v>
      </c>
      <c r="G9" s="54">
        <v>15</v>
      </c>
      <c r="H9" s="56"/>
      <c r="I9" s="90"/>
      <c r="J9" s="251"/>
      <c r="K9" s="251"/>
      <c r="L9" s="248"/>
      <c r="M9" s="222"/>
      <c r="N9" s="222"/>
      <c r="O9" s="222"/>
      <c r="P9" s="222"/>
      <c r="Q9" s="222"/>
      <c r="R9" s="222"/>
      <c r="S9" s="222"/>
      <c r="T9" s="222"/>
      <c r="U9" s="222"/>
      <c r="V9" s="222"/>
      <c r="W9" s="222"/>
      <c r="X9" s="222"/>
      <c r="Y9" s="222"/>
      <c r="Z9" s="222"/>
      <c r="AA9" s="222"/>
      <c r="AB9" s="222"/>
    </row>
    <row r="10" spans="1:28" ht="112.5" x14ac:dyDescent="0.3">
      <c r="A10" s="90" t="s">
        <v>294</v>
      </c>
      <c r="B10" s="54">
        <f t="shared" ref="B10:G10" si="1">B7*15%</f>
        <v>9.75</v>
      </c>
      <c r="C10" s="54">
        <f t="shared" si="1"/>
        <v>14.625</v>
      </c>
      <c r="D10" s="54">
        <f t="shared" si="1"/>
        <v>10.5</v>
      </c>
      <c r="E10" s="54">
        <f t="shared" si="1"/>
        <v>15.75</v>
      </c>
      <c r="F10" s="54">
        <f t="shared" si="1"/>
        <v>11.25</v>
      </c>
      <c r="G10" s="54">
        <f t="shared" si="1"/>
        <v>16.875</v>
      </c>
      <c r="H10" s="56"/>
      <c r="I10" s="246" t="s">
        <v>299</v>
      </c>
      <c r="J10" s="258">
        <v>159.43065693430657</v>
      </c>
      <c r="K10" s="258">
        <v>150</v>
      </c>
      <c r="L10" s="248"/>
      <c r="M10" s="222"/>
      <c r="N10" s="222"/>
      <c r="O10" s="222"/>
      <c r="P10" s="222"/>
      <c r="Q10" s="222"/>
      <c r="R10" s="222"/>
      <c r="S10" s="222"/>
      <c r="T10" s="222"/>
      <c r="U10" s="222"/>
      <c r="V10" s="222"/>
      <c r="W10" s="222"/>
      <c r="X10" s="222"/>
      <c r="Y10" s="222"/>
      <c r="Z10" s="222"/>
      <c r="AA10" s="222"/>
      <c r="AB10" s="222"/>
    </row>
    <row r="11" spans="1:28" ht="18.75" x14ac:dyDescent="0.3">
      <c r="A11" s="90" t="s">
        <v>300</v>
      </c>
      <c r="B11" s="54">
        <f t="shared" ref="B11:G11" si="2">B10-B9</f>
        <v>4.75</v>
      </c>
      <c r="C11" s="54">
        <f t="shared" si="2"/>
        <v>-0.375</v>
      </c>
      <c r="D11" s="54">
        <f t="shared" si="2"/>
        <v>5.5</v>
      </c>
      <c r="E11" s="54">
        <f t="shared" si="2"/>
        <v>0.75</v>
      </c>
      <c r="F11" s="54">
        <f t="shared" si="2"/>
        <v>6.25</v>
      </c>
      <c r="G11" s="54">
        <f t="shared" si="2"/>
        <v>1.875</v>
      </c>
      <c r="H11" s="56"/>
      <c r="I11" s="246"/>
      <c r="J11" s="258"/>
      <c r="K11" s="258"/>
      <c r="L11" s="248"/>
      <c r="M11" s="222"/>
      <c r="N11" s="222"/>
      <c r="O11" s="222"/>
      <c r="P11" s="222"/>
      <c r="Q11" s="222"/>
      <c r="R11" s="222"/>
      <c r="S11" s="222"/>
      <c r="T11" s="222"/>
      <c r="U11" s="222"/>
      <c r="V11" s="222"/>
      <c r="W11" s="222"/>
      <c r="X11" s="222"/>
      <c r="Y11" s="222"/>
      <c r="Z11" s="222"/>
      <c r="AA11" s="222"/>
      <c r="AB11" s="222"/>
    </row>
    <row r="12" spans="1:28" ht="37.5" x14ac:dyDescent="0.3">
      <c r="A12" s="56" t="s">
        <v>31</v>
      </c>
      <c r="B12" s="56">
        <v>14625</v>
      </c>
      <c r="C12" s="56"/>
      <c r="D12" s="246">
        <v>15750</v>
      </c>
      <c r="E12" s="246"/>
      <c r="F12" s="318">
        <v>16875</v>
      </c>
      <c r="G12" s="54"/>
      <c r="H12" s="56">
        <f>F12/2</f>
        <v>8437.5</v>
      </c>
      <c r="I12" s="251"/>
      <c r="J12" s="251"/>
      <c r="K12" s="251"/>
      <c r="L12" s="248"/>
      <c r="M12" s="222"/>
      <c r="N12" s="222"/>
      <c r="O12" s="222"/>
      <c r="P12" s="222"/>
      <c r="Q12" s="222"/>
      <c r="R12" s="222"/>
      <c r="S12" s="222"/>
      <c r="T12" s="222"/>
      <c r="U12" s="222"/>
      <c r="V12" s="222"/>
      <c r="W12" s="222"/>
      <c r="X12" s="222"/>
      <c r="Y12" s="222"/>
      <c r="Z12" s="222"/>
      <c r="AA12" s="222"/>
      <c r="AB12" s="222"/>
    </row>
    <row r="13" spans="1:28" ht="18.75" x14ac:dyDescent="0.3">
      <c r="A13" s="90" t="s">
        <v>32</v>
      </c>
      <c r="B13" s="90"/>
      <c r="C13" s="90"/>
      <c r="D13" s="255"/>
      <c r="E13" s="255"/>
      <c r="F13" s="90"/>
      <c r="G13" s="90"/>
      <c r="H13" s="90"/>
      <c r="I13" s="251"/>
      <c r="J13" s="251"/>
      <c r="K13" s="251"/>
      <c r="L13" s="248"/>
      <c r="M13" s="222"/>
      <c r="N13" s="222"/>
      <c r="O13" s="222"/>
      <c r="P13" s="222"/>
      <c r="Q13" s="222"/>
      <c r="R13" s="222"/>
      <c r="S13" s="222"/>
      <c r="T13" s="222"/>
      <c r="U13" s="222"/>
      <c r="V13" s="222"/>
      <c r="W13" s="222"/>
      <c r="X13" s="222"/>
      <c r="Y13" s="222"/>
      <c r="Z13" s="222"/>
      <c r="AA13" s="222"/>
      <c r="AB13" s="222"/>
    </row>
    <row r="14" spans="1:28" ht="18.75" x14ac:dyDescent="0.3">
      <c r="A14" s="56" t="s">
        <v>36</v>
      </c>
      <c r="B14" s="56"/>
      <c r="C14" s="56"/>
      <c r="D14" s="246"/>
      <c r="E14" s="246"/>
      <c r="F14" s="90"/>
      <c r="G14" s="90"/>
      <c r="H14" s="56"/>
      <c r="I14" s="251"/>
      <c r="J14" s="251"/>
      <c r="K14" s="251"/>
      <c r="L14" s="248"/>
      <c r="M14" s="222"/>
      <c r="N14" s="222"/>
      <c r="O14" s="222"/>
      <c r="P14" s="222"/>
      <c r="Q14" s="222"/>
      <c r="R14" s="222"/>
      <c r="S14" s="222"/>
      <c r="T14" s="222"/>
      <c r="U14" s="222"/>
      <c r="V14" s="222"/>
      <c r="W14" s="222"/>
      <c r="X14" s="222"/>
      <c r="Y14" s="222"/>
      <c r="Z14" s="222"/>
      <c r="AA14" s="222"/>
      <c r="AB14" s="222"/>
    </row>
    <row r="15" spans="1:28" ht="18.75" x14ac:dyDescent="0.3">
      <c r="A15" s="22" t="s">
        <v>47</v>
      </c>
      <c r="B15" s="22"/>
      <c r="C15" s="22"/>
      <c r="D15" s="22"/>
      <c r="E15" s="22"/>
      <c r="F15" s="22"/>
      <c r="G15" s="22"/>
      <c r="H15" s="22"/>
      <c r="I15" s="259"/>
      <c r="J15" s="259"/>
      <c r="K15" s="259"/>
      <c r="L15" s="252"/>
      <c r="M15" s="222"/>
      <c r="N15" s="222"/>
      <c r="O15" s="222"/>
      <c r="P15" s="222"/>
      <c r="Q15" s="222"/>
      <c r="R15" s="222"/>
      <c r="S15" s="222"/>
      <c r="T15" s="222"/>
      <c r="U15" s="222"/>
      <c r="V15" s="222"/>
      <c r="W15" s="222"/>
      <c r="X15" s="222"/>
      <c r="Y15" s="222"/>
      <c r="Z15" s="222"/>
      <c r="AA15" s="222"/>
      <c r="AB15" s="222"/>
    </row>
    <row r="16" spans="1:28" ht="18.75" x14ac:dyDescent="0.3">
      <c r="A16" s="90" t="s">
        <v>23</v>
      </c>
      <c r="B16" s="90"/>
      <c r="C16" s="90"/>
      <c r="D16" s="90">
        <v>1750</v>
      </c>
      <c r="E16" s="90"/>
      <c r="F16" s="90">
        <v>2125</v>
      </c>
      <c r="G16" s="90"/>
      <c r="H16" s="260">
        <v>2125</v>
      </c>
      <c r="I16" s="259"/>
      <c r="J16" s="259"/>
      <c r="K16" s="259"/>
      <c r="L16" s="252"/>
      <c r="M16" s="222"/>
      <c r="N16" s="222"/>
      <c r="O16" s="222"/>
      <c r="P16" s="222"/>
      <c r="Q16" s="222"/>
      <c r="R16" s="222"/>
      <c r="S16" s="222"/>
      <c r="T16" s="222"/>
      <c r="U16" s="222"/>
      <c r="V16" s="222"/>
      <c r="W16" s="222"/>
      <c r="X16" s="222"/>
      <c r="Y16" s="222"/>
      <c r="Z16" s="222"/>
      <c r="AA16" s="222"/>
      <c r="AB16" s="222"/>
    </row>
    <row r="17" spans="1:28" ht="18.75" x14ac:dyDescent="0.3">
      <c r="A17" s="90" t="s">
        <v>24</v>
      </c>
      <c r="B17" s="280">
        <v>0.6</v>
      </c>
      <c r="C17" s="90"/>
      <c r="D17" s="261">
        <v>0.65</v>
      </c>
      <c r="E17" s="261"/>
      <c r="F17" s="261">
        <v>0.7</v>
      </c>
      <c r="G17" s="261"/>
      <c r="H17" s="90"/>
      <c r="I17" s="259"/>
      <c r="J17" s="259"/>
      <c r="K17" s="259"/>
      <c r="L17" s="252"/>
      <c r="M17" s="222"/>
      <c r="N17" s="222"/>
      <c r="O17" s="222"/>
      <c r="P17" s="222"/>
      <c r="Q17" s="222"/>
      <c r="R17" s="222"/>
      <c r="S17" s="222"/>
      <c r="T17" s="222"/>
      <c r="U17" s="222"/>
      <c r="V17" s="222"/>
      <c r="W17" s="222"/>
      <c r="X17" s="222"/>
      <c r="Y17" s="222"/>
      <c r="Z17" s="222"/>
      <c r="AA17" s="222"/>
      <c r="AB17" s="222"/>
    </row>
    <row r="18" spans="1:28" ht="37.5" x14ac:dyDescent="0.3">
      <c r="A18" s="262" t="s">
        <v>301</v>
      </c>
      <c r="B18" s="90">
        <v>13</v>
      </c>
      <c r="C18" s="90"/>
      <c r="D18" s="246">
        <v>14</v>
      </c>
      <c r="E18" s="246"/>
      <c r="F18" s="90">
        <v>0</v>
      </c>
      <c r="G18" s="246"/>
      <c r="H18" s="56"/>
      <c r="I18" s="259"/>
      <c r="J18" s="259"/>
      <c r="K18" s="259"/>
      <c r="L18" s="252"/>
      <c r="M18" s="222"/>
      <c r="N18" s="222"/>
      <c r="O18" s="222"/>
      <c r="P18" s="222"/>
      <c r="Q18" s="222"/>
      <c r="R18" s="222"/>
      <c r="S18" s="222"/>
      <c r="T18" s="222"/>
      <c r="U18" s="222"/>
      <c r="V18" s="222"/>
      <c r="W18" s="222"/>
      <c r="X18" s="222"/>
      <c r="Y18" s="222"/>
      <c r="Z18" s="222"/>
      <c r="AA18" s="222"/>
      <c r="AB18" s="222"/>
    </row>
    <row r="19" spans="1:28" ht="18.75" x14ac:dyDescent="0.3">
      <c r="A19" s="260" t="s">
        <v>292</v>
      </c>
      <c r="B19" s="260">
        <v>26</v>
      </c>
      <c r="C19" s="260"/>
      <c r="D19" s="460">
        <v>26</v>
      </c>
      <c r="E19" s="460"/>
      <c r="F19" s="260">
        <v>26</v>
      </c>
      <c r="G19" s="246"/>
      <c r="H19" s="56"/>
      <c r="I19" s="259"/>
      <c r="J19" s="259"/>
      <c r="K19" s="259"/>
      <c r="L19" s="252"/>
      <c r="M19" s="222"/>
      <c r="N19" s="222"/>
      <c r="O19" s="222"/>
      <c r="P19" s="222"/>
      <c r="Q19" s="222"/>
      <c r="R19" s="222"/>
      <c r="S19" s="222"/>
      <c r="T19" s="222"/>
      <c r="U19" s="222"/>
      <c r="V19" s="222"/>
      <c r="W19" s="222"/>
      <c r="X19" s="222"/>
      <c r="Y19" s="222"/>
      <c r="Z19" s="222"/>
      <c r="AA19" s="222"/>
      <c r="AB19" s="222"/>
    </row>
    <row r="20" spans="1:28" ht="18.75" x14ac:dyDescent="0.3">
      <c r="A20" s="263" t="s">
        <v>293</v>
      </c>
      <c r="B20" s="253">
        <f>B19-B18</f>
        <v>13</v>
      </c>
      <c r="C20" s="253"/>
      <c r="D20" s="253">
        <f>D19-D18</f>
        <v>12</v>
      </c>
      <c r="E20" s="253"/>
      <c r="F20" s="253">
        <f>F19-F18</f>
        <v>26</v>
      </c>
      <c r="G20" s="264"/>
      <c r="H20" s="265"/>
      <c r="I20" s="259"/>
      <c r="J20" s="259"/>
      <c r="K20" s="259"/>
      <c r="L20" s="252"/>
      <c r="M20" s="222"/>
      <c r="N20" s="222"/>
      <c r="O20" s="222"/>
      <c r="P20" s="222"/>
      <c r="Q20" s="222"/>
      <c r="R20" s="222"/>
      <c r="S20" s="222"/>
      <c r="T20" s="222"/>
      <c r="U20" s="222"/>
      <c r="V20" s="222"/>
      <c r="W20" s="222"/>
      <c r="X20" s="222"/>
      <c r="Y20" s="222"/>
      <c r="Z20" s="222"/>
      <c r="AA20" s="222"/>
      <c r="AB20" s="222"/>
    </row>
    <row r="21" spans="1:28" ht="18.75" x14ac:dyDescent="0.3">
      <c r="A21" s="250" t="s">
        <v>9</v>
      </c>
      <c r="B21" s="250"/>
      <c r="C21" s="250"/>
      <c r="D21" s="250"/>
      <c r="E21" s="250"/>
      <c r="F21" s="250"/>
      <c r="G21" s="250"/>
      <c r="H21" s="250"/>
      <c r="I21" s="251"/>
      <c r="J21" s="251"/>
      <c r="K21" s="251"/>
      <c r="L21" s="222"/>
      <c r="M21" s="222"/>
      <c r="N21" s="222"/>
      <c r="O21" s="222"/>
      <c r="P21" s="222"/>
      <c r="Q21" s="222"/>
      <c r="R21" s="222"/>
      <c r="S21" s="222"/>
      <c r="T21" s="222"/>
      <c r="U21" s="222"/>
      <c r="V21" s="222"/>
      <c r="W21" s="222"/>
      <c r="X21" s="222"/>
      <c r="Y21" s="222"/>
      <c r="Z21" s="222"/>
      <c r="AA21" s="222"/>
      <c r="AB21" s="222"/>
    </row>
    <row r="22" spans="1:28" ht="18.75" x14ac:dyDescent="0.3">
      <c r="A22" s="90" t="s">
        <v>60</v>
      </c>
      <c r="B22" s="90">
        <v>4970</v>
      </c>
      <c r="C22" s="90"/>
      <c r="D22" s="255">
        <v>5325</v>
      </c>
      <c r="E22" s="255"/>
      <c r="F22" s="54">
        <v>5680</v>
      </c>
      <c r="G22" s="54"/>
      <c r="H22" s="54">
        <f>F22</f>
        <v>5680</v>
      </c>
      <c r="I22" s="90"/>
      <c r="J22" s="251"/>
      <c r="K22" s="251"/>
      <c r="L22" s="222"/>
      <c r="M22" s="222"/>
      <c r="N22" s="222"/>
      <c r="O22" s="222"/>
      <c r="P22" s="222"/>
      <c r="Q22" s="222"/>
      <c r="R22" s="222"/>
      <c r="S22" s="222"/>
      <c r="T22" s="222"/>
      <c r="U22" s="222"/>
      <c r="V22" s="222"/>
      <c r="W22" s="222"/>
      <c r="X22" s="222"/>
      <c r="Y22" s="222"/>
      <c r="Z22" s="222"/>
      <c r="AA22" s="222"/>
      <c r="AB22" s="222"/>
    </row>
    <row r="23" spans="1:28" ht="37.5" x14ac:dyDescent="0.3">
      <c r="A23" s="56" t="s">
        <v>31</v>
      </c>
      <c r="B23" s="56">
        <v>4473</v>
      </c>
      <c r="C23" s="56"/>
      <c r="D23" s="56">
        <v>4790</v>
      </c>
      <c r="E23" s="56"/>
      <c r="F23" s="54">
        <v>5110</v>
      </c>
      <c r="G23" s="54"/>
      <c r="H23" s="266">
        <f>F23/2</f>
        <v>2555</v>
      </c>
      <c r="I23" s="251"/>
      <c r="J23" s="251"/>
      <c r="K23" s="251"/>
      <c r="L23" s="222"/>
      <c r="M23" s="222"/>
      <c r="N23" s="222"/>
      <c r="O23" s="222"/>
      <c r="P23" s="222"/>
      <c r="Q23" s="222"/>
      <c r="R23" s="222"/>
      <c r="S23" s="222"/>
      <c r="T23" s="222"/>
      <c r="U23" s="222"/>
      <c r="V23" s="222"/>
      <c r="W23" s="222"/>
      <c r="X23" s="222"/>
      <c r="Y23" s="222"/>
      <c r="Z23" s="222"/>
      <c r="AA23" s="222"/>
      <c r="AB23" s="222"/>
    </row>
    <row r="24" spans="1:28" ht="18.75" x14ac:dyDescent="0.3">
      <c r="A24" s="90" t="s">
        <v>1</v>
      </c>
      <c r="B24" s="90"/>
      <c r="C24" s="90"/>
      <c r="D24" s="255"/>
      <c r="E24" s="255"/>
      <c r="F24" s="54"/>
      <c r="G24" s="54"/>
      <c r="H24" s="90"/>
      <c r="I24" s="251"/>
      <c r="J24" s="251"/>
      <c r="K24" s="251"/>
      <c r="L24" s="222"/>
      <c r="M24" s="222"/>
      <c r="N24" s="222"/>
      <c r="O24" s="222"/>
      <c r="P24" s="222"/>
      <c r="Q24" s="222"/>
      <c r="R24" s="222"/>
      <c r="S24" s="222"/>
      <c r="T24" s="222"/>
      <c r="U24" s="222"/>
      <c r="V24" s="222"/>
      <c r="W24" s="222"/>
      <c r="X24" s="222"/>
      <c r="Y24" s="222"/>
      <c r="Z24" s="222"/>
      <c r="AA24" s="222"/>
      <c r="AB24" s="222"/>
    </row>
    <row r="25" spans="1:28" ht="18.75" x14ac:dyDescent="0.3">
      <c r="A25" s="56" t="s">
        <v>36</v>
      </c>
      <c r="B25" s="56"/>
      <c r="C25" s="56"/>
      <c r="D25" s="246"/>
      <c r="E25" s="246"/>
      <c r="F25" s="54"/>
      <c r="G25" s="54"/>
      <c r="H25" s="56"/>
      <c r="I25" s="251"/>
      <c r="J25" s="251"/>
      <c r="K25" s="251"/>
      <c r="L25" s="222"/>
      <c r="M25" s="222"/>
      <c r="N25" s="222"/>
      <c r="O25" s="222"/>
      <c r="P25" s="222"/>
      <c r="Q25" s="222"/>
      <c r="R25" s="222"/>
      <c r="S25" s="222"/>
      <c r="T25" s="222"/>
      <c r="U25" s="222"/>
      <c r="V25" s="222"/>
      <c r="W25" s="222"/>
      <c r="X25" s="222"/>
      <c r="Y25" s="222"/>
      <c r="Z25" s="222"/>
      <c r="AA25" s="222"/>
      <c r="AB25" s="222"/>
    </row>
    <row r="26" spans="1:28" ht="18.75" x14ac:dyDescent="0.3">
      <c r="A26" s="90" t="s">
        <v>291</v>
      </c>
      <c r="B26" s="90">
        <v>26</v>
      </c>
      <c r="C26" s="90"/>
      <c r="D26" s="246">
        <v>26</v>
      </c>
      <c r="E26" s="246"/>
      <c r="F26" s="90">
        <v>26</v>
      </c>
      <c r="G26" s="246"/>
      <c r="H26" s="56"/>
      <c r="I26" s="267" t="s">
        <v>287</v>
      </c>
      <c r="J26" s="251">
        <f>B22/B26</f>
        <v>191.15384615384616</v>
      </c>
      <c r="K26" s="251">
        <v>2018</v>
      </c>
      <c r="L26" s="222"/>
      <c r="M26" s="222"/>
      <c r="N26" s="222"/>
      <c r="O26" s="222"/>
      <c r="P26" s="222"/>
      <c r="Q26" s="222"/>
      <c r="R26" s="222"/>
      <c r="S26" s="222"/>
      <c r="T26" s="222"/>
      <c r="U26" s="222"/>
      <c r="V26" s="222"/>
      <c r="W26" s="222"/>
      <c r="X26" s="222"/>
      <c r="Y26" s="222"/>
      <c r="Z26" s="222"/>
      <c r="AA26" s="222"/>
      <c r="AB26" s="222"/>
    </row>
    <row r="27" spans="1:28" ht="18.75" x14ac:dyDescent="0.3">
      <c r="A27" s="260" t="s">
        <v>292</v>
      </c>
      <c r="B27" s="318">
        <f>B22/150</f>
        <v>33.133333333333333</v>
      </c>
      <c r="C27" s="260"/>
      <c r="D27" s="461">
        <f>D22/150</f>
        <v>35.5</v>
      </c>
      <c r="E27" s="460"/>
      <c r="F27" s="318">
        <f>F22/150</f>
        <v>37.866666666666667</v>
      </c>
      <c r="G27" s="246"/>
      <c r="H27" s="56"/>
      <c r="I27" s="246"/>
      <c r="J27" s="251">
        <f>D22/D26</f>
        <v>204.80769230769232</v>
      </c>
      <c r="K27" s="251">
        <v>2019</v>
      </c>
      <c r="L27" s="222"/>
      <c r="M27" s="222"/>
      <c r="N27" s="222"/>
      <c r="O27" s="222"/>
      <c r="P27" s="222"/>
      <c r="Q27" s="222"/>
      <c r="R27" s="222"/>
      <c r="S27" s="222"/>
      <c r="T27" s="222"/>
      <c r="U27" s="222"/>
      <c r="V27" s="222"/>
      <c r="W27" s="222"/>
      <c r="X27" s="222"/>
      <c r="Y27" s="222"/>
      <c r="Z27" s="222"/>
      <c r="AA27" s="222"/>
      <c r="AB27" s="222"/>
    </row>
    <row r="28" spans="1:28" ht="18.75" x14ac:dyDescent="0.3">
      <c r="A28" s="90" t="s">
        <v>293</v>
      </c>
      <c r="B28" s="54">
        <f>B27-B26</f>
        <v>7.1333333333333329</v>
      </c>
      <c r="C28" s="54"/>
      <c r="D28" s="54">
        <f>D27-D26</f>
        <v>9.5</v>
      </c>
      <c r="E28" s="54"/>
      <c r="F28" s="54">
        <f>F27-F26</f>
        <v>11.866666666666667</v>
      </c>
      <c r="G28" s="246"/>
      <c r="H28" s="56"/>
      <c r="I28" s="246"/>
      <c r="J28" s="251">
        <f>F22/F26</f>
        <v>218.46153846153845</v>
      </c>
      <c r="K28" s="251">
        <v>2020</v>
      </c>
      <c r="L28" s="222"/>
      <c r="M28" s="222"/>
      <c r="N28" s="222"/>
      <c r="O28" s="222"/>
      <c r="P28" s="222"/>
      <c r="Q28" s="222"/>
      <c r="R28" s="222"/>
      <c r="S28" s="222"/>
      <c r="T28" s="222"/>
      <c r="U28" s="222"/>
      <c r="V28" s="222"/>
      <c r="W28" s="222"/>
      <c r="X28" s="222"/>
      <c r="Y28" s="222"/>
      <c r="Z28" s="222"/>
      <c r="AA28" s="222"/>
      <c r="AB28" s="222"/>
    </row>
    <row r="29" spans="1:28" ht="18.75" x14ac:dyDescent="0.3">
      <c r="A29" s="90" t="s">
        <v>544</v>
      </c>
      <c r="B29" s="54">
        <v>5</v>
      </c>
      <c r="C29" s="54"/>
      <c r="D29" s="54">
        <v>5</v>
      </c>
      <c r="E29" s="54"/>
      <c r="F29" s="54">
        <v>5</v>
      </c>
      <c r="G29" s="246"/>
      <c r="H29" s="56"/>
      <c r="I29" s="246"/>
      <c r="J29" s="251"/>
      <c r="K29" s="251"/>
      <c r="L29" s="222"/>
      <c r="M29" s="222"/>
      <c r="N29" s="222"/>
      <c r="O29" s="222"/>
      <c r="P29" s="222"/>
      <c r="Q29" s="222"/>
      <c r="R29" s="222"/>
      <c r="S29" s="222"/>
      <c r="T29" s="222"/>
      <c r="U29" s="222"/>
      <c r="V29" s="222"/>
      <c r="W29" s="222"/>
      <c r="X29" s="222"/>
      <c r="Y29" s="222"/>
      <c r="Z29" s="222"/>
      <c r="AA29" s="222"/>
      <c r="AB29" s="222"/>
    </row>
    <row r="30" spans="1:28" ht="112.5" x14ac:dyDescent="0.3">
      <c r="A30" s="90" t="s">
        <v>294</v>
      </c>
      <c r="B30" s="54">
        <f>B27*15%</f>
        <v>4.97</v>
      </c>
      <c r="C30" s="54"/>
      <c r="D30" s="54">
        <f>D27*15%</f>
        <v>5.3250000000000002</v>
      </c>
      <c r="E30" s="54"/>
      <c r="F30" s="54">
        <f>F27*15%</f>
        <v>5.68</v>
      </c>
      <c r="G30" s="246"/>
      <c r="H30" s="56"/>
      <c r="I30" s="246" t="s">
        <v>299</v>
      </c>
      <c r="J30" s="251"/>
      <c r="K30" s="251"/>
      <c r="L30" s="222"/>
      <c r="M30" s="222"/>
      <c r="N30" s="222"/>
      <c r="O30" s="222"/>
      <c r="P30" s="222"/>
      <c r="Q30" s="222"/>
      <c r="R30" s="222"/>
      <c r="S30" s="222"/>
      <c r="T30" s="222"/>
      <c r="U30" s="222"/>
      <c r="V30" s="222"/>
      <c r="W30" s="222"/>
      <c r="X30" s="222"/>
      <c r="Y30" s="222"/>
      <c r="Z30" s="222"/>
      <c r="AA30" s="222"/>
      <c r="AB30" s="222"/>
    </row>
    <row r="31" spans="1:28" ht="18.75" x14ac:dyDescent="0.3">
      <c r="A31" s="250" t="s">
        <v>13</v>
      </c>
      <c r="B31" s="250"/>
      <c r="C31" s="250"/>
      <c r="D31" s="250"/>
      <c r="E31" s="250"/>
      <c r="F31" s="250"/>
      <c r="G31" s="250"/>
      <c r="H31" s="250"/>
      <c r="I31" s="251"/>
      <c r="J31" s="251"/>
      <c r="K31" s="251"/>
      <c r="L31" s="222"/>
      <c r="M31" s="222"/>
      <c r="N31" s="222"/>
      <c r="O31" s="222"/>
      <c r="P31" s="222"/>
      <c r="Q31" s="222"/>
      <c r="R31" s="222"/>
      <c r="S31" s="222"/>
      <c r="T31" s="222"/>
      <c r="U31" s="222"/>
      <c r="V31" s="222"/>
      <c r="W31" s="222"/>
      <c r="X31" s="222"/>
      <c r="Y31" s="222"/>
      <c r="Z31" s="222"/>
      <c r="AA31" s="222"/>
      <c r="AB31" s="222"/>
    </row>
    <row r="32" spans="1:28" ht="18.75" x14ac:dyDescent="0.3">
      <c r="A32" s="268" t="s">
        <v>60</v>
      </c>
      <c r="B32" s="319">
        <v>6414</v>
      </c>
      <c r="C32" s="255"/>
      <c r="D32" s="255">
        <v>9260</v>
      </c>
      <c r="E32" s="255"/>
      <c r="F32" s="54">
        <v>10940</v>
      </c>
      <c r="G32" s="54"/>
      <c r="H32" s="269">
        <f>F32</f>
        <v>10940</v>
      </c>
      <c r="I32" s="90"/>
      <c r="J32" s="251"/>
      <c r="K32" s="251"/>
      <c r="L32" s="222"/>
      <c r="M32" s="222"/>
      <c r="N32" s="222"/>
      <c r="O32" s="222"/>
      <c r="P32" s="222"/>
      <c r="Q32" s="222"/>
      <c r="R32" s="222"/>
      <c r="S32" s="222"/>
      <c r="T32" s="222"/>
      <c r="U32" s="222"/>
      <c r="V32" s="222"/>
      <c r="W32" s="222"/>
      <c r="X32" s="222"/>
      <c r="Y32" s="222"/>
      <c r="Z32" s="222"/>
      <c r="AA32" s="222"/>
      <c r="AB32" s="222"/>
    </row>
    <row r="33" spans="1:28" ht="37.5" x14ac:dyDescent="0.3">
      <c r="A33" s="56" t="s">
        <v>31</v>
      </c>
      <c r="B33" s="317">
        <v>6000</v>
      </c>
      <c r="C33" s="56"/>
      <c r="D33" s="246">
        <v>8330</v>
      </c>
      <c r="E33" s="246"/>
      <c r="F33" s="260">
        <v>9840</v>
      </c>
      <c r="G33" s="90"/>
      <c r="H33" s="56">
        <f>F33/2</f>
        <v>4920</v>
      </c>
      <c r="I33" s="251"/>
      <c r="J33" s="251"/>
      <c r="K33" s="251"/>
      <c r="L33" s="222"/>
      <c r="M33" s="222"/>
      <c r="N33" s="222"/>
      <c r="O33" s="222"/>
      <c r="P33" s="222"/>
      <c r="Q33" s="222"/>
      <c r="R33" s="222"/>
      <c r="S33" s="222"/>
      <c r="T33" s="222"/>
      <c r="U33" s="222"/>
      <c r="V33" s="222"/>
      <c r="W33" s="222"/>
      <c r="X33" s="222"/>
      <c r="Y33" s="222"/>
      <c r="Z33" s="222"/>
      <c r="AA33" s="222"/>
      <c r="AB33" s="222"/>
    </row>
    <row r="34" spans="1:28" ht="18.75" x14ac:dyDescent="0.3">
      <c r="A34" s="90" t="s">
        <v>1</v>
      </c>
      <c r="B34" s="90"/>
      <c r="C34" s="90"/>
      <c r="D34" s="255"/>
      <c r="E34" s="255"/>
      <c r="F34" s="54"/>
      <c r="G34" s="54"/>
      <c r="H34" s="90"/>
      <c r="I34" s="251"/>
      <c r="J34" s="251"/>
      <c r="K34" s="251"/>
      <c r="L34" s="222"/>
      <c r="M34" s="222"/>
      <c r="N34" s="222"/>
      <c r="O34" s="222"/>
      <c r="P34" s="222"/>
      <c r="Q34" s="222"/>
      <c r="R34" s="222"/>
      <c r="S34" s="222"/>
      <c r="T34" s="222"/>
      <c r="U34" s="222"/>
      <c r="V34" s="222"/>
      <c r="W34" s="222"/>
      <c r="X34" s="222"/>
      <c r="Y34" s="222"/>
      <c r="Z34" s="222"/>
      <c r="AA34" s="222"/>
      <c r="AB34" s="222"/>
    </row>
    <row r="35" spans="1:28" ht="18.75" x14ac:dyDescent="0.3">
      <c r="A35" s="56" t="s">
        <v>36</v>
      </c>
      <c r="B35" s="56"/>
      <c r="C35" s="56"/>
      <c r="D35" s="246"/>
      <c r="E35" s="246"/>
      <c r="F35" s="54"/>
      <c r="G35" s="54"/>
      <c r="H35" s="56"/>
      <c r="I35" s="251"/>
      <c r="J35" s="251"/>
      <c r="K35" s="251"/>
      <c r="L35" s="222"/>
      <c r="M35" s="222"/>
      <c r="N35" s="222"/>
      <c r="O35" s="222"/>
      <c r="P35" s="222"/>
      <c r="Q35" s="222"/>
      <c r="R35" s="222"/>
      <c r="S35" s="222"/>
      <c r="T35" s="222"/>
      <c r="U35" s="222"/>
      <c r="V35" s="222"/>
      <c r="W35" s="222"/>
      <c r="X35" s="222"/>
      <c r="Y35" s="222"/>
      <c r="Z35" s="222"/>
      <c r="AA35" s="222"/>
      <c r="AB35" s="222"/>
    </row>
    <row r="36" spans="1:28" ht="18.75" x14ac:dyDescent="0.3">
      <c r="A36" s="90" t="s">
        <v>291</v>
      </c>
      <c r="B36" s="90">
        <v>47</v>
      </c>
      <c r="C36" s="90"/>
      <c r="D36" s="246">
        <v>47</v>
      </c>
      <c r="E36" s="246"/>
      <c r="F36" s="90">
        <v>47</v>
      </c>
      <c r="G36" s="246"/>
      <c r="H36" s="56"/>
      <c r="I36" s="246"/>
      <c r="J36" s="251">
        <f>B32/B36</f>
        <v>136.46808510638297</v>
      </c>
      <c r="K36" s="251">
        <v>2018</v>
      </c>
      <c r="L36" s="222"/>
      <c r="M36" s="222"/>
      <c r="N36" s="222"/>
      <c r="O36" s="222"/>
      <c r="P36" s="222"/>
      <c r="Q36" s="222"/>
      <c r="R36" s="222"/>
      <c r="S36" s="222"/>
      <c r="T36" s="222"/>
      <c r="U36" s="222"/>
      <c r="V36" s="222"/>
      <c r="W36" s="222"/>
      <c r="X36" s="222"/>
      <c r="Y36" s="222"/>
      <c r="Z36" s="222"/>
      <c r="AA36" s="222"/>
      <c r="AB36" s="222"/>
    </row>
    <row r="37" spans="1:28" ht="18.75" x14ac:dyDescent="0.3">
      <c r="A37" s="260" t="s">
        <v>292</v>
      </c>
      <c r="B37" s="318">
        <f>B32/100</f>
        <v>64.14</v>
      </c>
      <c r="C37" s="260"/>
      <c r="D37" s="461">
        <f>D32/100</f>
        <v>92.6</v>
      </c>
      <c r="E37" s="460"/>
      <c r="F37" s="318">
        <f>F32/100</f>
        <v>109.4</v>
      </c>
      <c r="G37" s="246"/>
      <c r="H37" s="56"/>
      <c r="I37" s="257" t="s">
        <v>288</v>
      </c>
      <c r="J37" s="251">
        <f>D32/D36</f>
        <v>197.02127659574469</v>
      </c>
      <c r="K37" s="251">
        <v>2019</v>
      </c>
      <c r="L37" s="222"/>
      <c r="M37" s="222"/>
      <c r="N37" s="222"/>
      <c r="O37" s="222"/>
      <c r="P37" s="222"/>
      <c r="Q37" s="222"/>
      <c r="R37" s="222"/>
      <c r="S37" s="222"/>
      <c r="T37" s="222"/>
      <c r="U37" s="222"/>
      <c r="V37" s="222"/>
      <c r="W37" s="222"/>
      <c r="X37" s="222"/>
      <c r="Y37" s="222"/>
      <c r="Z37" s="222"/>
      <c r="AA37" s="222"/>
      <c r="AB37" s="222"/>
    </row>
    <row r="38" spans="1:28" ht="18.75" x14ac:dyDescent="0.3">
      <c r="A38" s="90" t="s">
        <v>293</v>
      </c>
      <c r="B38" s="54">
        <f>B37-B36</f>
        <v>17.14</v>
      </c>
      <c r="C38" s="54"/>
      <c r="D38" s="54">
        <f>D37-D36</f>
        <v>45.599999999999994</v>
      </c>
      <c r="E38" s="54"/>
      <c r="F38" s="54">
        <f>F37-F36</f>
        <v>62.400000000000006</v>
      </c>
      <c r="G38" s="246"/>
      <c r="H38" s="56"/>
      <c r="I38" s="246"/>
      <c r="J38" s="251">
        <f>F32/F36</f>
        <v>232.7659574468085</v>
      </c>
      <c r="K38" s="251">
        <v>2020</v>
      </c>
      <c r="L38" s="222"/>
      <c r="M38" s="222"/>
      <c r="N38" s="222"/>
      <c r="O38" s="222"/>
      <c r="P38" s="222"/>
      <c r="Q38" s="222"/>
      <c r="R38" s="222"/>
      <c r="S38" s="222"/>
      <c r="T38" s="222"/>
      <c r="U38" s="222"/>
      <c r="V38" s="222"/>
      <c r="W38" s="222"/>
      <c r="X38" s="222"/>
      <c r="Y38" s="222"/>
      <c r="Z38" s="222"/>
      <c r="AA38" s="222"/>
      <c r="AB38" s="222"/>
    </row>
    <row r="39" spans="1:28" ht="18.75" x14ac:dyDescent="0.3">
      <c r="A39" s="90" t="s">
        <v>544</v>
      </c>
      <c r="B39" s="54">
        <v>10</v>
      </c>
      <c r="C39" s="54"/>
      <c r="D39" s="54">
        <v>10</v>
      </c>
      <c r="E39" s="54"/>
      <c r="F39" s="54">
        <v>10</v>
      </c>
      <c r="G39" s="246"/>
      <c r="H39" s="56"/>
      <c r="I39" s="246"/>
      <c r="J39" s="251"/>
      <c r="K39" s="251"/>
      <c r="L39" s="222"/>
      <c r="M39" s="222"/>
      <c r="N39" s="222"/>
      <c r="O39" s="222"/>
      <c r="P39" s="222"/>
      <c r="Q39" s="222"/>
      <c r="R39" s="222"/>
      <c r="S39" s="222"/>
      <c r="T39" s="222"/>
      <c r="U39" s="222"/>
      <c r="V39" s="222"/>
      <c r="W39" s="222"/>
      <c r="X39" s="222"/>
      <c r="Y39" s="222"/>
      <c r="Z39" s="222"/>
      <c r="AA39" s="222"/>
      <c r="AB39" s="222"/>
    </row>
    <row r="40" spans="1:28" ht="112.5" x14ac:dyDescent="0.3">
      <c r="A40" s="90" t="s">
        <v>294</v>
      </c>
      <c r="B40" s="54">
        <f>B37*15%</f>
        <v>9.6210000000000004</v>
      </c>
      <c r="C40" s="54"/>
      <c r="D40" s="54">
        <f>D37*15%</f>
        <v>13.889999999999999</v>
      </c>
      <c r="E40" s="54"/>
      <c r="F40" s="54">
        <f>F37*15%</f>
        <v>16.41</v>
      </c>
      <c r="G40" s="246"/>
      <c r="H40" s="56"/>
      <c r="I40" s="246" t="s">
        <v>299</v>
      </c>
      <c r="J40" s="251"/>
      <c r="K40" s="251"/>
      <c r="L40" s="222"/>
      <c r="M40" s="222"/>
      <c r="N40" s="222"/>
      <c r="O40" s="222"/>
      <c r="P40" s="222"/>
      <c r="Q40" s="222"/>
      <c r="R40" s="222"/>
      <c r="S40" s="222"/>
      <c r="T40" s="222"/>
      <c r="U40" s="222"/>
      <c r="V40" s="222"/>
      <c r="W40" s="222"/>
      <c r="X40" s="222"/>
      <c r="Y40" s="222"/>
      <c r="Z40" s="222"/>
      <c r="AA40" s="222"/>
      <c r="AB40" s="222"/>
    </row>
    <row r="41" spans="1:28" ht="18.75" x14ac:dyDescent="0.3">
      <c r="A41" s="263" t="s">
        <v>293</v>
      </c>
      <c r="B41" s="475"/>
      <c r="C41" s="475"/>
      <c r="D41" s="475">
        <f>D40-D39</f>
        <v>3.8899999999999988</v>
      </c>
      <c r="E41" s="475"/>
      <c r="F41" s="475">
        <f>F40-F39</f>
        <v>6.41</v>
      </c>
      <c r="G41" s="475"/>
      <c r="H41" s="476"/>
      <c r="I41" s="477"/>
      <c r="J41" s="478"/>
      <c r="K41" s="478"/>
      <c r="L41" s="222"/>
      <c r="M41" s="222"/>
      <c r="N41" s="222"/>
      <c r="O41" s="222"/>
      <c r="P41" s="222"/>
      <c r="Q41" s="222"/>
      <c r="R41" s="222"/>
      <c r="S41" s="222"/>
      <c r="T41" s="222"/>
      <c r="U41" s="222"/>
      <c r="V41" s="222"/>
      <c r="W41" s="222"/>
      <c r="X41" s="222"/>
      <c r="Y41" s="222"/>
      <c r="Z41" s="222"/>
      <c r="AA41" s="222"/>
      <c r="AB41" s="222"/>
    </row>
    <row r="42" spans="1:28" ht="21" x14ac:dyDescent="0.35">
      <c r="A42" s="254" t="s">
        <v>14</v>
      </c>
      <c r="B42" s="254"/>
      <c r="C42" s="254"/>
      <c r="D42" s="254"/>
      <c r="E42" s="254"/>
      <c r="F42" s="254"/>
      <c r="G42" s="254"/>
      <c r="H42" s="254"/>
      <c r="I42" s="270"/>
      <c r="J42" s="270"/>
      <c r="K42" s="270"/>
      <c r="L42" s="222"/>
      <c r="M42" s="222"/>
      <c r="N42" s="222"/>
      <c r="O42" s="222"/>
      <c r="P42" s="222"/>
      <c r="Q42" s="222"/>
      <c r="R42" s="222"/>
      <c r="S42" s="222"/>
      <c r="T42" s="222"/>
      <c r="U42" s="222"/>
      <c r="V42" s="222"/>
      <c r="W42" s="222"/>
      <c r="X42" s="222"/>
      <c r="Y42" s="222"/>
      <c r="Z42" s="222"/>
      <c r="AA42" s="222"/>
      <c r="AB42" s="222"/>
    </row>
    <row r="43" spans="1:28" ht="30" x14ac:dyDescent="0.25">
      <c r="A43" s="271" t="s">
        <v>52</v>
      </c>
      <c r="B43" s="271">
        <v>1600</v>
      </c>
      <c r="C43" s="271"/>
      <c r="D43" s="12" t="s">
        <v>179</v>
      </c>
      <c r="E43" s="12"/>
      <c r="F43" s="271"/>
      <c r="G43" s="271"/>
      <c r="H43" s="271"/>
      <c r="I43" s="270"/>
      <c r="J43" s="270"/>
      <c r="K43" s="272">
        <v>84.896125772038189</v>
      </c>
      <c r="L43" s="222"/>
      <c r="M43" s="222"/>
      <c r="N43" s="222"/>
      <c r="O43" s="222"/>
      <c r="P43" s="222"/>
      <c r="Q43" s="222"/>
      <c r="R43" s="222"/>
      <c r="S43" s="222"/>
      <c r="T43" s="222"/>
      <c r="U43" s="222"/>
      <c r="V43" s="222"/>
      <c r="W43" s="222"/>
      <c r="X43" s="222"/>
      <c r="Y43" s="222"/>
      <c r="Z43" s="222"/>
      <c r="AA43" s="222"/>
      <c r="AB43" s="222"/>
    </row>
    <row r="44" spans="1:28" ht="30" x14ac:dyDescent="0.25">
      <c r="A44" s="12" t="s">
        <v>31</v>
      </c>
      <c r="B44" s="12">
        <v>5600</v>
      </c>
      <c r="C44" s="12"/>
      <c r="D44" s="273">
        <v>5950</v>
      </c>
      <c r="E44" s="273"/>
      <c r="F44" s="271">
        <v>6800</v>
      </c>
      <c r="G44" s="271"/>
      <c r="H44" s="271">
        <f>F44/2</f>
        <v>3400</v>
      </c>
      <c r="I44" s="270"/>
      <c r="J44" s="270"/>
      <c r="K44" s="270"/>
      <c r="L44" s="222"/>
      <c r="M44" s="222"/>
      <c r="N44" s="222"/>
      <c r="O44" s="222"/>
      <c r="P44" s="222"/>
      <c r="Q44" s="222"/>
      <c r="R44" s="222"/>
      <c r="S44" s="222"/>
      <c r="T44" s="222"/>
      <c r="U44" s="222"/>
      <c r="V44" s="222"/>
      <c r="W44" s="222"/>
      <c r="X44" s="222"/>
      <c r="Y44" s="222"/>
      <c r="Z44" s="222"/>
      <c r="AA44" s="222"/>
      <c r="AB44" s="222"/>
    </row>
    <row r="45" spans="1:28" x14ac:dyDescent="0.25">
      <c r="A45" s="12" t="s">
        <v>1</v>
      </c>
      <c r="B45" s="12"/>
      <c r="C45" s="12"/>
      <c r="D45" s="273"/>
      <c r="E45" s="273"/>
      <c r="F45" s="271"/>
      <c r="G45" s="271"/>
      <c r="H45" s="271"/>
      <c r="I45" s="270"/>
      <c r="J45" s="270"/>
      <c r="K45" s="270"/>
      <c r="L45" s="222"/>
      <c r="M45" s="222"/>
      <c r="N45" s="222"/>
      <c r="O45" s="222"/>
      <c r="P45" s="222"/>
      <c r="Q45" s="222"/>
      <c r="R45" s="222"/>
      <c r="S45" s="222"/>
      <c r="T45" s="222"/>
      <c r="U45" s="222"/>
      <c r="V45" s="222"/>
      <c r="W45" s="222"/>
      <c r="X45" s="222"/>
      <c r="Y45" s="222"/>
      <c r="Z45" s="222"/>
      <c r="AA45" s="222"/>
      <c r="AB45" s="222"/>
    </row>
    <row r="46" spans="1:28" x14ac:dyDescent="0.25">
      <c r="A46" s="12" t="s">
        <v>36</v>
      </c>
      <c r="B46" s="12"/>
      <c r="C46" s="12"/>
      <c r="D46" s="245"/>
      <c r="E46" s="245"/>
      <c r="F46" s="274"/>
      <c r="G46" s="274"/>
      <c r="H46" s="12"/>
      <c r="I46" s="270"/>
      <c r="J46" s="270"/>
      <c r="K46" s="270"/>
      <c r="L46" s="222"/>
      <c r="M46" s="222"/>
      <c r="N46" s="222"/>
      <c r="O46" s="222"/>
      <c r="P46" s="222"/>
      <c r="Q46" s="222"/>
      <c r="R46" s="222"/>
      <c r="S46" s="222"/>
      <c r="T46" s="222"/>
      <c r="U46" s="222"/>
      <c r="V46" s="222"/>
      <c r="W46" s="222"/>
      <c r="X46" s="222"/>
      <c r="Y46" s="222"/>
      <c r="Z46" s="222"/>
      <c r="AA46" s="222"/>
      <c r="AB46" s="222"/>
    </row>
    <row r="47" spans="1:28" x14ac:dyDescent="0.25">
      <c r="A47" s="275" t="s">
        <v>305</v>
      </c>
      <c r="B47" s="275">
        <v>13</v>
      </c>
      <c r="C47" s="275"/>
      <c r="D47" s="276">
        <v>13</v>
      </c>
      <c r="E47" s="276"/>
      <c r="F47" s="277">
        <v>13</v>
      </c>
      <c r="G47" s="277"/>
      <c r="H47" s="275"/>
      <c r="I47" s="270"/>
      <c r="J47" s="270"/>
      <c r="K47" s="270"/>
      <c r="L47" s="222"/>
      <c r="M47" s="222"/>
      <c r="N47" s="222"/>
      <c r="O47" s="222"/>
      <c r="P47" s="222"/>
      <c r="Q47" s="222"/>
      <c r="R47" s="222"/>
      <c r="S47" s="222"/>
      <c r="T47" s="222"/>
      <c r="U47" s="222"/>
      <c r="V47" s="222"/>
      <c r="W47" s="222"/>
      <c r="X47" s="222"/>
      <c r="Y47" s="222"/>
      <c r="Z47" s="222"/>
      <c r="AA47" s="222"/>
      <c r="AB47" s="222"/>
    </row>
    <row r="48" spans="1:28" ht="18.75" x14ac:dyDescent="0.3">
      <c r="A48" s="22" t="s">
        <v>45</v>
      </c>
      <c r="B48" s="22"/>
      <c r="C48" s="22"/>
      <c r="D48" s="22"/>
      <c r="E48" s="22"/>
      <c r="F48" s="22"/>
      <c r="G48" s="22"/>
      <c r="H48" s="22"/>
      <c r="I48" s="251"/>
      <c r="J48" s="251"/>
      <c r="K48" s="251"/>
      <c r="L48" s="222"/>
      <c r="M48" s="222"/>
      <c r="N48" s="222"/>
      <c r="O48" s="222"/>
      <c r="P48" s="222"/>
      <c r="Q48" s="222"/>
      <c r="R48" s="222"/>
      <c r="S48" s="222"/>
      <c r="T48" s="222"/>
      <c r="U48" s="222"/>
      <c r="V48" s="222"/>
      <c r="W48" s="222"/>
      <c r="X48" s="222"/>
      <c r="Y48" s="222"/>
      <c r="Z48" s="222"/>
      <c r="AA48" s="222"/>
      <c r="AB48" s="222"/>
    </row>
    <row r="49" spans="1:29" ht="37.5" x14ac:dyDescent="0.3">
      <c r="A49" s="90" t="s">
        <v>46</v>
      </c>
      <c r="B49" s="90"/>
      <c r="C49" s="90"/>
      <c r="D49" s="246" t="s">
        <v>21</v>
      </c>
      <c r="E49" s="246"/>
      <c r="F49" s="90"/>
      <c r="G49" s="90"/>
      <c r="H49" s="246" t="s">
        <v>183</v>
      </c>
      <c r="I49" s="251"/>
      <c r="J49" s="251"/>
      <c r="K49" s="251"/>
      <c r="L49" s="222"/>
      <c r="M49" s="222"/>
      <c r="N49" s="222"/>
      <c r="O49" s="222"/>
      <c r="P49" s="222"/>
      <c r="Q49" s="222"/>
      <c r="R49" s="222"/>
      <c r="S49" s="222"/>
      <c r="T49" s="222"/>
      <c r="U49" s="222"/>
      <c r="V49" s="222"/>
      <c r="W49" s="222"/>
      <c r="X49" s="222"/>
      <c r="Y49" s="222"/>
      <c r="Z49" s="222"/>
      <c r="AA49" s="222"/>
      <c r="AB49" s="222"/>
    </row>
    <row r="50" spans="1:29" ht="18.75" x14ac:dyDescent="0.3">
      <c r="A50" s="90" t="s">
        <v>22</v>
      </c>
      <c r="B50" s="90">
        <v>4373</v>
      </c>
      <c r="C50" s="90">
        <f>B50*70%</f>
        <v>3061.1</v>
      </c>
      <c r="D50" s="255">
        <v>5873</v>
      </c>
      <c r="E50" s="255">
        <f>D50*70%</f>
        <v>4111.0999999999995</v>
      </c>
      <c r="F50" s="54">
        <v>7587</v>
      </c>
      <c r="G50" s="54">
        <f>F50*70%</f>
        <v>5310.9</v>
      </c>
      <c r="H50" s="54">
        <f>F50</f>
        <v>7587</v>
      </c>
      <c r="I50" s="90"/>
      <c r="J50" s="90"/>
      <c r="K50" s="90"/>
      <c r="L50" s="45"/>
      <c r="M50" s="45"/>
      <c r="N50" s="45"/>
      <c r="O50" s="45"/>
      <c r="P50" s="45"/>
      <c r="Q50" s="45"/>
      <c r="R50" s="45"/>
      <c r="S50" s="45"/>
      <c r="T50" s="45"/>
      <c r="U50" s="45"/>
      <c r="V50" s="45"/>
      <c r="W50" s="45"/>
      <c r="X50" s="45"/>
      <c r="Y50" s="45"/>
      <c r="Z50" s="45"/>
      <c r="AA50" s="45"/>
      <c r="AB50" s="45"/>
    </row>
    <row r="51" spans="1:29" ht="18.75" x14ac:dyDescent="0.3">
      <c r="A51" s="90" t="s">
        <v>268</v>
      </c>
      <c r="B51" s="90"/>
      <c r="C51" s="90"/>
      <c r="D51" s="256">
        <f>(D50*80%)*180/12*7</f>
        <v>493332.00000000012</v>
      </c>
      <c r="E51" s="256"/>
      <c r="F51" s="256">
        <f>(F50*70%)*180</f>
        <v>955961.99999999988</v>
      </c>
      <c r="G51" s="256"/>
      <c r="H51" s="256">
        <f>(H50*70%)*180/12*6</f>
        <v>477980.99999999988</v>
      </c>
      <c r="I51" s="90"/>
      <c r="J51" s="90"/>
      <c r="K51" s="90"/>
      <c r="L51" s="45"/>
      <c r="M51" s="45"/>
      <c r="N51" s="45"/>
      <c r="O51" s="45"/>
      <c r="P51" s="45"/>
      <c r="Q51" s="45"/>
      <c r="R51" s="45"/>
      <c r="S51" s="45"/>
      <c r="T51" s="45"/>
      <c r="U51" s="45"/>
      <c r="V51" s="45"/>
      <c r="W51" s="45"/>
      <c r="X51" s="45"/>
      <c r="Y51" s="45"/>
      <c r="Z51" s="45"/>
      <c r="AA51" s="45"/>
      <c r="AB51" s="45"/>
    </row>
    <row r="52" spans="1:29" ht="18.75" x14ac:dyDescent="0.3">
      <c r="A52" s="90" t="s">
        <v>291</v>
      </c>
      <c r="B52" s="90"/>
      <c r="C52" s="90">
        <v>31</v>
      </c>
      <c r="D52" s="90"/>
      <c r="E52" s="246">
        <v>31</v>
      </c>
      <c r="F52" s="90"/>
      <c r="G52" s="90">
        <v>31</v>
      </c>
      <c r="H52" s="56"/>
      <c r="I52" s="246"/>
      <c r="J52" s="251">
        <f>C50/C52</f>
        <v>98.745161290322571</v>
      </c>
      <c r="K52" s="251">
        <v>2018</v>
      </c>
      <c r="L52" s="222"/>
      <c r="M52" s="222"/>
      <c r="N52" s="222"/>
      <c r="O52" s="222"/>
      <c r="P52" s="222"/>
      <c r="Q52" s="222"/>
      <c r="R52" s="222"/>
      <c r="S52" s="222"/>
      <c r="T52" s="222"/>
      <c r="U52" s="222"/>
      <c r="V52" s="222"/>
      <c r="W52" s="222"/>
      <c r="X52" s="222"/>
      <c r="Y52" s="222"/>
      <c r="Z52" s="222"/>
      <c r="AA52" s="222"/>
      <c r="AB52" s="222"/>
    </row>
    <row r="53" spans="1:29" ht="18.75" x14ac:dyDescent="0.3">
      <c r="A53" s="260" t="s">
        <v>292</v>
      </c>
      <c r="B53" s="260"/>
      <c r="C53" s="318">
        <f>C50/100</f>
        <v>30.611000000000001</v>
      </c>
      <c r="D53" s="460"/>
      <c r="E53" s="461">
        <f>E50/100</f>
        <v>41.110999999999997</v>
      </c>
      <c r="F53" s="260"/>
      <c r="G53" s="461">
        <f>G50/100</f>
        <v>53.108999999999995</v>
      </c>
      <c r="H53" s="56"/>
      <c r="I53" s="257" t="s">
        <v>288</v>
      </c>
      <c r="J53" s="251">
        <f>E50/E52</f>
        <v>132.61612903225804</v>
      </c>
      <c r="K53" s="251">
        <v>2019</v>
      </c>
      <c r="L53" s="222"/>
      <c r="M53" s="222"/>
      <c r="N53" s="222"/>
      <c r="O53" s="222"/>
      <c r="P53" s="222"/>
      <c r="Q53" s="222"/>
      <c r="R53" s="222"/>
      <c r="S53" s="222"/>
      <c r="T53" s="222"/>
      <c r="U53" s="222"/>
      <c r="V53" s="222"/>
      <c r="W53" s="222"/>
      <c r="X53" s="222"/>
      <c r="Y53" s="222"/>
      <c r="Z53" s="222"/>
      <c r="AA53" s="222"/>
      <c r="AB53" s="222"/>
    </row>
    <row r="54" spans="1:29" ht="18.75" x14ac:dyDescent="0.3">
      <c r="A54" s="90" t="s">
        <v>293</v>
      </c>
      <c r="B54" s="90"/>
      <c r="C54" s="54">
        <f>C53-C52</f>
        <v>-0.38899999999999935</v>
      </c>
      <c r="D54" s="54"/>
      <c r="E54" s="54">
        <f>E53-E52</f>
        <v>10.110999999999997</v>
      </c>
      <c r="F54" s="54"/>
      <c r="G54" s="54">
        <f>G53-G52</f>
        <v>22.108999999999995</v>
      </c>
      <c r="H54" s="56"/>
      <c r="I54" s="246"/>
      <c r="J54" s="251">
        <f>G50/G52</f>
        <v>171.31935483870967</v>
      </c>
      <c r="K54" s="251">
        <v>2020</v>
      </c>
      <c r="L54" s="222"/>
      <c r="M54" s="222"/>
      <c r="N54" s="222"/>
      <c r="O54" s="222"/>
      <c r="P54" s="222"/>
      <c r="Q54" s="222"/>
      <c r="R54" s="222"/>
      <c r="S54" s="222"/>
      <c r="T54" s="222"/>
      <c r="U54" s="222"/>
      <c r="V54" s="222"/>
      <c r="W54" s="222"/>
      <c r="X54" s="222"/>
      <c r="Y54" s="222"/>
      <c r="Z54" s="222"/>
      <c r="AA54" s="222"/>
      <c r="AB54" s="222"/>
    </row>
    <row r="55" spans="1:29" ht="21" x14ac:dyDescent="0.35">
      <c r="A55" s="254" t="s">
        <v>422</v>
      </c>
      <c r="B55" s="254"/>
      <c r="C55" s="254"/>
      <c r="D55" s="254"/>
      <c r="E55" s="254"/>
      <c r="F55" s="254"/>
      <c r="G55" s="254"/>
      <c r="H55" s="278"/>
      <c r="I55" s="279"/>
      <c r="J55" s="279"/>
      <c r="K55" s="279"/>
      <c r="L55" s="45"/>
      <c r="M55" s="45"/>
      <c r="N55" s="45"/>
      <c r="O55" s="45"/>
      <c r="P55" s="45"/>
      <c r="Q55" s="45"/>
      <c r="R55" s="45"/>
      <c r="S55" s="45"/>
      <c r="T55" s="45"/>
      <c r="U55" s="45"/>
      <c r="V55" s="45"/>
      <c r="W55" s="45"/>
      <c r="X55" s="45"/>
      <c r="Y55" s="45"/>
      <c r="Z55" s="45"/>
      <c r="AA55" s="45"/>
      <c r="AB55" s="45"/>
      <c r="AC55" s="126"/>
    </row>
    <row r="56" spans="1:29" ht="30.75" x14ac:dyDescent="0.25">
      <c r="A56" s="132" t="s">
        <v>306</v>
      </c>
      <c r="B56" s="133" t="s">
        <v>307</v>
      </c>
      <c r="C56" s="134" t="s">
        <v>321</v>
      </c>
      <c r="D56" s="135" t="s">
        <v>308</v>
      </c>
      <c r="E56" s="135" t="s">
        <v>309</v>
      </c>
      <c r="F56" s="135" t="s">
        <v>310</v>
      </c>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row>
    <row r="57" spans="1:29" ht="30" x14ac:dyDescent="0.25">
      <c r="A57" s="136" t="s">
        <v>311</v>
      </c>
      <c r="B57" s="137">
        <v>0.5</v>
      </c>
      <c r="C57" s="131">
        <v>200</v>
      </c>
      <c r="D57" s="138">
        <v>3</v>
      </c>
      <c r="E57" s="138">
        <v>3</v>
      </c>
      <c r="F57" s="139">
        <v>3</v>
      </c>
      <c r="G57" s="222"/>
      <c r="H57" s="222"/>
      <c r="I57" s="222" t="s">
        <v>322</v>
      </c>
      <c r="J57" s="222"/>
      <c r="K57" s="222"/>
      <c r="L57" s="222"/>
      <c r="M57" s="222"/>
      <c r="N57" s="222"/>
      <c r="O57" s="222"/>
      <c r="P57" s="222"/>
      <c r="Q57" s="222"/>
      <c r="R57" s="222"/>
      <c r="S57" s="222"/>
      <c r="T57" s="222"/>
      <c r="U57" s="222"/>
      <c r="V57" s="222"/>
      <c r="W57" s="222"/>
      <c r="X57" s="222"/>
      <c r="Y57" s="222"/>
      <c r="Z57" s="222"/>
      <c r="AA57" s="222"/>
      <c r="AB57" s="222"/>
      <c r="AC57" s="222"/>
    </row>
    <row r="58" spans="1:29" ht="30" x14ac:dyDescent="0.25">
      <c r="A58" s="136" t="s">
        <v>312</v>
      </c>
      <c r="B58" s="137">
        <v>0.5</v>
      </c>
      <c r="C58" s="131">
        <v>200</v>
      </c>
      <c r="D58" s="138">
        <v>0</v>
      </c>
      <c r="E58" s="138">
        <v>0</v>
      </c>
      <c r="F58" s="139">
        <v>0</v>
      </c>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row>
    <row r="59" spans="1:29" x14ac:dyDescent="0.25">
      <c r="A59" s="136" t="s">
        <v>313</v>
      </c>
      <c r="B59" s="137">
        <v>0.5</v>
      </c>
      <c r="C59" s="131">
        <v>300</v>
      </c>
      <c r="D59" s="138">
        <v>2</v>
      </c>
      <c r="E59" s="138">
        <v>2</v>
      </c>
      <c r="F59" s="139">
        <v>2</v>
      </c>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row>
    <row r="60" spans="1:29" ht="30" x14ac:dyDescent="0.25">
      <c r="A60" s="136" t="s">
        <v>314</v>
      </c>
      <c r="B60" s="137">
        <v>0.5</v>
      </c>
      <c r="C60" s="131">
        <v>250</v>
      </c>
      <c r="D60" s="138">
        <v>6</v>
      </c>
      <c r="E60" s="138">
        <v>6</v>
      </c>
      <c r="F60" s="139">
        <v>0</v>
      </c>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row>
    <row r="61" spans="1:29" x14ac:dyDescent="0.25">
      <c r="A61" s="136" t="s">
        <v>315</v>
      </c>
      <c r="B61" s="137">
        <v>0.5</v>
      </c>
      <c r="C61" s="131">
        <v>250</v>
      </c>
      <c r="D61" s="138">
        <v>2</v>
      </c>
      <c r="E61" s="138">
        <v>2</v>
      </c>
      <c r="F61" s="139">
        <v>2</v>
      </c>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row>
    <row r="62" spans="1:29" x14ac:dyDescent="0.25">
      <c r="A62" s="136" t="s">
        <v>316</v>
      </c>
      <c r="B62" s="137" t="s">
        <v>304</v>
      </c>
      <c r="C62" s="140">
        <v>400</v>
      </c>
      <c r="D62" s="446">
        <v>7</v>
      </c>
      <c r="E62" s="446">
        <v>7</v>
      </c>
      <c r="F62" s="141">
        <v>7</v>
      </c>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row>
    <row r="63" spans="1:29" x14ac:dyDescent="0.25">
      <c r="A63" s="136" t="s">
        <v>317</v>
      </c>
      <c r="B63" s="137" t="s">
        <v>304</v>
      </c>
      <c r="C63" s="140">
        <v>120</v>
      </c>
      <c r="D63" s="446">
        <v>7</v>
      </c>
      <c r="E63" s="446">
        <v>7</v>
      </c>
      <c r="F63" s="141">
        <v>7</v>
      </c>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row>
    <row r="64" spans="1:29" ht="30" x14ac:dyDescent="0.25">
      <c r="A64" s="136" t="s">
        <v>318</v>
      </c>
      <c r="B64" s="137" t="s">
        <v>304</v>
      </c>
      <c r="C64" s="140">
        <v>40</v>
      </c>
      <c r="D64" s="446">
        <v>7</v>
      </c>
      <c r="E64" s="446">
        <v>7</v>
      </c>
      <c r="F64" s="141">
        <v>7</v>
      </c>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row>
    <row r="65" spans="1:29" ht="30" x14ac:dyDescent="0.25">
      <c r="A65" s="136" t="s">
        <v>319</v>
      </c>
      <c r="B65" s="137" t="s">
        <v>304</v>
      </c>
      <c r="C65" s="140">
        <v>100</v>
      </c>
      <c r="D65" s="446">
        <v>7</v>
      </c>
      <c r="E65" s="446">
        <v>7</v>
      </c>
      <c r="F65" s="141">
        <v>7</v>
      </c>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row>
    <row r="66" spans="1:29" x14ac:dyDescent="0.25">
      <c r="A66" s="136" t="s">
        <v>320</v>
      </c>
      <c r="B66" s="137" t="s">
        <v>304</v>
      </c>
      <c r="C66" s="140">
        <v>40</v>
      </c>
      <c r="D66" s="446">
        <v>7</v>
      </c>
      <c r="E66" s="446">
        <v>7</v>
      </c>
      <c r="F66" s="446">
        <v>7</v>
      </c>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row>
    <row r="67" spans="1:29" x14ac:dyDescent="0.25">
      <c r="A67" s="222"/>
      <c r="B67" s="222"/>
      <c r="C67" s="222"/>
      <c r="D67" s="45"/>
      <c r="E67" s="45"/>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row>
    <row r="68" spans="1:29" x14ac:dyDescent="0.25">
      <c r="A68" s="222"/>
      <c r="B68" s="222"/>
      <c r="C68" s="222"/>
      <c r="D68" s="45"/>
      <c r="E68" s="45"/>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row>
    <row r="69" spans="1:29" x14ac:dyDescent="0.25">
      <c r="A69" s="222"/>
      <c r="B69" s="222"/>
      <c r="C69" s="222"/>
      <c r="D69" s="45"/>
      <c r="E69" s="45"/>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row>
    <row r="70" spans="1:29" x14ac:dyDescent="0.25">
      <c r="A70" s="222"/>
      <c r="B70" s="222"/>
      <c r="C70" s="222"/>
      <c r="D70" s="45"/>
      <c r="E70" s="45"/>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row>
    <row r="71" spans="1:29" x14ac:dyDescent="0.25">
      <c r="A71" s="222"/>
      <c r="B71" s="222"/>
      <c r="C71" s="222"/>
      <c r="D71" s="45"/>
      <c r="E71" s="45"/>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row>
    <row r="72" spans="1:29" x14ac:dyDescent="0.25">
      <c r="A72" s="222"/>
      <c r="B72" s="222"/>
      <c r="C72" s="222"/>
      <c r="D72" s="45"/>
      <c r="E72" s="45"/>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row>
    <row r="73" spans="1:29" x14ac:dyDescent="0.25">
      <c r="A73" s="222"/>
      <c r="B73" s="222"/>
      <c r="C73" s="222"/>
      <c r="D73" s="45"/>
      <c r="E73" s="45"/>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row>
    <row r="74" spans="1:29" x14ac:dyDescent="0.25">
      <c r="A74" s="222"/>
      <c r="B74" s="222"/>
      <c r="C74" s="222"/>
      <c r="D74" s="45"/>
      <c r="E74" s="45"/>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row>
    <row r="75" spans="1:29" x14ac:dyDescent="0.25">
      <c r="A75" s="222"/>
      <c r="B75" s="222"/>
      <c r="C75" s="222"/>
      <c r="D75" s="45"/>
      <c r="E75" s="45"/>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row>
    <row r="76" spans="1:29" x14ac:dyDescent="0.25">
      <c r="A76" s="222"/>
      <c r="B76" s="222"/>
      <c r="C76" s="222"/>
      <c r="D76" s="45"/>
      <c r="E76" s="45"/>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row>
    <row r="77" spans="1:29" x14ac:dyDescent="0.25">
      <c r="A77" s="222"/>
      <c r="B77" s="222"/>
      <c r="C77" s="222"/>
      <c r="D77" s="45"/>
      <c r="E77" s="45"/>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row>
    <row r="78" spans="1:29" x14ac:dyDescent="0.25">
      <c r="A78" s="222"/>
      <c r="B78" s="222"/>
      <c r="C78" s="222"/>
      <c r="D78" s="45"/>
      <c r="E78" s="45"/>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row>
    <row r="79" spans="1:29" x14ac:dyDescent="0.25">
      <c r="A79" s="222"/>
      <c r="B79" s="222"/>
      <c r="C79" s="222"/>
      <c r="D79" s="45"/>
      <c r="E79" s="45"/>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row>
    <row r="80" spans="1:29" x14ac:dyDescent="0.25">
      <c r="A80" s="222"/>
      <c r="B80" s="222"/>
      <c r="C80" s="222"/>
      <c r="D80" s="45"/>
      <c r="E80" s="45"/>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row>
    <row r="81" spans="1:29" x14ac:dyDescent="0.25">
      <c r="A81" s="222"/>
      <c r="B81" s="222"/>
      <c r="C81" s="222"/>
      <c r="D81" s="45"/>
      <c r="E81" s="45"/>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row>
    <row r="82" spans="1:29" x14ac:dyDescent="0.25">
      <c r="A82" s="222"/>
      <c r="B82" s="222"/>
      <c r="C82" s="222"/>
      <c r="D82" s="45"/>
      <c r="E82" s="45"/>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row>
    <row r="83" spans="1:29" x14ac:dyDescent="0.25">
      <c r="A83" s="222"/>
      <c r="B83" s="222"/>
      <c r="C83" s="222"/>
      <c r="D83" s="45"/>
      <c r="E83" s="45"/>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row>
    <row r="84" spans="1:29" x14ac:dyDescent="0.25">
      <c r="A84" s="222"/>
      <c r="B84" s="222"/>
      <c r="C84" s="222"/>
      <c r="D84" s="45"/>
      <c r="E84" s="45"/>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row>
    <row r="85" spans="1:29" x14ac:dyDescent="0.25">
      <c r="A85" s="222"/>
      <c r="B85" s="222"/>
      <c r="C85" s="222"/>
      <c r="D85" s="45"/>
      <c r="E85" s="45"/>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row>
    <row r="86" spans="1:29" x14ac:dyDescent="0.25">
      <c r="A86" s="222"/>
      <c r="B86" s="222"/>
      <c r="C86" s="222"/>
      <c r="D86" s="45"/>
      <c r="E86" s="45"/>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row>
    <row r="87" spans="1:29" x14ac:dyDescent="0.25">
      <c r="A87" s="222"/>
      <c r="B87" s="222"/>
      <c r="C87" s="222"/>
      <c r="D87" s="45"/>
      <c r="E87" s="45"/>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row>
    <row r="88" spans="1:29" x14ac:dyDescent="0.25">
      <c r="A88" s="222"/>
      <c r="B88" s="222"/>
      <c r="C88" s="222"/>
      <c r="D88" s="45"/>
      <c r="E88" s="45"/>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row>
    <row r="89" spans="1:29" x14ac:dyDescent="0.25">
      <c r="A89" s="222"/>
      <c r="B89" s="222"/>
      <c r="C89" s="222"/>
      <c r="D89" s="45"/>
      <c r="E89" s="45"/>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row>
    <row r="90" spans="1:29" x14ac:dyDescent="0.25">
      <c r="I90" s="222"/>
      <c r="J90" s="222"/>
      <c r="K90" s="222"/>
      <c r="L90" s="222"/>
      <c r="M90" s="222"/>
      <c r="N90" s="222"/>
      <c r="O90" s="222"/>
      <c r="P90" s="222"/>
      <c r="Q90" s="222"/>
      <c r="R90" s="222"/>
      <c r="S90" s="222"/>
      <c r="T90" s="222"/>
      <c r="U90" s="222"/>
      <c r="V90" s="222"/>
      <c r="W90" s="222"/>
      <c r="X90" s="222"/>
      <c r="Y90" s="222"/>
      <c r="Z90" s="222"/>
      <c r="AA90" s="222"/>
      <c r="AB90" s="222"/>
      <c r="AC90" s="222"/>
    </row>
    <row r="91" spans="1:29" x14ac:dyDescent="0.25">
      <c r="I91" s="222"/>
      <c r="J91" s="222"/>
      <c r="K91" s="222"/>
      <c r="L91" s="222"/>
      <c r="M91" s="222"/>
      <c r="N91" s="222"/>
      <c r="O91" s="222"/>
      <c r="P91" s="222"/>
      <c r="Q91" s="222"/>
      <c r="R91" s="222"/>
      <c r="S91" s="222"/>
      <c r="T91" s="222"/>
      <c r="U91" s="222"/>
      <c r="V91" s="222"/>
      <c r="W91" s="222"/>
      <c r="X91" s="222"/>
      <c r="Y91" s="222"/>
      <c r="Z91" s="222"/>
      <c r="AA91" s="222"/>
      <c r="AB91" s="222"/>
      <c r="AC91" s="222"/>
    </row>
    <row r="92" spans="1:29" x14ac:dyDescent="0.25">
      <c r="I92" s="222"/>
      <c r="J92" s="222"/>
      <c r="K92" s="222"/>
      <c r="L92" s="222"/>
      <c r="M92" s="222"/>
      <c r="N92" s="222"/>
      <c r="O92" s="222"/>
      <c r="P92" s="222"/>
      <c r="Q92" s="222"/>
      <c r="R92" s="222"/>
      <c r="S92" s="222"/>
      <c r="T92" s="222"/>
      <c r="U92" s="222"/>
      <c r="V92" s="222"/>
      <c r="W92" s="222"/>
      <c r="X92" s="222"/>
      <c r="Y92" s="222"/>
      <c r="Z92" s="222"/>
      <c r="AA92" s="222"/>
      <c r="AB92" s="222"/>
      <c r="AC92" s="222"/>
    </row>
    <row r="93" spans="1:29" x14ac:dyDescent="0.25">
      <c r="I93" s="222"/>
      <c r="J93" s="222"/>
      <c r="K93" s="222"/>
      <c r="L93" s="222"/>
      <c r="M93" s="222"/>
      <c r="N93" s="222"/>
      <c r="O93" s="222"/>
      <c r="P93" s="222"/>
      <c r="Q93" s="222"/>
      <c r="R93" s="222"/>
      <c r="S93" s="222"/>
      <c r="T93" s="222"/>
      <c r="U93" s="222"/>
      <c r="V93" s="222"/>
      <c r="W93" s="222"/>
      <c r="X93" s="222"/>
      <c r="Y93" s="222"/>
      <c r="Z93" s="222"/>
      <c r="AA93" s="222"/>
      <c r="AB93" s="222"/>
      <c r="AC93" s="222"/>
    </row>
    <row r="94" spans="1:29" x14ac:dyDescent="0.25">
      <c r="I94" s="222"/>
      <c r="J94" s="222"/>
      <c r="K94" s="222"/>
      <c r="L94" s="222"/>
      <c r="M94" s="222"/>
      <c r="N94" s="222"/>
      <c r="O94" s="222"/>
      <c r="P94" s="222"/>
      <c r="Q94" s="222"/>
      <c r="R94" s="222"/>
      <c r="S94" s="222"/>
      <c r="T94" s="222"/>
      <c r="U94" s="222"/>
      <c r="V94" s="222"/>
      <c r="W94" s="222"/>
      <c r="X94" s="222"/>
      <c r="Y94" s="222"/>
      <c r="Z94" s="222"/>
      <c r="AA94" s="222"/>
      <c r="AB94" s="222"/>
      <c r="AC94" s="222"/>
    </row>
    <row r="95" spans="1:29" x14ac:dyDescent="0.25">
      <c r="I95" s="222"/>
      <c r="J95" s="222"/>
      <c r="K95" s="222"/>
      <c r="L95" s="222"/>
      <c r="M95" s="222"/>
      <c r="N95" s="222"/>
      <c r="O95" s="222"/>
      <c r="P95" s="222"/>
      <c r="Q95" s="222"/>
      <c r="R95" s="222"/>
      <c r="S95" s="222"/>
      <c r="T95" s="222"/>
      <c r="U95" s="222"/>
      <c r="V95" s="222"/>
      <c r="W95" s="222"/>
      <c r="X95" s="222"/>
      <c r="Y95" s="222"/>
      <c r="Z95" s="222"/>
      <c r="AA95" s="222"/>
      <c r="AB95" s="222"/>
      <c r="AC95" s="222"/>
    </row>
    <row r="96" spans="1:29" x14ac:dyDescent="0.25">
      <c r="I96" s="222"/>
      <c r="J96" s="222"/>
      <c r="K96" s="222"/>
      <c r="L96" s="222"/>
      <c r="M96" s="222"/>
      <c r="N96" s="222"/>
      <c r="O96" s="222"/>
      <c r="P96" s="222"/>
      <c r="Q96" s="222"/>
      <c r="R96" s="222"/>
      <c r="S96" s="222"/>
      <c r="T96" s="222"/>
      <c r="U96" s="222"/>
      <c r="V96" s="222"/>
      <c r="W96" s="222"/>
      <c r="X96" s="222"/>
      <c r="Y96" s="222"/>
      <c r="Z96" s="222"/>
      <c r="AA96" s="222"/>
      <c r="AB96" s="222"/>
      <c r="AC96" s="222"/>
    </row>
    <row r="97" spans="9:29" x14ac:dyDescent="0.25">
      <c r="I97" s="222"/>
      <c r="J97" s="222"/>
      <c r="K97" s="222"/>
      <c r="L97" s="222"/>
      <c r="M97" s="222"/>
      <c r="N97" s="222"/>
      <c r="O97" s="222"/>
      <c r="P97" s="222"/>
      <c r="Q97" s="222"/>
      <c r="R97" s="222"/>
      <c r="S97" s="222"/>
      <c r="T97" s="222"/>
      <c r="U97" s="222"/>
      <c r="V97" s="222"/>
      <c r="W97" s="222"/>
      <c r="X97" s="222"/>
      <c r="Y97" s="222"/>
      <c r="Z97" s="222"/>
      <c r="AA97" s="222"/>
      <c r="AB97" s="222"/>
      <c r="AC97" s="222"/>
    </row>
    <row r="98" spans="9:29" x14ac:dyDescent="0.25">
      <c r="I98" s="222"/>
      <c r="J98" s="222"/>
      <c r="K98" s="222"/>
      <c r="L98" s="222"/>
      <c r="M98" s="222"/>
      <c r="N98" s="222"/>
      <c r="O98" s="222"/>
      <c r="P98" s="222"/>
      <c r="Q98" s="222"/>
      <c r="R98" s="222"/>
      <c r="S98" s="222"/>
      <c r="T98" s="222"/>
      <c r="U98" s="222"/>
      <c r="V98" s="222"/>
      <c r="W98" s="222"/>
      <c r="X98" s="222"/>
      <c r="Y98" s="222"/>
      <c r="Z98" s="222"/>
      <c r="AA98" s="222"/>
      <c r="AB98" s="222"/>
      <c r="AC98" s="222"/>
    </row>
    <row r="99" spans="9:29" x14ac:dyDescent="0.25">
      <c r="I99" s="222"/>
      <c r="J99" s="222"/>
      <c r="K99" s="222"/>
      <c r="L99" s="222"/>
      <c r="M99" s="222"/>
      <c r="N99" s="222"/>
      <c r="O99" s="222"/>
      <c r="P99" s="222"/>
      <c r="Q99" s="222"/>
      <c r="R99" s="222"/>
      <c r="S99" s="222"/>
      <c r="T99" s="222"/>
      <c r="U99" s="222"/>
      <c r="V99" s="222"/>
      <c r="W99" s="222"/>
      <c r="X99" s="222"/>
      <c r="Y99" s="222"/>
      <c r="Z99" s="222"/>
      <c r="AA99" s="222"/>
      <c r="AB99" s="222"/>
      <c r="AC99" s="222"/>
    </row>
    <row r="100" spans="9:29" x14ac:dyDescent="0.25">
      <c r="I100" s="222"/>
      <c r="J100" s="222"/>
      <c r="K100" s="222"/>
      <c r="L100" s="222"/>
      <c r="M100" s="222"/>
      <c r="N100" s="222"/>
      <c r="O100" s="222"/>
      <c r="P100" s="222"/>
      <c r="Q100" s="222"/>
      <c r="R100" s="222"/>
      <c r="S100" s="222"/>
      <c r="T100" s="222"/>
      <c r="U100" s="222"/>
      <c r="V100" s="222"/>
      <c r="W100" s="222"/>
      <c r="X100" s="222"/>
      <c r="Y100" s="222"/>
      <c r="Z100" s="222"/>
      <c r="AA100" s="222"/>
      <c r="AB100" s="222"/>
      <c r="AC100" s="222"/>
    </row>
    <row r="101" spans="9:29" x14ac:dyDescent="0.25">
      <c r="I101" s="222"/>
      <c r="J101" s="222"/>
      <c r="K101" s="222"/>
      <c r="L101" s="222"/>
      <c r="M101" s="222"/>
      <c r="N101" s="222"/>
      <c r="O101" s="222"/>
      <c r="P101" s="222"/>
      <c r="Q101" s="222"/>
      <c r="R101" s="222"/>
      <c r="S101" s="222"/>
      <c r="T101" s="222"/>
      <c r="U101" s="222"/>
      <c r="V101" s="222"/>
      <c r="W101" s="222"/>
      <c r="X101" s="222"/>
      <c r="Y101" s="222"/>
      <c r="Z101" s="222"/>
      <c r="AA101" s="222"/>
      <c r="AB101" s="222"/>
      <c r="AC101" s="222"/>
    </row>
    <row r="102" spans="9:29" x14ac:dyDescent="0.25">
      <c r="I102" s="222"/>
      <c r="J102" s="222"/>
      <c r="K102" s="222"/>
      <c r="L102" s="222"/>
      <c r="M102" s="222"/>
      <c r="N102" s="222"/>
      <c r="O102" s="222"/>
      <c r="P102" s="222"/>
      <c r="Q102" s="222"/>
      <c r="R102" s="222"/>
      <c r="S102" s="222"/>
      <c r="T102" s="222"/>
      <c r="U102" s="222"/>
      <c r="V102" s="222"/>
      <c r="W102" s="222"/>
      <c r="X102" s="222"/>
      <c r="Y102" s="222"/>
      <c r="Z102" s="222"/>
      <c r="AA102" s="222"/>
      <c r="AB102" s="222"/>
      <c r="AC102" s="222"/>
    </row>
    <row r="103" spans="9:29" x14ac:dyDescent="0.25">
      <c r="I103" s="222"/>
      <c r="J103" s="222"/>
      <c r="K103" s="222"/>
      <c r="L103" s="222"/>
      <c r="M103" s="222"/>
      <c r="N103" s="222"/>
      <c r="O103" s="222"/>
      <c r="P103" s="222"/>
      <c r="Q103" s="222"/>
      <c r="R103" s="222"/>
      <c r="S103" s="222"/>
      <c r="T103" s="222"/>
      <c r="U103" s="222"/>
      <c r="V103" s="222"/>
      <c r="W103" s="222"/>
      <c r="X103" s="222"/>
      <c r="Y103" s="222"/>
      <c r="Z103" s="222"/>
      <c r="AA103" s="222"/>
      <c r="AB103" s="222"/>
      <c r="AC103" s="222"/>
    </row>
    <row r="104" spans="9:29" x14ac:dyDescent="0.25">
      <c r="I104" s="222"/>
      <c r="J104" s="222"/>
      <c r="K104" s="222"/>
      <c r="L104" s="222"/>
      <c r="M104" s="222"/>
      <c r="N104" s="222"/>
      <c r="O104" s="222"/>
      <c r="P104" s="222"/>
      <c r="Q104" s="222"/>
      <c r="R104" s="222"/>
      <c r="S104" s="222"/>
      <c r="T104" s="222"/>
      <c r="U104" s="222"/>
      <c r="V104" s="222"/>
      <c r="W104" s="222"/>
      <c r="X104" s="222"/>
      <c r="Y104" s="222"/>
      <c r="Z104" s="222"/>
      <c r="AA104" s="222"/>
      <c r="AB104" s="222"/>
      <c r="AC104" s="222"/>
    </row>
    <row r="105" spans="9:29" x14ac:dyDescent="0.25">
      <c r="I105" s="222"/>
      <c r="J105" s="222"/>
      <c r="K105" s="222"/>
      <c r="L105" s="222"/>
      <c r="M105" s="222"/>
      <c r="N105" s="222"/>
      <c r="O105" s="222"/>
      <c r="P105" s="222"/>
      <c r="Q105" s="222"/>
      <c r="R105" s="222"/>
      <c r="S105" s="222"/>
      <c r="T105" s="222"/>
      <c r="U105" s="222"/>
      <c r="V105" s="222"/>
      <c r="W105" s="222"/>
      <c r="X105" s="222"/>
      <c r="Y105" s="222"/>
      <c r="Z105" s="222"/>
      <c r="AA105" s="222"/>
      <c r="AB105" s="222"/>
      <c r="AC105" s="222"/>
    </row>
    <row r="106" spans="9:29" x14ac:dyDescent="0.25">
      <c r="I106" s="222"/>
      <c r="J106" s="222"/>
      <c r="K106" s="222"/>
      <c r="L106" s="222"/>
      <c r="M106" s="222"/>
      <c r="N106" s="222"/>
      <c r="O106" s="222"/>
      <c r="P106" s="222"/>
      <c r="Q106" s="222"/>
      <c r="R106" s="222"/>
      <c r="S106" s="222"/>
      <c r="T106" s="222"/>
      <c r="U106" s="222"/>
      <c r="V106" s="222"/>
      <c r="W106" s="222"/>
      <c r="X106" s="222"/>
      <c r="Y106" s="222"/>
      <c r="Z106" s="222"/>
      <c r="AA106" s="222"/>
      <c r="AB106" s="222"/>
      <c r="AC106" s="222"/>
    </row>
    <row r="107" spans="9:29" x14ac:dyDescent="0.25">
      <c r="I107" s="222"/>
      <c r="J107" s="222"/>
      <c r="K107" s="222"/>
      <c r="L107" s="222"/>
      <c r="M107" s="222"/>
      <c r="N107" s="222"/>
      <c r="O107" s="222"/>
      <c r="P107" s="222"/>
      <c r="Q107" s="222"/>
      <c r="R107" s="222"/>
      <c r="S107" s="222"/>
      <c r="T107" s="222"/>
      <c r="U107" s="222"/>
      <c r="V107" s="222"/>
      <c r="W107" s="222"/>
      <c r="X107" s="222"/>
      <c r="Y107" s="222"/>
      <c r="Z107" s="222"/>
      <c r="AA107" s="222"/>
      <c r="AB107" s="222"/>
      <c r="AC107" s="222"/>
    </row>
    <row r="108" spans="9:29" x14ac:dyDescent="0.25">
      <c r="I108" s="222"/>
      <c r="J108" s="222"/>
      <c r="K108" s="222"/>
      <c r="L108" s="222"/>
      <c r="M108" s="222"/>
      <c r="N108" s="222"/>
      <c r="O108" s="222"/>
      <c r="P108" s="222"/>
      <c r="Q108" s="222"/>
      <c r="R108" s="222"/>
      <c r="S108" s="222"/>
      <c r="T108" s="222"/>
      <c r="U108" s="222"/>
      <c r="V108" s="222"/>
      <c r="W108" s="222"/>
      <c r="X108" s="222"/>
      <c r="Y108" s="222"/>
      <c r="Z108" s="222"/>
      <c r="AA108" s="222"/>
      <c r="AB108" s="222"/>
      <c r="AC108" s="222"/>
    </row>
    <row r="109" spans="9:29" x14ac:dyDescent="0.25">
      <c r="I109" s="222"/>
      <c r="J109" s="222"/>
      <c r="K109" s="222"/>
      <c r="L109" s="222"/>
      <c r="M109" s="222"/>
      <c r="N109" s="222"/>
      <c r="O109" s="222"/>
      <c r="P109" s="222"/>
      <c r="Q109" s="222"/>
      <c r="R109" s="222"/>
      <c r="S109" s="222"/>
      <c r="T109" s="222"/>
      <c r="U109" s="222"/>
      <c r="V109" s="222"/>
      <c r="W109" s="222"/>
      <c r="X109" s="222"/>
      <c r="Y109" s="222"/>
      <c r="Z109" s="222"/>
      <c r="AA109" s="222"/>
      <c r="AB109" s="222"/>
      <c r="AC109" s="222"/>
    </row>
    <row r="110" spans="9:29" x14ac:dyDescent="0.25">
      <c r="I110" s="222"/>
      <c r="J110" s="222"/>
      <c r="K110" s="222"/>
      <c r="L110" s="222"/>
      <c r="M110" s="222"/>
      <c r="N110" s="222"/>
      <c r="O110" s="222"/>
      <c r="P110" s="222"/>
      <c r="Q110" s="222"/>
      <c r="R110" s="222"/>
      <c r="S110" s="222"/>
      <c r="T110" s="222"/>
      <c r="U110" s="222"/>
      <c r="V110" s="222"/>
      <c r="W110" s="222"/>
      <c r="X110" s="222"/>
      <c r="Y110" s="222"/>
      <c r="Z110" s="222"/>
      <c r="AA110" s="222"/>
      <c r="AB110" s="222"/>
      <c r="AC110" s="222"/>
    </row>
    <row r="111" spans="9:29" x14ac:dyDescent="0.25">
      <c r="I111" s="222"/>
      <c r="J111" s="222"/>
      <c r="K111" s="222"/>
      <c r="L111" s="222"/>
      <c r="M111" s="222"/>
      <c r="N111" s="222"/>
      <c r="O111" s="222"/>
      <c r="P111" s="222"/>
      <c r="Q111" s="222"/>
      <c r="R111" s="222"/>
      <c r="S111" s="222"/>
      <c r="T111" s="222"/>
      <c r="U111" s="222"/>
      <c r="V111" s="222"/>
      <c r="W111" s="222"/>
      <c r="X111" s="222"/>
      <c r="Y111" s="222"/>
      <c r="Z111" s="222"/>
      <c r="AA111" s="222"/>
      <c r="AB111" s="222"/>
      <c r="AC111" s="222"/>
    </row>
    <row r="112" spans="9:29" x14ac:dyDescent="0.25">
      <c r="I112" s="222"/>
      <c r="J112" s="222"/>
      <c r="K112" s="222"/>
      <c r="L112" s="222"/>
      <c r="M112" s="222"/>
      <c r="N112" s="222"/>
      <c r="O112" s="222"/>
      <c r="P112" s="222"/>
      <c r="Q112" s="222"/>
      <c r="R112" s="222"/>
      <c r="S112" s="222"/>
      <c r="T112" s="222"/>
      <c r="U112" s="222"/>
      <c r="V112" s="222"/>
      <c r="W112" s="222"/>
      <c r="X112" s="222"/>
      <c r="Y112" s="222"/>
      <c r="Z112" s="222"/>
      <c r="AA112" s="222"/>
      <c r="AB112" s="222"/>
      <c r="AC112" s="222"/>
    </row>
    <row r="113" spans="9:29" x14ac:dyDescent="0.25">
      <c r="I113" s="222"/>
      <c r="J113" s="222"/>
      <c r="K113" s="222"/>
      <c r="L113" s="222"/>
      <c r="M113" s="222"/>
      <c r="N113" s="222"/>
      <c r="O113" s="222"/>
      <c r="P113" s="222"/>
      <c r="Q113" s="222"/>
      <c r="R113" s="222"/>
      <c r="S113" s="222"/>
      <c r="T113" s="222"/>
      <c r="U113" s="222"/>
      <c r="V113" s="222"/>
      <c r="W113" s="222"/>
      <c r="X113" s="222"/>
      <c r="Y113" s="222"/>
      <c r="Z113" s="222"/>
      <c r="AA113" s="222"/>
      <c r="AB113" s="222"/>
      <c r="AC113" s="222"/>
    </row>
    <row r="114" spans="9:29" x14ac:dyDescent="0.25">
      <c r="I114" s="222"/>
      <c r="J114" s="222"/>
      <c r="K114" s="222"/>
      <c r="L114" s="222"/>
      <c r="M114" s="222"/>
      <c r="N114" s="222"/>
      <c r="O114" s="222"/>
      <c r="P114" s="222"/>
      <c r="Q114" s="222"/>
      <c r="R114" s="222"/>
      <c r="S114" s="222"/>
      <c r="T114" s="222"/>
      <c r="U114" s="222"/>
      <c r="V114" s="222"/>
      <c r="W114" s="222"/>
      <c r="X114" s="222"/>
      <c r="Y114" s="222"/>
      <c r="Z114" s="222"/>
      <c r="AA114" s="222"/>
      <c r="AB114" s="222"/>
      <c r="AC114" s="222"/>
    </row>
    <row r="115" spans="9:29" x14ac:dyDescent="0.25">
      <c r="I115" s="222"/>
      <c r="J115" s="222"/>
      <c r="K115" s="222"/>
      <c r="L115" s="222"/>
      <c r="M115" s="222"/>
      <c r="N115" s="222"/>
      <c r="O115" s="222"/>
      <c r="P115" s="222"/>
      <c r="Q115" s="222"/>
      <c r="R115" s="222"/>
      <c r="S115" s="222"/>
      <c r="T115" s="222"/>
      <c r="U115" s="222"/>
      <c r="V115" s="222"/>
      <c r="W115" s="222"/>
      <c r="X115" s="222"/>
      <c r="Y115" s="222"/>
      <c r="Z115" s="222"/>
      <c r="AA115" s="222"/>
      <c r="AB115" s="222"/>
      <c r="AC115" s="222"/>
    </row>
    <row r="116" spans="9:29" x14ac:dyDescent="0.25">
      <c r="I116" s="222"/>
      <c r="J116" s="222"/>
      <c r="K116" s="222"/>
      <c r="L116" s="222"/>
      <c r="M116" s="222"/>
      <c r="N116" s="222"/>
      <c r="O116" s="222"/>
      <c r="P116" s="222"/>
      <c r="Q116" s="222"/>
      <c r="R116" s="222"/>
      <c r="S116" s="222"/>
      <c r="T116" s="222"/>
      <c r="U116" s="222"/>
      <c r="V116" s="222"/>
      <c r="W116" s="222"/>
      <c r="X116" s="222"/>
      <c r="Y116" s="222"/>
      <c r="Z116" s="222"/>
      <c r="AA116" s="222"/>
      <c r="AB116" s="222"/>
      <c r="AC116" s="222"/>
    </row>
    <row r="117" spans="9:29" x14ac:dyDescent="0.25">
      <c r="I117" s="222"/>
      <c r="J117" s="222"/>
      <c r="K117" s="222"/>
      <c r="L117" s="222"/>
      <c r="M117" s="222"/>
      <c r="N117" s="222"/>
      <c r="O117" s="222"/>
      <c r="P117" s="222"/>
      <c r="Q117" s="222"/>
      <c r="R117" s="222"/>
      <c r="S117" s="222"/>
      <c r="T117" s="222"/>
      <c r="U117" s="222"/>
      <c r="V117" s="222"/>
      <c r="W117" s="222"/>
      <c r="X117" s="222"/>
      <c r="Y117" s="222"/>
      <c r="Z117" s="222"/>
      <c r="AA117" s="222"/>
      <c r="AB117" s="222"/>
      <c r="AC117" s="222"/>
    </row>
    <row r="118" spans="9:29" x14ac:dyDescent="0.25">
      <c r="I118" s="222"/>
      <c r="J118" s="222"/>
      <c r="K118" s="222"/>
      <c r="L118" s="222"/>
      <c r="M118" s="222"/>
      <c r="N118" s="222"/>
      <c r="O118" s="222"/>
      <c r="P118" s="222"/>
      <c r="Q118" s="222"/>
      <c r="R118" s="222"/>
      <c r="S118" s="222"/>
      <c r="T118" s="222"/>
      <c r="U118" s="222"/>
      <c r="V118" s="222"/>
      <c r="W118" s="222"/>
      <c r="X118" s="222"/>
      <c r="Y118" s="222"/>
      <c r="Z118" s="222"/>
      <c r="AA118" s="222"/>
      <c r="AB118" s="222"/>
      <c r="AC118" s="222"/>
    </row>
    <row r="119" spans="9:29" x14ac:dyDescent="0.25">
      <c r="I119" s="222"/>
      <c r="J119" s="222"/>
      <c r="K119" s="222"/>
      <c r="L119" s="222"/>
      <c r="M119" s="222"/>
      <c r="N119" s="222"/>
      <c r="O119" s="222"/>
      <c r="P119" s="222"/>
      <c r="Q119" s="222"/>
      <c r="R119" s="222"/>
      <c r="S119" s="222"/>
      <c r="T119" s="222"/>
      <c r="U119" s="222"/>
      <c r="V119" s="222"/>
      <c r="W119" s="222"/>
      <c r="X119" s="222"/>
      <c r="Y119" s="222"/>
      <c r="Z119" s="222"/>
      <c r="AA119" s="222"/>
      <c r="AB119" s="222"/>
      <c r="AC119" s="222"/>
    </row>
    <row r="120" spans="9:29" x14ac:dyDescent="0.25">
      <c r="I120" s="222"/>
      <c r="J120" s="222"/>
      <c r="K120" s="222"/>
      <c r="L120" s="222"/>
      <c r="M120" s="222"/>
      <c r="N120" s="222"/>
      <c r="O120" s="222"/>
      <c r="P120" s="222"/>
      <c r="Q120" s="222"/>
      <c r="R120" s="222"/>
      <c r="S120" s="222"/>
      <c r="T120" s="222"/>
      <c r="U120" s="222"/>
      <c r="V120" s="222"/>
      <c r="W120" s="222"/>
      <c r="X120" s="222"/>
      <c r="Y120" s="222"/>
      <c r="Z120" s="222"/>
      <c r="AA120" s="222"/>
      <c r="AB120" s="222"/>
      <c r="AC120" s="222"/>
    </row>
    <row r="121" spans="9:29" x14ac:dyDescent="0.25">
      <c r="I121" s="222"/>
      <c r="J121" s="222"/>
      <c r="K121" s="222"/>
      <c r="L121" s="222"/>
      <c r="M121" s="222"/>
      <c r="N121" s="222"/>
      <c r="O121" s="222"/>
      <c r="P121" s="222"/>
      <c r="Q121" s="222"/>
      <c r="R121" s="222"/>
      <c r="S121" s="222"/>
      <c r="T121" s="222"/>
      <c r="U121" s="222"/>
      <c r="V121" s="222"/>
      <c r="W121" s="222"/>
      <c r="X121" s="222"/>
      <c r="Y121" s="222"/>
      <c r="Z121" s="222"/>
      <c r="AA121" s="222"/>
      <c r="AB121" s="222"/>
      <c r="AC121" s="222"/>
    </row>
    <row r="122" spans="9:29" x14ac:dyDescent="0.25">
      <c r="I122" s="222"/>
      <c r="J122" s="222"/>
      <c r="K122" s="222"/>
      <c r="L122" s="222"/>
      <c r="M122" s="222"/>
      <c r="N122" s="222"/>
      <c r="O122" s="222"/>
      <c r="P122" s="222"/>
      <c r="Q122" s="222"/>
      <c r="R122" s="222"/>
      <c r="S122" s="222"/>
      <c r="T122" s="222"/>
      <c r="U122" s="222"/>
      <c r="V122" s="222"/>
      <c r="W122" s="222"/>
      <c r="X122" s="222"/>
      <c r="Y122" s="222"/>
      <c r="Z122" s="222"/>
      <c r="AA122" s="222"/>
      <c r="AB122" s="222"/>
      <c r="AC122" s="222"/>
    </row>
    <row r="123" spans="9:29" x14ac:dyDescent="0.25">
      <c r="I123" s="222"/>
      <c r="J123" s="222"/>
      <c r="K123" s="222"/>
      <c r="L123" s="222"/>
      <c r="M123" s="222"/>
      <c r="N123" s="222"/>
      <c r="O123" s="222"/>
      <c r="P123" s="222"/>
      <c r="Q123" s="222"/>
      <c r="R123" s="222"/>
      <c r="S123" s="222"/>
      <c r="T123" s="222"/>
      <c r="U123" s="222"/>
      <c r="V123" s="222"/>
      <c r="W123" s="222"/>
      <c r="X123" s="222"/>
      <c r="Y123" s="222"/>
      <c r="Z123" s="222"/>
      <c r="AA123" s="222"/>
      <c r="AB123" s="222"/>
      <c r="AC123" s="222"/>
    </row>
    <row r="124" spans="9:29" x14ac:dyDescent="0.25">
      <c r="I124" s="222"/>
      <c r="J124" s="222"/>
      <c r="K124" s="222"/>
      <c r="L124" s="222"/>
      <c r="M124" s="222"/>
      <c r="N124" s="222"/>
      <c r="O124" s="222"/>
      <c r="P124" s="222"/>
      <c r="Q124" s="222"/>
      <c r="R124" s="222"/>
      <c r="S124" s="222"/>
      <c r="T124" s="222"/>
      <c r="U124" s="222"/>
      <c r="V124" s="222"/>
      <c r="W124" s="222"/>
      <c r="X124" s="222"/>
      <c r="Y124" s="222"/>
      <c r="Z124" s="222"/>
      <c r="AA124" s="222"/>
      <c r="AB124" s="222"/>
      <c r="AC124" s="222"/>
    </row>
    <row r="125" spans="9:29" x14ac:dyDescent="0.25">
      <c r="I125" s="222"/>
      <c r="J125" s="222"/>
      <c r="K125" s="222"/>
      <c r="L125" s="222"/>
      <c r="M125" s="222"/>
      <c r="N125" s="222"/>
      <c r="O125" s="222"/>
      <c r="P125" s="222"/>
      <c r="Q125" s="222"/>
      <c r="R125" s="222"/>
      <c r="S125" s="222"/>
      <c r="T125" s="222"/>
      <c r="U125" s="222"/>
      <c r="V125" s="222"/>
      <c r="W125" s="222"/>
      <c r="X125" s="222"/>
      <c r="Y125" s="222"/>
      <c r="Z125" s="222"/>
      <c r="AA125" s="222"/>
      <c r="AB125" s="222"/>
      <c r="AC125" s="222"/>
    </row>
    <row r="126" spans="9:29" x14ac:dyDescent="0.25">
      <c r="I126" s="222"/>
      <c r="J126" s="222"/>
      <c r="K126" s="222"/>
      <c r="L126" s="222"/>
      <c r="M126" s="222"/>
      <c r="N126" s="222"/>
      <c r="O126" s="222"/>
      <c r="P126" s="222"/>
      <c r="Q126" s="222"/>
      <c r="R126" s="222"/>
      <c r="S126" s="222"/>
      <c r="T126" s="222"/>
      <c r="U126" s="222"/>
      <c r="V126" s="222"/>
      <c r="W126" s="222"/>
      <c r="X126" s="222"/>
      <c r="Y126" s="222"/>
      <c r="Z126" s="222"/>
      <c r="AA126" s="222"/>
      <c r="AB126" s="222"/>
      <c r="AC126" s="222"/>
    </row>
    <row r="127" spans="9:29" x14ac:dyDescent="0.25">
      <c r="I127" s="222"/>
      <c r="J127" s="222"/>
      <c r="K127" s="222"/>
      <c r="L127" s="222"/>
      <c r="M127" s="222"/>
      <c r="N127" s="222"/>
      <c r="O127" s="222"/>
      <c r="P127" s="222"/>
      <c r="Q127" s="222"/>
      <c r="R127" s="222"/>
      <c r="S127" s="222"/>
      <c r="T127" s="222"/>
      <c r="U127" s="222"/>
      <c r="V127" s="222"/>
      <c r="W127" s="222"/>
      <c r="X127" s="222"/>
      <c r="Y127" s="222"/>
      <c r="Z127" s="222"/>
      <c r="AA127" s="222"/>
      <c r="AB127" s="222"/>
      <c r="AC127" s="222"/>
    </row>
    <row r="128" spans="9:29" x14ac:dyDescent="0.25">
      <c r="I128" s="222"/>
      <c r="J128" s="222"/>
      <c r="K128" s="222"/>
      <c r="L128" s="222"/>
      <c r="M128" s="222"/>
      <c r="N128" s="222"/>
      <c r="O128" s="222"/>
      <c r="P128" s="222"/>
      <c r="Q128" s="222"/>
      <c r="R128" s="222"/>
      <c r="S128" s="222"/>
      <c r="T128" s="222"/>
      <c r="U128" s="222"/>
      <c r="V128" s="222"/>
      <c r="W128" s="222"/>
      <c r="X128" s="222"/>
      <c r="Y128" s="222"/>
      <c r="Z128" s="222"/>
      <c r="AA128" s="222"/>
      <c r="AB128" s="222"/>
      <c r="AC128" s="222"/>
    </row>
    <row r="129" spans="9:29" x14ac:dyDescent="0.25">
      <c r="I129" s="222"/>
      <c r="J129" s="222"/>
      <c r="K129" s="222"/>
      <c r="L129" s="222"/>
      <c r="M129" s="222"/>
      <c r="N129" s="222"/>
      <c r="O129" s="222"/>
      <c r="P129" s="222"/>
      <c r="Q129" s="222"/>
      <c r="R129" s="222"/>
      <c r="S129" s="222"/>
      <c r="T129" s="222"/>
      <c r="U129" s="222"/>
      <c r="V129" s="222"/>
      <c r="W129" s="222"/>
      <c r="X129" s="222"/>
      <c r="Y129" s="222"/>
      <c r="Z129" s="222"/>
      <c r="AA129" s="222"/>
      <c r="AB129" s="222"/>
      <c r="AC129" s="222"/>
    </row>
    <row r="130" spans="9:29" x14ac:dyDescent="0.25">
      <c r="I130" s="222"/>
      <c r="J130" s="222"/>
      <c r="K130" s="222"/>
      <c r="L130" s="222"/>
      <c r="M130" s="222"/>
      <c r="N130" s="222"/>
      <c r="O130" s="222"/>
      <c r="P130" s="222"/>
      <c r="Q130" s="222"/>
      <c r="R130" s="222"/>
      <c r="S130" s="222"/>
      <c r="T130" s="222"/>
      <c r="U130" s="222"/>
      <c r="V130" s="222"/>
      <c r="W130" s="222"/>
      <c r="X130" s="222"/>
      <c r="Y130" s="222"/>
      <c r="Z130" s="222"/>
      <c r="AA130" s="222"/>
      <c r="AB130" s="222"/>
      <c r="AC130" s="222"/>
    </row>
    <row r="131" spans="9:29" x14ac:dyDescent="0.25">
      <c r="I131" s="222"/>
      <c r="J131" s="222"/>
      <c r="K131" s="222"/>
      <c r="L131" s="222"/>
      <c r="M131" s="222"/>
      <c r="N131" s="222"/>
      <c r="O131" s="222"/>
      <c r="P131" s="222"/>
      <c r="Q131" s="222"/>
      <c r="R131" s="222"/>
      <c r="S131" s="222"/>
      <c r="T131" s="222"/>
      <c r="U131" s="222"/>
      <c r="V131" s="222"/>
      <c r="W131" s="222"/>
      <c r="X131" s="222"/>
      <c r="Y131" s="222"/>
      <c r="Z131" s="222"/>
      <c r="AA131" s="222"/>
      <c r="AB131" s="222"/>
      <c r="AC131" s="222"/>
    </row>
    <row r="132" spans="9:29" x14ac:dyDescent="0.25">
      <c r="I132" s="222"/>
      <c r="J132" s="222"/>
      <c r="K132" s="222"/>
      <c r="L132" s="222"/>
      <c r="M132" s="222"/>
      <c r="N132" s="222"/>
      <c r="O132" s="222"/>
      <c r="P132" s="222"/>
      <c r="Q132" s="222"/>
      <c r="R132" s="222"/>
      <c r="S132" s="222"/>
      <c r="T132" s="222"/>
      <c r="U132" s="222"/>
      <c r="V132" s="222"/>
      <c r="W132" s="222"/>
      <c r="X132" s="222"/>
      <c r="Y132" s="222"/>
      <c r="Z132" s="222"/>
      <c r="AA132" s="222"/>
      <c r="AB132" s="222"/>
      <c r="AC132" s="222"/>
    </row>
    <row r="133" spans="9:29" x14ac:dyDescent="0.25">
      <c r="I133" s="222"/>
      <c r="J133" s="222"/>
      <c r="K133" s="222"/>
      <c r="L133" s="222"/>
      <c r="M133" s="222"/>
      <c r="N133" s="222"/>
      <c r="O133" s="222"/>
      <c r="P133" s="222"/>
      <c r="Q133" s="222"/>
      <c r="R133" s="222"/>
      <c r="S133" s="222"/>
      <c r="T133" s="222"/>
      <c r="U133" s="222"/>
      <c r="V133" s="222"/>
      <c r="W133" s="222"/>
      <c r="X133" s="222"/>
      <c r="Y133" s="222"/>
      <c r="Z133" s="222"/>
      <c r="AA133" s="222"/>
      <c r="AB133" s="222"/>
      <c r="AC133" s="222"/>
    </row>
    <row r="134" spans="9:29" x14ac:dyDescent="0.25">
      <c r="I134" s="222"/>
      <c r="J134" s="222"/>
      <c r="K134" s="222"/>
      <c r="L134" s="222"/>
      <c r="M134" s="222"/>
      <c r="N134" s="222"/>
      <c r="O134" s="222"/>
      <c r="P134" s="222"/>
      <c r="Q134" s="222"/>
      <c r="R134" s="222"/>
      <c r="S134" s="222"/>
      <c r="T134" s="222"/>
      <c r="U134" s="222"/>
      <c r="V134" s="222"/>
      <c r="W134" s="222"/>
      <c r="X134" s="222"/>
      <c r="Y134" s="222"/>
      <c r="Z134" s="222"/>
      <c r="AA134" s="222"/>
      <c r="AB134" s="222"/>
      <c r="AC134" s="222"/>
    </row>
    <row r="135" spans="9:29" x14ac:dyDescent="0.25">
      <c r="I135" s="222"/>
      <c r="J135" s="222"/>
      <c r="K135" s="222"/>
      <c r="L135" s="222"/>
      <c r="M135" s="222"/>
      <c r="N135" s="222"/>
      <c r="O135" s="222"/>
      <c r="P135" s="222"/>
      <c r="Q135" s="222"/>
      <c r="R135" s="222"/>
      <c r="S135" s="222"/>
      <c r="T135" s="222"/>
      <c r="U135" s="222"/>
      <c r="V135" s="222"/>
      <c r="W135" s="222"/>
      <c r="X135" s="222"/>
      <c r="Y135" s="222"/>
      <c r="Z135" s="222"/>
      <c r="AA135" s="222"/>
      <c r="AB135" s="222"/>
      <c r="AC135" s="222"/>
    </row>
    <row r="136" spans="9:29" x14ac:dyDescent="0.25">
      <c r="I136" s="222"/>
      <c r="J136" s="222"/>
      <c r="K136" s="222"/>
      <c r="L136" s="222"/>
      <c r="M136" s="222"/>
      <c r="N136" s="222"/>
      <c r="O136" s="222"/>
      <c r="P136" s="222"/>
      <c r="Q136" s="222"/>
      <c r="R136" s="222"/>
      <c r="S136" s="222"/>
      <c r="T136" s="222"/>
      <c r="U136" s="222"/>
      <c r="V136" s="222"/>
      <c r="W136" s="222"/>
      <c r="X136" s="222"/>
      <c r="Y136" s="222"/>
      <c r="Z136" s="222"/>
      <c r="AA136" s="222"/>
      <c r="AB136" s="222"/>
      <c r="AC136" s="222"/>
    </row>
    <row r="137" spans="9:29" x14ac:dyDescent="0.25">
      <c r="I137" s="222"/>
      <c r="J137" s="222"/>
      <c r="K137" s="222"/>
      <c r="L137" s="222"/>
      <c r="M137" s="222"/>
      <c r="N137" s="222"/>
      <c r="O137" s="222"/>
      <c r="P137" s="222"/>
      <c r="Q137" s="222"/>
      <c r="R137" s="222"/>
      <c r="S137" s="222"/>
      <c r="T137" s="222"/>
      <c r="U137" s="222"/>
      <c r="V137" s="222"/>
      <c r="W137" s="222"/>
      <c r="X137" s="222"/>
      <c r="Y137" s="222"/>
      <c r="Z137" s="222"/>
      <c r="AA137" s="222"/>
      <c r="AB137" s="222"/>
      <c r="AC137" s="222"/>
    </row>
    <row r="138" spans="9:29" x14ac:dyDescent="0.25">
      <c r="I138" s="222"/>
      <c r="J138" s="222"/>
      <c r="K138" s="222"/>
      <c r="L138" s="222"/>
      <c r="M138" s="222"/>
      <c r="N138" s="222"/>
      <c r="O138" s="222"/>
      <c r="P138" s="222"/>
      <c r="Q138" s="222"/>
      <c r="R138" s="222"/>
      <c r="S138" s="222"/>
      <c r="T138" s="222"/>
      <c r="U138" s="222"/>
      <c r="V138" s="222"/>
      <c r="W138" s="222"/>
      <c r="X138" s="222"/>
      <c r="Y138" s="222"/>
      <c r="Z138" s="222"/>
      <c r="AA138" s="222"/>
      <c r="AB138" s="222"/>
      <c r="AC138" s="222"/>
    </row>
    <row r="139" spans="9:29" x14ac:dyDescent="0.25">
      <c r="I139" s="222"/>
      <c r="J139" s="222"/>
      <c r="K139" s="222"/>
      <c r="L139" s="222"/>
      <c r="M139" s="222"/>
      <c r="N139" s="222"/>
      <c r="O139" s="222"/>
      <c r="P139" s="222"/>
      <c r="Q139" s="222"/>
      <c r="R139" s="222"/>
      <c r="S139" s="222"/>
      <c r="T139" s="222"/>
      <c r="U139" s="222"/>
      <c r="V139" s="222"/>
      <c r="W139" s="222"/>
      <c r="X139" s="222"/>
      <c r="Y139" s="222"/>
      <c r="Z139" s="222"/>
      <c r="AA139" s="222"/>
      <c r="AB139" s="222"/>
      <c r="AC139" s="222"/>
    </row>
    <row r="140" spans="9:29" x14ac:dyDescent="0.25">
      <c r="I140" s="222"/>
      <c r="J140" s="222"/>
      <c r="K140" s="222"/>
      <c r="L140" s="222"/>
      <c r="M140" s="222"/>
      <c r="N140" s="222"/>
      <c r="O140" s="222"/>
      <c r="P140" s="222"/>
      <c r="Q140" s="222"/>
      <c r="R140" s="222"/>
      <c r="S140" s="222"/>
      <c r="T140" s="222"/>
      <c r="U140" s="222"/>
      <c r="V140" s="222"/>
      <c r="W140" s="222"/>
      <c r="X140" s="222"/>
      <c r="Y140" s="222"/>
      <c r="Z140" s="222"/>
      <c r="AA140" s="222"/>
      <c r="AB140" s="222"/>
      <c r="AC140" s="222"/>
    </row>
    <row r="141" spans="9:29" x14ac:dyDescent="0.25">
      <c r="I141" s="222"/>
      <c r="J141" s="222"/>
      <c r="K141" s="222"/>
      <c r="L141" s="222"/>
      <c r="M141" s="222"/>
      <c r="N141" s="222"/>
      <c r="O141" s="222"/>
      <c r="P141" s="222"/>
      <c r="Q141" s="222"/>
      <c r="R141" s="222"/>
      <c r="S141" s="222"/>
      <c r="T141" s="222"/>
      <c r="U141" s="222"/>
      <c r="V141" s="222"/>
      <c r="W141" s="222"/>
      <c r="X141" s="222"/>
      <c r="Y141" s="222"/>
      <c r="Z141" s="222"/>
      <c r="AA141" s="222"/>
      <c r="AB141" s="222"/>
      <c r="AC141" s="222"/>
    </row>
    <row r="142" spans="9:29" x14ac:dyDescent="0.25">
      <c r="I142" s="222"/>
      <c r="J142" s="222"/>
      <c r="K142" s="222"/>
      <c r="L142" s="222"/>
      <c r="M142" s="222"/>
      <c r="N142" s="222"/>
      <c r="O142" s="222"/>
      <c r="P142" s="222"/>
      <c r="Q142" s="222"/>
      <c r="R142" s="222"/>
      <c r="S142" s="222"/>
      <c r="T142" s="222"/>
      <c r="U142" s="222"/>
      <c r="V142" s="222"/>
      <c r="W142" s="222"/>
      <c r="X142" s="222"/>
      <c r="Y142" s="222"/>
      <c r="Z142" s="222"/>
      <c r="AA142" s="222"/>
      <c r="AB142" s="222"/>
      <c r="AC142" s="222"/>
    </row>
    <row r="143" spans="9:29" x14ac:dyDescent="0.25">
      <c r="I143" s="222"/>
      <c r="J143" s="222"/>
      <c r="K143" s="222"/>
      <c r="L143" s="222"/>
      <c r="M143" s="222"/>
      <c r="N143" s="222"/>
      <c r="O143" s="222"/>
      <c r="P143" s="222"/>
      <c r="Q143" s="222"/>
      <c r="R143" s="222"/>
      <c r="S143" s="222"/>
      <c r="T143" s="222"/>
      <c r="U143" s="222"/>
      <c r="V143" s="222"/>
      <c r="W143" s="222"/>
      <c r="X143" s="222"/>
      <c r="Y143" s="222"/>
      <c r="Z143" s="222"/>
      <c r="AA143" s="222"/>
      <c r="AB143" s="222"/>
      <c r="AC143" s="222"/>
    </row>
    <row r="144" spans="9:29" x14ac:dyDescent="0.25">
      <c r="I144" s="222"/>
      <c r="J144" s="222"/>
      <c r="K144" s="222"/>
      <c r="L144" s="222"/>
      <c r="M144" s="222"/>
      <c r="N144" s="222"/>
      <c r="O144" s="222"/>
      <c r="P144" s="222"/>
      <c r="Q144" s="222"/>
      <c r="R144" s="222"/>
      <c r="S144" s="222"/>
      <c r="T144" s="222"/>
      <c r="U144" s="222"/>
      <c r="V144" s="222"/>
      <c r="W144" s="222"/>
      <c r="X144" s="222"/>
      <c r="Y144" s="222"/>
      <c r="Z144" s="222"/>
      <c r="AA144" s="222"/>
      <c r="AB144" s="222"/>
      <c r="AC144" s="222"/>
    </row>
    <row r="145" spans="9:29" x14ac:dyDescent="0.25">
      <c r="I145" s="222"/>
      <c r="J145" s="222"/>
      <c r="K145" s="222"/>
      <c r="L145" s="222"/>
      <c r="M145" s="222"/>
      <c r="N145" s="222"/>
      <c r="O145" s="222"/>
      <c r="P145" s="222"/>
      <c r="Q145" s="222"/>
      <c r="R145" s="222"/>
      <c r="S145" s="222"/>
      <c r="T145" s="222"/>
      <c r="U145" s="222"/>
      <c r="V145" s="222"/>
      <c r="W145" s="222"/>
      <c r="X145" s="222"/>
      <c r="Y145" s="222"/>
      <c r="Z145" s="222"/>
      <c r="AA145" s="222"/>
      <c r="AB145" s="222"/>
      <c r="AC145" s="222"/>
    </row>
    <row r="146" spans="9:29" x14ac:dyDescent="0.25">
      <c r="I146" s="222"/>
      <c r="J146" s="222"/>
      <c r="K146" s="222"/>
      <c r="L146" s="222"/>
      <c r="M146" s="222"/>
      <c r="N146" s="222"/>
      <c r="O146" s="222"/>
      <c r="P146" s="222"/>
      <c r="Q146" s="222"/>
      <c r="R146" s="222"/>
      <c r="S146" s="222"/>
      <c r="T146" s="222"/>
      <c r="U146" s="222"/>
      <c r="V146" s="222"/>
      <c r="W146" s="222"/>
      <c r="X146" s="222"/>
      <c r="Y146" s="222"/>
      <c r="Z146" s="222"/>
      <c r="AA146" s="222"/>
      <c r="AB146" s="222"/>
      <c r="AC146" s="222"/>
    </row>
    <row r="147" spans="9:29" x14ac:dyDescent="0.25">
      <c r="I147" s="222"/>
      <c r="J147" s="222"/>
      <c r="K147" s="222"/>
      <c r="L147" s="222"/>
      <c r="M147" s="222"/>
      <c r="N147" s="222"/>
      <c r="O147" s="222"/>
      <c r="P147" s="222"/>
      <c r="Q147" s="222"/>
      <c r="R147" s="222"/>
      <c r="S147" s="222"/>
      <c r="T147" s="222"/>
      <c r="U147" s="222"/>
      <c r="V147" s="222"/>
      <c r="W147" s="222"/>
      <c r="X147" s="222"/>
      <c r="Y147" s="222"/>
      <c r="Z147" s="222"/>
      <c r="AA147" s="222"/>
      <c r="AB147" s="222"/>
      <c r="AC147" s="222"/>
    </row>
    <row r="148" spans="9:29" x14ac:dyDescent="0.25">
      <c r="I148" s="222"/>
      <c r="J148" s="222"/>
      <c r="K148" s="222"/>
      <c r="L148" s="222"/>
      <c r="M148" s="222"/>
      <c r="N148" s="222"/>
      <c r="O148" s="222"/>
      <c r="P148" s="222"/>
      <c r="Q148" s="222"/>
      <c r="R148" s="222"/>
      <c r="S148" s="222"/>
      <c r="T148" s="222"/>
      <c r="U148" s="222"/>
      <c r="V148" s="222"/>
      <c r="W148" s="222"/>
      <c r="X148" s="222"/>
      <c r="Y148" s="222"/>
      <c r="Z148" s="222"/>
      <c r="AA148" s="222"/>
      <c r="AB148" s="222"/>
      <c r="AC148" s="222"/>
    </row>
    <row r="149" spans="9:29" x14ac:dyDescent="0.25">
      <c r="I149" s="222"/>
      <c r="J149" s="222"/>
      <c r="K149" s="222"/>
      <c r="L149" s="222"/>
      <c r="M149" s="222"/>
      <c r="N149" s="222"/>
      <c r="O149" s="222"/>
      <c r="P149" s="222"/>
      <c r="Q149" s="222"/>
      <c r="R149" s="222"/>
      <c r="S149" s="222"/>
      <c r="T149" s="222"/>
      <c r="U149" s="222"/>
      <c r="V149" s="222"/>
      <c r="W149" s="222"/>
      <c r="X149" s="222"/>
      <c r="Y149" s="222"/>
      <c r="Z149" s="222"/>
      <c r="AA149" s="222"/>
      <c r="AB149" s="222"/>
      <c r="AC149" s="222"/>
    </row>
    <row r="150" spans="9:29" x14ac:dyDescent="0.25">
      <c r="I150" s="222"/>
      <c r="J150" s="222"/>
      <c r="K150" s="222"/>
      <c r="L150" s="222"/>
      <c r="M150" s="222"/>
      <c r="N150" s="222"/>
      <c r="O150" s="222"/>
      <c r="P150" s="222"/>
      <c r="Q150" s="222"/>
      <c r="R150" s="222"/>
      <c r="S150" s="222"/>
      <c r="T150" s="222"/>
      <c r="U150" s="222"/>
      <c r="V150" s="222"/>
      <c r="W150" s="222"/>
      <c r="X150" s="222"/>
      <c r="Y150" s="222"/>
      <c r="Z150" s="222"/>
      <c r="AA150" s="222"/>
      <c r="AB150" s="222"/>
      <c r="AC150" s="222"/>
    </row>
    <row r="151" spans="9:29" x14ac:dyDescent="0.25">
      <c r="I151" s="222"/>
      <c r="J151" s="222"/>
      <c r="K151" s="222"/>
      <c r="L151" s="222"/>
      <c r="M151" s="222"/>
      <c r="N151" s="222"/>
      <c r="O151" s="222"/>
      <c r="P151" s="222"/>
      <c r="Q151" s="222"/>
      <c r="R151" s="222"/>
      <c r="S151" s="222"/>
      <c r="T151" s="222"/>
      <c r="U151" s="222"/>
      <c r="V151" s="222"/>
      <c r="W151" s="222"/>
      <c r="X151" s="222"/>
      <c r="Y151" s="222"/>
      <c r="Z151" s="222"/>
      <c r="AA151" s="222"/>
      <c r="AB151" s="222"/>
      <c r="AC151" s="222"/>
    </row>
    <row r="152" spans="9:29" x14ac:dyDescent="0.25">
      <c r="I152" s="222"/>
      <c r="J152" s="222"/>
      <c r="K152" s="222"/>
      <c r="L152" s="222"/>
      <c r="M152" s="222"/>
      <c r="N152" s="222"/>
      <c r="O152" s="222"/>
      <c r="P152" s="222"/>
      <c r="Q152" s="222"/>
      <c r="R152" s="222"/>
      <c r="S152" s="222"/>
      <c r="T152" s="222"/>
      <c r="U152" s="222"/>
      <c r="V152" s="222"/>
      <c r="W152" s="222"/>
      <c r="X152" s="222"/>
      <c r="Y152" s="222"/>
      <c r="Z152" s="222"/>
      <c r="AA152" s="222"/>
      <c r="AB152" s="222"/>
      <c r="AC152" s="222"/>
    </row>
    <row r="153" spans="9:29" x14ac:dyDescent="0.25">
      <c r="I153" s="222"/>
      <c r="J153" s="222"/>
      <c r="K153" s="222"/>
      <c r="L153" s="222"/>
      <c r="M153" s="222"/>
      <c r="N153" s="222"/>
      <c r="O153" s="222"/>
      <c r="P153" s="222"/>
      <c r="Q153" s="222"/>
      <c r="R153" s="222"/>
      <c r="S153" s="222"/>
      <c r="T153" s="222"/>
      <c r="U153" s="222"/>
      <c r="V153" s="222"/>
      <c r="W153" s="222"/>
      <c r="X153" s="222"/>
      <c r="Y153" s="222"/>
      <c r="Z153" s="222"/>
      <c r="AA153" s="222"/>
      <c r="AB153" s="222"/>
      <c r="AC153" s="222"/>
    </row>
    <row r="154" spans="9:29" x14ac:dyDescent="0.25">
      <c r="I154" s="222"/>
      <c r="J154" s="222"/>
      <c r="K154" s="222"/>
      <c r="L154" s="222"/>
      <c r="M154" s="222"/>
      <c r="N154" s="222"/>
      <c r="O154" s="222"/>
      <c r="P154" s="222"/>
      <c r="Q154" s="222"/>
      <c r="R154" s="222"/>
      <c r="S154" s="222"/>
      <c r="T154" s="222"/>
      <c r="U154" s="222"/>
      <c r="V154" s="222"/>
      <c r="W154" s="222"/>
      <c r="X154" s="222"/>
      <c r="Y154" s="222"/>
      <c r="Z154" s="222"/>
      <c r="AA154" s="222"/>
      <c r="AB154" s="222"/>
      <c r="AC154" s="222"/>
    </row>
    <row r="155" spans="9:29" x14ac:dyDescent="0.25">
      <c r="I155" s="222"/>
      <c r="J155" s="222"/>
      <c r="K155" s="222"/>
      <c r="L155" s="222"/>
      <c r="M155" s="222"/>
      <c r="N155" s="222"/>
      <c r="O155" s="222"/>
      <c r="P155" s="222"/>
      <c r="Q155" s="222"/>
      <c r="R155" s="222"/>
      <c r="S155" s="222"/>
      <c r="T155" s="222"/>
      <c r="U155" s="222"/>
      <c r="V155" s="222"/>
      <c r="W155" s="222"/>
      <c r="X155" s="222"/>
      <c r="Y155" s="222"/>
      <c r="Z155" s="222"/>
      <c r="AA155" s="222"/>
      <c r="AB155" s="222"/>
      <c r="AC155" s="222"/>
    </row>
    <row r="156" spans="9:29" x14ac:dyDescent="0.25">
      <c r="I156" s="222"/>
      <c r="J156" s="222"/>
      <c r="K156" s="222"/>
      <c r="L156" s="222"/>
      <c r="M156" s="222"/>
      <c r="N156" s="222"/>
      <c r="O156" s="222"/>
      <c r="P156" s="222"/>
      <c r="Q156" s="222"/>
      <c r="R156" s="222"/>
      <c r="S156" s="222"/>
      <c r="T156" s="222"/>
      <c r="U156" s="222"/>
      <c r="V156" s="222"/>
      <c r="W156" s="222"/>
      <c r="X156" s="222"/>
      <c r="Y156" s="222"/>
      <c r="Z156" s="222"/>
      <c r="AA156" s="222"/>
      <c r="AB156" s="222"/>
      <c r="AC156" s="222"/>
    </row>
    <row r="157" spans="9:29" x14ac:dyDescent="0.25">
      <c r="I157" s="222"/>
      <c r="J157" s="222"/>
      <c r="K157" s="222"/>
      <c r="L157" s="222"/>
      <c r="M157" s="222"/>
      <c r="N157" s="222"/>
      <c r="O157" s="222"/>
      <c r="P157" s="222"/>
      <c r="Q157" s="222"/>
      <c r="R157" s="222"/>
      <c r="S157" s="222"/>
      <c r="T157" s="222"/>
      <c r="U157" s="222"/>
      <c r="V157" s="222"/>
      <c r="W157" s="222"/>
      <c r="X157" s="222"/>
      <c r="Y157" s="222"/>
      <c r="Z157" s="222"/>
      <c r="AA157" s="222"/>
      <c r="AB157" s="222"/>
      <c r="AC157" s="222"/>
    </row>
    <row r="158" spans="9:29" x14ac:dyDescent="0.25">
      <c r="I158" s="222"/>
      <c r="J158" s="222"/>
      <c r="K158" s="222"/>
      <c r="L158" s="222"/>
      <c r="M158" s="222"/>
      <c r="N158" s="222"/>
      <c r="O158" s="222"/>
      <c r="P158" s="222"/>
      <c r="Q158" s="222"/>
      <c r="R158" s="222"/>
      <c r="S158" s="222"/>
      <c r="T158" s="222"/>
      <c r="U158" s="222"/>
      <c r="V158" s="222"/>
      <c r="W158" s="222"/>
      <c r="X158" s="222"/>
      <c r="Y158" s="222"/>
      <c r="Z158" s="222"/>
      <c r="AA158" s="222"/>
      <c r="AB158" s="222"/>
      <c r="AC158" s="222"/>
    </row>
    <row r="159" spans="9:29" x14ac:dyDescent="0.25">
      <c r="I159" s="222"/>
      <c r="J159" s="222"/>
      <c r="K159" s="222"/>
      <c r="L159" s="222"/>
      <c r="M159" s="222"/>
      <c r="N159" s="222"/>
      <c r="O159" s="222"/>
      <c r="P159" s="222"/>
      <c r="Q159" s="222"/>
      <c r="R159" s="222"/>
      <c r="S159" s="222"/>
      <c r="T159" s="222"/>
      <c r="U159" s="222"/>
      <c r="V159" s="222"/>
      <c r="W159" s="222"/>
      <c r="X159" s="222"/>
      <c r="Y159" s="222"/>
      <c r="Z159" s="222"/>
      <c r="AA159" s="222"/>
      <c r="AB159" s="222"/>
      <c r="AC159" s="222"/>
    </row>
    <row r="160" spans="9:29" x14ac:dyDescent="0.25">
      <c r="I160" s="222"/>
      <c r="J160" s="222"/>
      <c r="K160" s="222"/>
      <c r="L160" s="222"/>
      <c r="M160" s="222"/>
      <c r="N160" s="222"/>
      <c r="O160" s="222"/>
      <c r="P160" s="222"/>
      <c r="Q160" s="222"/>
      <c r="R160" s="222"/>
      <c r="S160" s="222"/>
      <c r="T160" s="222"/>
      <c r="U160" s="222"/>
      <c r="V160" s="222"/>
      <c r="W160" s="222"/>
      <c r="X160" s="222"/>
      <c r="Y160" s="222"/>
      <c r="Z160" s="222"/>
      <c r="AA160" s="222"/>
      <c r="AB160" s="222"/>
      <c r="AC160" s="222"/>
    </row>
    <row r="161" spans="9:29" x14ac:dyDescent="0.25">
      <c r="I161" s="222"/>
      <c r="J161" s="222"/>
      <c r="K161" s="222"/>
      <c r="L161" s="222"/>
      <c r="M161" s="222"/>
      <c r="N161" s="222"/>
      <c r="O161" s="222"/>
      <c r="P161" s="222"/>
      <c r="Q161" s="222"/>
      <c r="R161" s="222"/>
      <c r="S161" s="222"/>
      <c r="T161" s="222"/>
      <c r="U161" s="222"/>
      <c r="V161" s="222"/>
      <c r="W161" s="222"/>
      <c r="X161" s="222"/>
      <c r="Y161" s="222"/>
      <c r="Z161" s="222"/>
      <c r="AA161" s="222"/>
      <c r="AB161" s="222"/>
      <c r="AC161" s="222"/>
    </row>
    <row r="162" spans="9:29" x14ac:dyDescent="0.25">
      <c r="I162" s="222"/>
      <c r="J162" s="222"/>
      <c r="K162" s="222"/>
      <c r="L162" s="222"/>
      <c r="M162" s="222"/>
      <c r="N162" s="222"/>
      <c r="O162" s="222"/>
      <c r="P162" s="222"/>
      <c r="Q162" s="222"/>
      <c r="R162" s="222"/>
      <c r="S162" s="222"/>
      <c r="T162" s="222"/>
      <c r="U162" s="222"/>
      <c r="V162" s="222"/>
      <c r="W162" s="222"/>
      <c r="X162" s="222"/>
      <c r="Y162" s="222"/>
      <c r="Z162" s="222"/>
      <c r="AA162" s="222"/>
      <c r="AB162" s="222"/>
      <c r="AC162" s="222"/>
    </row>
    <row r="163" spans="9:29" x14ac:dyDescent="0.25">
      <c r="I163" s="222"/>
      <c r="J163" s="222"/>
      <c r="K163" s="222"/>
      <c r="L163" s="222"/>
      <c r="M163" s="222"/>
      <c r="N163" s="222"/>
      <c r="O163" s="222"/>
      <c r="P163" s="222"/>
      <c r="Q163" s="222"/>
      <c r="R163" s="222"/>
      <c r="S163" s="222"/>
      <c r="T163" s="222"/>
      <c r="U163" s="222"/>
      <c r="V163" s="222"/>
      <c r="W163" s="222"/>
      <c r="X163" s="222"/>
      <c r="Y163" s="222"/>
      <c r="Z163" s="222"/>
      <c r="AA163" s="222"/>
      <c r="AB163" s="222"/>
      <c r="AC163" s="222"/>
    </row>
    <row r="164" spans="9:29" x14ac:dyDescent="0.25">
      <c r="I164" s="222"/>
      <c r="J164" s="222"/>
      <c r="K164" s="222"/>
      <c r="L164" s="222"/>
      <c r="M164" s="222"/>
      <c r="N164" s="222"/>
      <c r="O164" s="222"/>
      <c r="P164" s="222"/>
      <c r="Q164" s="222"/>
      <c r="R164" s="222"/>
      <c r="S164" s="222"/>
      <c r="T164" s="222"/>
      <c r="U164" s="222"/>
      <c r="V164" s="222"/>
      <c r="W164" s="222"/>
      <c r="X164" s="222"/>
      <c r="Y164" s="222"/>
      <c r="Z164" s="222"/>
      <c r="AA164" s="222"/>
      <c r="AB164" s="222"/>
      <c r="AC164" s="222"/>
    </row>
    <row r="165" spans="9:29" x14ac:dyDescent="0.25">
      <c r="I165" s="222"/>
      <c r="J165" s="222"/>
      <c r="K165" s="222"/>
      <c r="L165" s="222"/>
      <c r="M165" s="222"/>
      <c r="N165" s="222"/>
      <c r="O165" s="222"/>
      <c r="P165" s="222"/>
      <c r="Q165" s="222"/>
      <c r="R165" s="222"/>
      <c r="S165" s="222"/>
      <c r="T165" s="222"/>
      <c r="U165" s="222"/>
      <c r="V165" s="222"/>
      <c r="W165" s="222"/>
      <c r="X165" s="222"/>
      <c r="Y165" s="222"/>
      <c r="Z165" s="222"/>
      <c r="AA165" s="222"/>
      <c r="AB165" s="222"/>
      <c r="AC165" s="222"/>
    </row>
    <row r="166" spans="9:29" x14ac:dyDescent="0.25">
      <c r="I166" s="222"/>
      <c r="J166" s="222"/>
      <c r="K166" s="222"/>
      <c r="L166" s="222"/>
      <c r="M166" s="222"/>
      <c r="N166" s="222"/>
      <c r="O166" s="222"/>
      <c r="P166" s="222"/>
      <c r="Q166" s="222"/>
      <c r="R166" s="222"/>
      <c r="S166" s="222"/>
      <c r="T166" s="222"/>
      <c r="U166" s="222"/>
      <c r="V166" s="222"/>
      <c r="W166" s="222"/>
      <c r="X166" s="222"/>
      <c r="Y166" s="222"/>
      <c r="Z166" s="222"/>
      <c r="AA166" s="222"/>
      <c r="AB166" s="222"/>
      <c r="AC166" s="222"/>
    </row>
    <row r="167" spans="9:29" x14ac:dyDescent="0.25">
      <c r="I167" s="222"/>
      <c r="J167" s="222"/>
      <c r="K167" s="222"/>
      <c r="L167" s="222"/>
      <c r="M167" s="222"/>
      <c r="N167" s="222"/>
      <c r="O167" s="222"/>
      <c r="P167" s="222"/>
      <c r="Q167" s="222"/>
      <c r="R167" s="222"/>
      <c r="S167" s="222"/>
      <c r="T167" s="222"/>
      <c r="U167" s="222"/>
      <c r="V167" s="222"/>
      <c r="W167" s="222"/>
      <c r="X167" s="222"/>
      <c r="Y167" s="222"/>
      <c r="Z167" s="222"/>
      <c r="AA167" s="222"/>
      <c r="AB167" s="222"/>
      <c r="AC167" s="222"/>
    </row>
    <row r="168" spans="9:29" x14ac:dyDescent="0.25">
      <c r="I168" s="222"/>
      <c r="J168" s="222"/>
      <c r="K168" s="222"/>
      <c r="L168" s="222"/>
      <c r="M168" s="222"/>
      <c r="N168" s="222"/>
      <c r="O168" s="222"/>
      <c r="P168" s="222"/>
      <c r="Q168" s="222"/>
      <c r="R168" s="222"/>
      <c r="S168" s="222"/>
      <c r="T168" s="222"/>
      <c r="U168" s="222"/>
      <c r="V168" s="222"/>
      <c r="W168" s="222"/>
      <c r="X168" s="222"/>
      <c r="Y168" s="222"/>
      <c r="Z168" s="222"/>
      <c r="AA168" s="222"/>
      <c r="AB168" s="222"/>
      <c r="AC168" s="222"/>
    </row>
    <row r="169" spans="9:29" x14ac:dyDescent="0.25">
      <c r="I169" s="222"/>
      <c r="J169" s="222"/>
      <c r="K169" s="222"/>
      <c r="L169" s="222"/>
      <c r="M169" s="222"/>
      <c r="N169" s="222"/>
      <c r="O169" s="222"/>
      <c r="P169" s="222"/>
      <c r="Q169" s="222"/>
      <c r="R169" s="222"/>
      <c r="S169" s="222"/>
      <c r="T169" s="222"/>
      <c r="U169" s="222"/>
      <c r="V169" s="222"/>
      <c r="W169" s="222"/>
      <c r="X169" s="222"/>
      <c r="Y169" s="222"/>
      <c r="Z169" s="222"/>
      <c r="AA169" s="222"/>
      <c r="AB169" s="222"/>
      <c r="AC169" s="222"/>
    </row>
    <row r="170" spans="9:29" x14ac:dyDescent="0.25">
      <c r="I170" s="222"/>
      <c r="J170" s="222"/>
      <c r="K170" s="222"/>
      <c r="L170" s="222"/>
      <c r="M170" s="222"/>
      <c r="N170" s="222"/>
      <c r="O170" s="222"/>
      <c r="P170" s="222"/>
      <c r="Q170" s="222"/>
      <c r="R170" s="222"/>
      <c r="S170" s="222"/>
      <c r="T170" s="222"/>
      <c r="U170" s="222"/>
      <c r="V170" s="222"/>
      <c r="W170" s="222"/>
      <c r="X170" s="222"/>
      <c r="Y170" s="222"/>
      <c r="Z170" s="222"/>
      <c r="AA170" s="222"/>
      <c r="AB170" s="222"/>
      <c r="AC170" s="222"/>
    </row>
    <row r="171" spans="9:29" x14ac:dyDescent="0.25">
      <c r="I171" s="222"/>
      <c r="J171" s="222"/>
      <c r="K171" s="222"/>
      <c r="L171" s="222"/>
      <c r="M171" s="222"/>
      <c r="N171" s="222"/>
      <c r="O171" s="222"/>
      <c r="P171" s="222"/>
      <c r="Q171" s="222"/>
      <c r="R171" s="222"/>
      <c r="S171" s="222"/>
      <c r="T171" s="222"/>
      <c r="U171" s="222"/>
      <c r="V171" s="222"/>
      <c r="W171" s="222"/>
      <c r="X171" s="222"/>
      <c r="Y171" s="222"/>
      <c r="Z171" s="222"/>
      <c r="AA171" s="222"/>
      <c r="AB171" s="222"/>
      <c r="AC171" s="222"/>
    </row>
  </sheetData>
  <mergeCells count="10">
    <mergeCell ref="I2:I3"/>
    <mergeCell ref="J2:K3"/>
    <mergeCell ref="A1:H1"/>
    <mergeCell ref="A2:A3"/>
    <mergeCell ref="B2:B3"/>
    <mergeCell ref="D2:D3"/>
    <mergeCell ref="E2:E3"/>
    <mergeCell ref="F2:F3"/>
    <mergeCell ref="G2:G3"/>
    <mergeCell ref="H2:H3"/>
  </mergeCells>
  <pageMargins left="0.7" right="0.7" top="0.75" bottom="0.75" header="0.3" footer="0.3"/>
  <pageSetup paperSize="9" scale="2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104"/>
  <sheetViews>
    <sheetView zoomScale="80" zoomScaleNormal="80" workbookViewId="0">
      <pane xSplit="9" ySplit="3" topLeftCell="J7" activePane="bottomRight" state="frozen"/>
      <selection pane="topRight" activeCell="J1" sqref="J1"/>
      <selection pane="bottomLeft" activeCell="A4" sqref="A4"/>
      <selection pane="bottomRight" activeCell="AC34" sqref="AC34"/>
    </sheetView>
  </sheetViews>
  <sheetFormatPr defaultColWidth="9.5703125" defaultRowHeight="15.75" outlineLevelCol="2" x14ac:dyDescent="0.25"/>
  <cols>
    <col min="1" max="1" width="7.7109375" style="142" customWidth="1"/>
    <col min="2" max="2" width="53.140625" style="142" customWidth="1"/>
    <col min="3" max="3" width="11.5703125" style="142" customWidth="1"/>
    <col min="4" max="4" width="9.5703125" style="142" customWidth="1"/>
    <col min="5" max="5" width="13.28515625" style="142" customWidth="1"/>
    <col min="6" max="6" width="7.28515625" style="151" customWidth="1"/>
    <col min="7" max="7" width="7" style="151" customWidth="1"/>
    <col min="8" max="8" width="16" style="142" customWidth="1"/>
    <col min="9" max="9" width="35.28515625" style="142" customWidth="1"/>
    <col min="10" max="10" width="9.5703125" style="150"/>
    <col min="11" max="11" width="17.5703125" style="146" customWidth="1"/>
    <col min="12" max="12" width="15.140625" style="149" hidden="1" customWidth="1" outlineLevel="1"/>
    <col min="13" max="13" width="15.42578125" style="148" hidden="1" customWidth="1" outlineLevel="1"/>
    <col min="14" max="14" width="14.28515625" style="148" hidden="1" customWidth="1" outlineLevel="1"/>
    <col min="15" max="15" width="9" style="147" hidden="1" customWidth="1"/>
    <col min="16" max="16" width="20.140625" style="147" customWidth="1"/>
    <col min="17" max="17" width="16" style="142" hidden="1" customWidth="1" outlineLevel="1"/>
    <col min="18" max="18" width="14.140625" style="142" hidden="1" customWidth="1" outlineLevel="1"/>
    <col min="19" max="19" width="13.140625" style="147" customWidth="1" outlineLevel="1"/>
    <col min="20" max="20" width="13" style="146" hidden="1" customWidth="1" outlineLevel="1"/>
    <col min="21" max="21" width="15.5703125" style="142" hidden="1" customWidth="1" outlineLevel="2"/>
    <col min="22" max="23" width="14.140625" style="145" hidden="1" customWidth="1" outlineLevel="2"/>
    <col min="24" max="25" width="14.140625" style="142" hidden="1" customWidth="1" outlineLevel="1"/>
    <col min="26" max="26" width="18.42578125" style="144" hidden="1" customWidth="1"/>
    <col min="27" max="28" width="14.140625" style="142" hidden="1" customWidth="1" outlineLevel="1"/>
    <col min="29" max="29" width="9.5703125" style="147" customWidth="1" outlineLevel="1"/>
    <col min="30" max="30" width="13" style="146" hidden="1" customWidth="1" outlineLevel="1"/>
    <col min="31" max="31" width="16.5703125" style="142" hidden="1" customWidth="1" outlineLevel="2"/>
    <col min="32" max="33" width="14.140625" style="145" hidden="1" customWidth="1" outlineLevel="2"/>
    <col min="34" max="35" width="14.140625" style="142" hidden="1" customWidth="1" outlineLevel="1"/>
    <col min="36" max="36" width="18.140625" style="144" hidden="1" customWidth="1"/>
    <col min="37" max="38" width="14.140625" style="142" hidden="1" customWidth="1" outlineLevel="1"/>
    <col min="39" max="39" width="14.140625" style="144" hidden="1" customWidth="1"/>
    <col min="40" max="40" width="18.140625" style="143" customWidth="1"/>
    <col min="41" max="45" width="9.5703125" style="142" hidden="1" customWidth="1"/>
    <col min="46" max="46" width="22" style="142" customWidth="1"/>
    <col min="47" max="47" width="18.42578125" style="142" customWidth="1"/>
    <col min="48" max="16384" width="9.5703125" style="142"/>
  </cols>
  <sheetData>
    <row r="1" spans="1:47" ht="31.5" x14ac:dyDescent="0.25">
      <c r="B1" s="142" t="s">
        <v>323</v>
      </c>
      <c r="C1" s="142" t="s">
        <v>324</v>
      </c>
      <c r="D1" s="210">
        <v>0.17249999999999999</v>
      </c>
      <c r="E1" s="142" t="s">
        <v>325</v>
      </c>
      <c r="F1" s="151" t="s">
        <v>326</v>
      </c>
      <c r="K1" s="146">
        <f t="shared" ref="K1:P1" si="0">SUBTOTAL(9,K4:K30)</f>
        <v>4462.7206001622062</v>
      </c>
      <c r="L1" s="209">
        <f t="shared" si="0"/>
        <v>303621.36111111112</v>
      </c>
      <c r="M1" s="208">
        <f t="shared" si="0"/>
        <v>2972.4736861313868</v>
      </c>
      <c r="N1" s="208">
        <f t="shared" si="0"/>
        <v>1330.2737175587997</v>
      </c>
      <c r="O1" s="147">
        <f t="shared" si="0"/>
        <v>79</v>
      </c>
      <c r="P1" s="147">
        <f t="shared" si="0"/>
        <v>391</v>
      </c>
      <c r="Q1" s="206"/>
      <c r="R1" s="206"/>
      <c r="S1" s="147">
        <f>SUBTOTAL(9,S4:S30)</f>
        <v>743</v>
      </c>
      <c r="T1" s="146">
        <f>SUBTOTAL(9,T4:T30)</f>
        <v>4432.4286293592868</v>
      </c>
      <c r="U1" s="209">
        <f>SUBTOTAL(9,U4:U30)</f>
        <v>303621.36111111112</v>
      </c>
      <c r="V1" s="208">
        <f>SUBTOTAL(9,V4:V30)</f>
        <v>2947.937189781022</v>
      </c>
      <c r="W1" s="208">
        <f>SUBTOTAL(9,W4:W30)</f>
        <v>1319.2928781427413</v>
      </c>
      <c r="X1" s="206"/>
      <c r="Y1" s="206"/>
      <c r="Z1" s="207"/>
      <c r="AA1" s="206"/>
      <c r="AB1" s="206"/>
      <c r="AC1" s="147">
        <f>SUBTOTAL(9,AC4:AC30)</f>
        <v>891</v>
      </c>
      <c r="AD1" s="146">
        <f>SUBTOTAL(9,AD4:AD30)</f>
        <v>4339.4286293592868</v>
      </c>
      <c r="AE1" s="205">
        <f>SUBTOTAL(9,AE4:AE30)</f>
        <v>297250.86111111112</v>
      </c>
      <c r="AF1" s="146">
        <f>SUBTOTAL(9,AF4:AF30)</f>
        <v>2947.937189781022</v>
      </c>
      <c r="AG1" s="146">
        <f>SUBTOTAL(9,AG4:AG30)</f>
        <v>1319.2928781427413</v>
      </c>
    </row>
    <row r="2" spans="1:47" ht="31.5" x14ac:dyDescent="0.25">
      <c r="A2" s="142">
        <v>30.22</v>
      </c>
      <c r="B2" s="142">
        <f>A2*10%</f>
        <v>3.0220000000000002</v>
      </c>
      <c r="C2" s="142">
        <f>(A2-B2)*0.1</f>
        <v>2.7198000000000002</v>
      </c>
      <c r="D2" s="142">
        <f>A2*17.25%</f>
        <v>5.2129499999999993</v>
      </c>
      <c r="E2" s="142">
        <f>SUBTOTAL(9,B2:D2)</f>
        <v>10.954750000000001</v>
      </c>
      <c r="F2" s="151">
        <f>A2-B2-C2</f>
        <v>24.478200000000001</v>
      </c>
      <c r="I2" s="204"/>
      <c r="J2" s="203"/>
      <c r="K2" s="202" t="s">
        <v>327</v>
      </c>
      <c r="L2" s="201">
        <v>68.5</v>
      </c>
      <c r="Q2" s="196">
        <f>SUBTOTAL(9,Q4:Q30)</f>
        <v>94464.466773114356</v>
      </c>
      <c r="R2" s="196">
        <f>SUBTOTAL(9,R4:R30)</f>
        <v>94469.466773114356</v>
      </c>
      <c r="T2" s="200"/>
      <c r="U2" s="199"/>
      <c r="V2" s="198"/>
      <c r="W2" s="198"/>
      <c r="X2" s="196">
        <f>SUBTOTAL(9,X4:X30)</f>
        <v>185508.07153284672</v>
      </c>
      <c r="Y2" s="196">
        <f>SUBTOTAL(9,Y4:Y30)</f>
        <v>185508.07153284672</v>
      </c>
      <c r="Z2" s="196">
        <f>SUBTOTAL(9,Z4:Z30)</f>
        <v>559950.07661192212</v>
      </c>
      <c r="AA2" s="196">
        <f>SUBTOTAL(9,AA4:AA30)</f>
        <v>140868.07153284672</v>
      </c>
      <c r="AB2" s="196">
        <f>SUBTOTAL(9,AB4:AB30)</f>
        <v>140868.07153284672</v>
      </c>
      <c r="AE2" s="149"/>
      <c r="AF2" s="197"/>
      <c r="AG2" s="197"/>
      <c r="AH2" s="196">
        <f t="shared" ref="AH2:AN2" si="1">SUBTOTAL(9,AH4:AH30)</f>
        <v>215667.35818126521</v>
      </c>
      <c r="AI2" s="196">
        <f t="shared" si="1"/>
        <v>215667.35818126521</v>
      </c>
      <c r="AJ2" s="196">
        <f t="shared" si="1"/>
        <v>713070.8594282238</v>
      </c>
      <c r="AK2" s="196">
        <f t="shared" si="1"/>
        <v>215667.35818126521</v>
      </c>
      <c r="AL2" s="196">
        <f t="shared" si="1"/>
        <v>215667.35818126521</v>
      </c>
      <c r="AM2" s="196">
        <f t="shared" si="1"/>
        <v>431334.71636253042</v>
      </c>
      <c r="AN2" s="196">
        <f t="shared" si="1"/>
        <v>1704355.6524026764</v>
      </c>
      <c r="AT2" s="196"/>
      <c r="AU2" s="195"/>
    </row>
    <row r="3" spans="1:47" s="180" customFormat="1" ht="66.75" customHeight="1" x14ac:dyDescent="0.25">
      <c r="A3" s="194" t="s">
        <v>328</v>
      </c>
      <c r="B3" s="194" t="s">
        <v>329</v>
      </c>
      <c r="C3" s="194" t="s">
        <v>330</v>
      </c>
      <c r="D3" s="194" t="s">
        <v>331</v>
      </c>
      <c r="E3" s="194" t="s">
        <v>332</v>
      </c>
      <c r="F3" s="194" t="s">
        <v>218</v>
      </c>
      <c r="G3" s="194" t="s">
        <v>333</v>
      </c>
      <c r="H3" s="194" t="s">
        <v>334</v>
      </c>
      <c r="I3" s="194" t="s">
        <v>306</v>
      </c>
      <c r="J3" s="193" t="s">
        <v>307</v>
      </c>
      <c r="K3" s="189" t="s">
        <v>321</v>
      </c>
      <c r="L3" s="191" t="s">
        <v>398</v>
      </c>
      <c r="M3" s="187" t="s">
        <v>385</v>
      </c>
      <c r="N3" s="187" t="s">
        <v>384</v>
      </c>
      <c r="O3" s="188" t="s">
        <v>397</v>
      </c>
      <c r="P3" s="188" t="s">
        <v>308</v>
      </c>
      <c r="Q3" s="192" t="s">
        <v>396</v>
      </c>
      <c r="R3" s="186" t="s">
        <v>395</v>
      </c>
      <c r="S3" s="188" t="s">
        <v>309</v>
      </c>
      <c r="T3" s="189" t="s">
        <v>394</v>
      </c>
      <c r="U3" s="191" t="s">
        <v>393</v>
      </c>
      <c r="V3" s="187" t="s">
        <v>385</v>
      </c>
      <c r="W3" s="187" t="s">
        <v>384</v>
      </c>
      <c r="X3" s="190" t="s">
        <v>392</v>
      </c>
      <c r="Y3" s="186" t="s">
        <v>391</v>
      </c>
      <c r="Z3" s="185" t="s">
        <v>390</v>
      </c>
      <c r="AA3" s="186" t="s">
        <v>389</v>
      </c>
      <c r="AB3" s="186" t="s">
        <v>388</v>
      </c>
      <c r="AC3" s="188" t="s">
        <v>310</v>
      </c>
      <c r="AD3" s="189" t="s">
        <v>387</v>
      </c>
      <c r="AE3" s="188" t="s">
        <v>386</v>
      </c>
      <c r="AF3" s="187" t="s">
        <v>385</v>
      </c>
      <c r="AG3" s="187" t="s">
        <v>384</v>
      </c>
      <c r="AH3" s="186" t="s">
        <v>383</v>
      </c>
      <c r="AI3" s="186" t="s">
        <v>382</v>
      </c>
      <c r="AJ3" s="185" t="s">
        <v>381</v>
      </c>
      <c r="AK3" s="186" t="s">
        <v>380</v>
      </c>
      <c r="AL3" s="186" t="s">
        <v>379</v>
      </c>
      <c r="AM3" s="185" t="s">
        <v>378</v>
      </c>
      <c r="AN3" s="184" t="s">
        <v>335</v>
      </c>
      <c r="AO3" s="183" t="s">
        <v>377</v>
      </c>
      <c r="AP3" s="183" t="s">
        <v>376</v>
      </c>
      <c r="AQ3" s="183" t="s">
        <v>375</v>
      </c>
      <c r="AR3" s="183" t="s">
        <v>374</v>
      </c>
      <c r="AS3" s="180" t="s">
        <v>373</v>
      </c>
      <c r="AT3" s="182" t="s">
        <v>336</v>
      </c>
      <c r="AU3" s="181" t="s">
        <v>337</v>
      </c>
    </row>
    <row r="4" spans="1:47" s="152" customFormat="1" ht="15.75" customHeight="1" x14ac:dyDescent="0.25">
      <c r="A4" s="179" t="s">
        <v>338</v>
      </c>
      <c r="B4" s="179" t="s">
        <v>339</v>
      </c>
      <c r="C4" s="179" t="s">
        <v>340</v>
      </c>
      <c r="D4" s="157" t="s">
        <v>341</v>
      </c>
      <c r="E4" s="157" t="s">
        <v>342</v>
      </c>
      <c r="F4" s="161" t="s">
        <v>221</v>
      </c>
      <c r="G4" s="161" t="s">
        <v>343</v>
      </c>
      <c r="H4" s="157" t="s">
        <v>549</v>
      </c>
      <c r="I4" s="157" t="s">
        <v>344</v>
      </c>
      <c r="J4" s="160">
        <v>0.5</v>
      </c>
      <c r="K4" s="163">
        <v>150</v>
      </c>
      <c r="L4" s="166">
        <f>K4*$L$2</f>
        <v>10275</v>
      </c>
      <c r="M4" s="167">
        <f t="shared" ref="M4:M12" si="2">K4-(K4*10%)-((K4-K4*10%)*10%)</f>
        <v>121.5</v>
      </c>
      <c r="N4" s="167">
        <f t="shared" ref="N4:N12" si="3">(K4-M4)+K4*17.25%</f>
        <v>54.375</v>
      </c>
      <c r="O4" s="158">
        <v>3</v>
      </c>
      <c r="P4" s="211">
        <v>29</v>
      </c>
      <c r="Q4" s="172">
        <f t="shared" ref="Q4:R12" si="4">($M4+$N4)*$P4*$O4</f>
        <v>15301.125</v>
      </c>
      <c r="R4" s="172">
        <f t="shared" si="4"/>
        <v>15301.125</v>
      </c>
      <c r="S4" s="211">
        <v>40</v>
      </c>
      <c r="T4" s="163">
        <v>150</v>
      </c>
      <c r="U4" s="166">
        <f>T4*$L$2</f>
        <v>10275</v>
      </c>
      <c r="V4" s="168">
        <f t="shared" ref="V4:V12" si="5">T4-(T4*10%)-((T4-T4*10%)*10%)</f>
        <v>121.5</v>
      </c>
      <c r="W4" s="168">
        <f t="shared" ref="W4:W12" si="6">(T4-V4)+T4*17.25%</f>
        <v>54.375</v>
      </c>
      <c r="X4" s="172">
        <f t="shared" ref="X4:Y12" si="7">($V4+$W4)*$S4*$O4</f>
        <v>21105</v>
      </c>
      <c r="Y4" s="172">
        <f t="shared" si="7"/>
        <v>21105</v>
      </c>
      <c r="Z4" s="154">
        <f t="shared" ref="Z4:Z30" si="8">Q4+R4+X4+Y4</f>
        <v>72812.25</v>
      </c>
      <c r="AA4" s="170">
        <f t="shared" ref="AA4:AB12" si="9">($V4+$W4)*$S4*$O4</f>
        <v>21105</v>
      </c>
      <c r="AB4" s="170">
        <f t="shared" si="9"/>
        <v>21105</v>
      </c>
      <c r="AC4" s="211">
        <v>51</v>
      </c>
      <c r="AD4" s="169">
        <v>150</v>
      </c>
      <c r="AE4" s="174">
        <f>AD4*$L$2</f>
        <v>10275</v>
      </c>
      <c r="AF4" s="167">
        <f t="shared" ref="AF4:AF12" si="10">AD4-(AD4*10%)-((AD4-AD4*10%)*10%)</f>
        <v>121.5</v>
      </c>
      <c r="AG4" s="167">
        <f t="shared" ref="AG4:AG12" si="11">(AD4-AF4)+AD4*17.25%</f>
        <v>54.375</v>
      </c>
      <c r="AH4" s="170">
        <f t="shared" ref="AH4:AI12" si="12">($AF4+$AG4)*$AC4*$O4</f>
        <v>26908.875</v>
      </c>
      <c r="AI4" s="170">
        <f t="shared" si="12"/>
        <v>26908.875</v>
      </c>
      <c r="AJ4" s="154">
        <f t="shared" ref="AJ4:AJ30" si="13">AA4+AB4+AH4+AI4</f>
        <v>96027.75</v>
      </c>
      <c r="AK4" s="170">
        <f t="shared" ref="AK4:AL12" si="14">($AF4+$AG4)*$AC4*$O4</f>
        <v>26908.875</v>
      </c>
      <c r="AL4" s="170">
        <f t="shared" si="14"/>
        <v>26908.875</v>
      </c>
      <c r="AM4" s="154">
        <f t="shared" ref="AM4:AM30" si="15">AK4+AL4</f>
        <v>53817.75</v>
      </c>
      <c r="AN4" s="153">
        <f t="shared" ref="AN4:AN30" si="16">Z4+AJ4+AM4</f>
        <v>222657.75</v>
      </c>
      <c r="AU4" s="157"/>
    </row>
    <row r="5" spans="1:47" s="152" customFormat="1" ht="15.75" customHeight="1" x14ac:dyDescent="0.25">
      <c r="A5" s="157" t="s">
        <v>338</v>
      </c>
      <c r="B5" s="157" t="s">
        <v>339</v>
      </c>
      <c r="C5" s="157" t="s">
        <v>340</v>
      </c>
      <c r="D5" s="157" t="s">
        <v>341</v>
      </c>
      <c r="E5" s="157" t="s">
        <v>342</v>
      </c>
      <c r="F5" s="161" t="s">
        <v>221</v>
      </c>
      <c r="G5" s="161" t="s">
        <v>343</v>
      </c>
      <c r="H5" s="157" t="s">
        <v>549</v>
      </c>
      <c r="I5" s="157" t="s">
        <v>302</v>
      </c>
      <c r="J5" s="160">
        <v>0.5</v>
      </c>
      <c r="K5" s="163">
        <v>150</v>
      </c>
      <c r="L5" s="166">
        <f>K5*$L$2</f>
        <v>10275</v>
      </c>
      <c r="M5" s="167">
        <f t="shared" si="2"/>
        <v>121.5</v>
      </c>
      <c r="N5" s="167">
        <f t="shared" si="3"/>
        <v>54.375</v>
      </c>
      <c r="O5" s="158">
        <v>3</v>
      </c>
      <c r="P5" s="211">
        <v>0</v>
      </c>
      <c r="Q5" s="172">
        <f t="shared" si="4"/>
        <v>0</v>
      </c>
      <c r="R5" s="172">
        <f t="shared" si="4"/>
        <v>0</v>
      </c>
      <c r="S5" s="211">
        <v>1</v>
      </c>
      <c r="T5" s="163">
        <v>150</v>
      </c>
      <c r="U5" s="166">
        <f>T5*$L$2</f>
        <v>10275</v>
      </c>
      <c r="V5" s="168">
        <f t="shared" si="5"/>
        <v>121.5</v>
      </c>
      <c r="W5" s="168">
        <f t="shared" si="6"/>
        <v>54.375</v>
      </c>
      <c r="X5" s="172">
        <f t="shared" si="7"/>
        <v>527.625</v>
      </c>
      <c r="Y5" s="172">
        <f t="shared" si="7"/>
        <v>527.625</v>
      </c>
      <c r="Z5" s="154">
        <f t="shared" si="8"/>
        <v>1055.25</v>
      </c>
      <c r="AA5" s="170">
        <f t="shared" si="9"/>
        <v>527.625</v>
      </c>
      <c r="AB5" s="170">
        <f t="shared" si="9"/>
        <v>527.625</v>
      </c>
      <c r="AC5" s="211">
        <v>2</v>
      </c>
      <c r="AD5" s="169">
        <v>150</v>
      </c>
      <c r="AE5" s="174">
        <f>AD5*$L$2</f>
        <v>10275</v>
      </c>
      <c r="AF5" s="167">
        <f t="shared" si="10"/>
        <v>121.5</v>
      </c>
      <c r="AG5" s="167">
        <f t="shared" si="11"/>
        <v>54.375</v>
      </c>
      <c r="AH5" s="170">
        <f t="shared" si="12"/>
        <v>1055.25</v>
      </c>
      <c r="AI5" s="170">
        <f t="shared" si="12"/>
        <v>1055.25</v>
      </c>
      <c r="AJ5" s="154">
        <f t="shared" si="13"/>
        <v>3165.75</v>
      </c>
      <c r="AK5" s="170">
        <f t="shared" si="14"/>
        <v>1055.25</v>
      </c>
      <c r="AL5" s="170">
        <f t="shared" si="14"/>
        <v>1055.25</v>
      </c>
      <c r="AM5" s="154">
        <f t="shared" si="15"/>
        <v>2110.5</v>
      </c>
      <c r="AN5" s="153">
        <f t="shared" si="16"/>
        <v>6331.5</v>
      </c>
      <c r="AU5" s="157"/>
    </row>
    <row r="6" spans="1:47" s="152" customFormat="1" ht="15.75" customHeight="1" x14ac:dyDescent="0.25">
      <c r="A6" s="157" t="s">
        <v>338</v>
      </c>
      <c r="B6" s="157" t="s">
        <v>339</v>
      </c>
      <c r="C6" s="157" t="s">
        <v>340</v>
      </c>
      <c r="D6" s="157" t="s">
        <v>341</v>
      </c>
      <c r="E6" s="157" t="s">
        <v>342</v>
      </c>
      <c r="F6" s="161" t="s">
        <v>221</v>
      </c>
      <c r="G6" s="161" t="s">
        <v>343</v>
      </c>
      <c r="H6" s="157" t="s">
        <v>549</v>
      </c>
      <c r="I6" s="157" t="s">
        <v>311</v>
      </c>
      <c r="J6" s="160">
        <v>0.5</v>
      </c>
      <c r="K6" s="163">
        <v>200</v>
      </c>
      <c r="L6" s="166">
        <f>K6*$L$2</f>
        <v>13700</v>
      </c>
      <c r="M6" s="167">
        <f t="shared" si="2"/>
        <v>162</v>
      </c>
      <c r="N6" s="167">
        <f t="shared" si="3"/>
        <v>72.5</v>
      </c>
      <c r="O6" s="158">
        <v>3</v>
      </c>
      <c r="P6" s="158">
        <v>2</v>
      </c>
      <c r="Q6" s="172">
        <f t="shared" si="4"/>
        <v>1407</v>
      </c>
      <c r="R6" s="172">
        <f t="shared" si="4"/>
        <v>1407</v>
      </c>
      <c r="S6" s="158">
        <v>6</v>
      </c>
      <c r="T6" s="163">
        <v>200</v>
      </c>
      <c r="U6" s="166">
        <f>T6*$L$2</f>
        <v>13700</v>
      </c>
      <c r="V6" s="168">
        <f t="shared" si="5"/>
        <v>162</v>
      </c>
      <c r="W6" s="168">
        <f t="shared" si="6"/>
        <v>72.5</v>
      </c>
      <c r="X6" s="172">
        <f t="shared" si="7"/>
        <v>4221</v>
      </c>
      <c r="Y6" s="172">
        <f t="shared" si="7"/>
        <v>4221</v>
      </c>
      <c r="Z6" s="154">
        <f t="shared" si="8"/>
        <v>11256</v>
      </c>
      <c r="AA6" s="170">
        <f t="shared" si="9"/>
        <v>4221</v>
      </c>
      <c r="AB6" s="170">
        <f t="shared" si="9"/>
        <v>4221</v>
      </c>
      <c r="AC6" s="171">
        <v>8</v>
      </c>
      <c r="AD6" s="169">
        <v>200</v>
      </c>
      <c r="AE6" s="174">
        <f>AD6*$L$2</f>
        <v>13700</v>
      </c>
      <c r="AF6" s="167">
        <f t="shared" si="10"/>
        <v>162</v>
      </c>
      <c r="AG6" s="167">
        <f t="shared" si="11"/>
        <v>72.5</v>
      </c>
      <c r="AH6" s="170">
        <f t="shared" si="12"/>
        <v>5628</v>
      </c>
      <c r="AI6" s="170">
        <f t="shared" si="12"/>
        <v>5628</v>
      </c>
      <c r="AJ6" s="154">
        <f t="shared" si="13"/>
        <v>19698</v>
      </c>
      <c r="AK6" s="170">
        <f t="shared" si="14"/>
        <v>5628</v>
      </c>
      <c r="AL6" s="170">
        <f t="shared" si="14"/>
        <v>5628</v>
      </c>
      <c r="AM6" s="154">
        <f t="shared" si="15"/>
        <v>11256</v>
      </c>
      <c r="AN6" s="153">
        <f t="shared" si="16"/>
        <v>42210</v>
      </c>
      <c r="AU6" s="157"/>
    </row>
    <row r="7" spans="1:47" s="152" customFormat="1" ht="63.75" customHeight="1" x14ac:dyDescent="0.25">
      <c r="A7" s="157" t="s">
        <v>338</v>
      </c>
      <c r="B7" s="157" t="s">
        <v>339</v>
      </c>
      <c r="C7" s="157" t="s">
        <v>340</v>
      </c>
      <c r="D7" s="157" t="s">
        <v>341</v>
      </c>
      <c r="E7" s="157" t="s">
        <v>342</v>
      </c>
      <c r="F7" s="161" t="s">
        <v>221</v>
      </c>
      <c r="G7" s="161" t="s">
        <v>343</v>
      </c>
      <c r="H7" s="157" t="s">
        <v>345</v>
      </c>
      <c r="I7" s="157" t="s">
        <v>344</v>
      </c>
      <c r="J7" s="160">
        <v>0.5</v>
      </c>
      <c r="K7" s="163">
        <f>L7/$L$2</f>
        <v>159.43065693430657</v>
      </c>
      <c r="L7" s="166">
        <v>10921</v>
      </c>
      <c r="M7" s="167">
        <f t="shared" si="2"/>
        <v>129.13883211678831</v>
      </c>
      <c r="N7" s="167">
        <f t="shared" si="3"/>
        <v>57.79361313868614</v>
      </c>
      <c r="O7" s="158">
        <v>3</v>
      </c>
      <c r="P7" s="158">
        <v>25</v>
      </c>
      <c r="Q7" s="172">
        <f t="shared" si="4"/>
        <v>14019.933394160584</v>
      </c>
      <c r="R7" s="172">
        <f t="shared" si="4"/>
        <v>14019.933394160584</v>
      </c>
      <c r="S7" s="158">
        <v>30</v>
      </c>
      <c r="T7" s="163">
        <f>U7/$L$2</f>
        <v>159.43065693430657</v>
      </c>
      <c r="U7" s="166">
        <v>10921</v>
      </c>
      <c r="V7" s="168">
        <f t="shared" si="5"/>
        <v>129.13883211678831</v>
      </c>
      <c r="W7" s="168">
        <f t="shared" si="6"/>
        <v>57.79361313868614</v>
      </c>
      <c r="X7" s="172">
        <f t="shared" si="7"/>
        <v>16823.920072992703</v>
      </c>
      <c r="Y7" s="172">
        <f t="shared" si="7"/>
        <v>16823.920072992703</v>
      </c>
      <c r="Z7" s="154">
        <f t="shared" si="8"/>
        <v>61687.706934306574</v>
      </c>
      <c r="AA7" s="170">
        <f t="shared" si="9"/>
        <v>16823.920072992703</v>
      </c>
      <c r="AB7" s="170">
        <f t="shared" si="9"/>
        <v>16823.920072992703</v>
      </c>
      <c r="AC7" s="171">
        <v>55</v>
      </c>
      <c r="AD7" s="169">
        <f>AE7/$L$2</f>
        <v>159.43065693430657</v>
      </c>
      <c r="AE7" s="174">
        <v>10921</v>
      </c>
      <c r="AF7" s="167">
        <f t="shared" si="10"/>
        <v>129.13883211678831</v>
      </c>
      <c r="AG7" s="167">
        <f t="shared" si="11"/>
        <v>57.79361313868614</v>
      </c>
      <c r="AH7" s="170">
        <f t="shared" si="12"/>
        <v>30843.853467153283</v>
      </c>
      <c r="AI7" s="170">
        <f t="shared" si="12"/>
        <v>30843.853467153283</v>
      </c>
      <c r="AJ7" s="154">
        <f t="shared" si="13"/>
        <v>95335.547080291974</v>
      </c>
      <c r="AK7" s="170">
        <f t="shared" si="14"/>
        <v>30843.853467153283</v>
      </c>
      <c r="AL7" s="170">
        <f t="shared" si="14"/>
        <v>30843.853467153283</v>
      </c>
      <c r="AM7" s="154">
        <f t="shared" si="15"/>
        <v>61687.706934306567</v>
      </c>
      <c r="AN7" s="153">
        <f t="shared" si="16"/>
        <v>218710.96094890512</v>
      </c>
      <c r="AU7" s="157"/>
    </row>
    <row r="8" spans="1:47" s="152" customFormat="1" ht="46.5" customHeight="1" x14ac:dyDescent="0.25">
      <c r="A8" s="157" t="s">
        <v>338</v>
      </c>
      <c r="B8" s="157" t="s">
        <v>339</v>
      </c>
      <c r="C8" s="157" t="s">
        <v>340</v>
      </c>
      <c r="D8" s="157" t="s">
        <v>341</v>
      </c>
      <c r="E8" s="157" t="s">
        <v>342</v>
      </c>
      <c r="F8" s="161" t="s">
        <v>221</v>
      </c>
      <c r="G8" s="161" t="s">
        <v>343</v>
      </c>
      <c r="H8" s="157" t="s">
        <v>345</v>
      </c>
      <c r="I8" s="157" t="s">
        <v>399</v>
      </c>
      <c r="J8" s="160">
        <v>0.5</v>
      </c>
      <c r="K8" s="163">
        <v>150</v>
      </c>
      <c r="L8" s="166">
        <v>8200</v>
      </c>
      <c r="M8" s="167">
        <f t="shared" si="2"/>
        <v>121.5</v>
      </c>
      <c r="N8" s="167">
        <f t="shared" si="3"/>
        <v>54.375</v>
      </c>
      <c r="O8" s="158">
        <v>3</v>
      </c>
      <c r="P8" s="158">
        <v>5</v>
      </c>
      <c r="Q8" s="172">
        <f t="shared" si="4"/>
        <v>2638.125</v>
      </c>
      <c r="R8" s="172">
        <f t="shared" si="4"/>
        <v>2638.125</v>
      </c>
      <c r="S8" s="158">
        <v>6</v>
      </c>
      <c r="T8" s="163">
        <f>U8/$L$2</f>
        <v>119.70802919708029</v>
      </c>
      <c r="U8" s="166">
        <v>8200</v>
      </c>
      <c r="V8" s="168">
        <f t="shared" si="5"/>
        <v>96.96350364963503</v>
      </c>
      <c r="W8" s="168">
        <f t="shared" si="6"/>
        <v>43.394160583941613</v>
      </c>
      <c r="X8" s="172">
        <f t="shared" si="7"/>
        <v>2526.4379562043796</v>
      </c>
      <c r="Y8" s="172">
        <f t="shared" si="7"/>
        <v>2526.4379562043796</v>
      </c>
      <c r="Z8" s="154">
        <f t="shared" si="8"/>
        <v>10329.125912408759</v>
      </c>
      <c r="AA8" s="170">
        <f t="shared" si="9"/>
        <v>2526.4379562043796</v>
      </c>
      <c r="AB8" s="170">
        <f t="shared" si="9"/>
        <v>2526.4379562043796</v>
      </c>
      <c r="AC8" s="171">
        <v>6</v>
      </c>
      <c r="AD8" s="169">
        <f>AE8/$L$2</f>
        <v>119.70802919708029</v>
      </c>
      <c r="AE8" s="174">
        <v>8200</v>
      </c>
      <c r="AF8" s="167">
        <f t="shared" si="10"/>
        <v>96.96350364963503</v>
      </c>
      <c r="AG8" s="167">
        <f t="shared" si="11"/>
        <v>43.394160583941613</v>
      </c>
      <c r="AH8" s="170">
        <f t="shared" si="12"/>
        <v>2526.4379562043796</v>
      </c>
      <c r="AI8" s="170">
        <f t="shared" si="12"/>
        <v>2526.4379562043796</v>
      </c>
      <c r="AJ8" s="154">
        <f t="shared" si="13"/>
        <v>10105.751824817518</v>
      </c>
      <c r="AK8" s="170">
        <f t="shared" si="14"/>
        <v>2526.4379562043796</v>
      </c>
      <c r="AL8" s="170">
        <f t="shared" si="14"/>
        <v>2526.4379562043796</v>
      </c>
      <c r="AM8" s="154">
        <f t="shared" si="15"/>
        <v>5052.8759124087592</v>
      </c>
      <c r="AN8" s="153">
        <f t="shared" si="16"/>
        <v>25487.753649635037</v>
      </c>
      <c r="AU8" s="157"/>
    </row>
    <row r="9" spans="1:47" s="152" customFormat="1" ht="15.75" customHeight="1" x14ac:dyDescent="0.25">
      <c r="A9" s="157" t="s">
        <v>338</v>
      </c>
      <c r="B9" s="157" t="s">
        <v>339</v>
      </c>
      <c r="C9" s="157" t="s">
        <v>340</v>
      </c>
      <c r="D9" s="157" t="s">
        <v>341</v>
      </c>
      <c r="E9" s="157" t="s">
        <v>342</v>
      </c>
      <c r="F9" s="161" t="s">
        <v>221</v>
      </c>
      <c r="G9" s="161" t="s">
        <v>343</v>
      </c>
      <c r="H9" s="157" t="s">
        <v>549</v>
      </c>
      <c r="I9" s="157" t="s">
        <v>312</v>
      </c>
      <c r="J9" s="160">
        <v>0.5</v>
      </c>
      <c r="K9" s="163">
        <v>200</v>
      </c>
      <c r="L9" s="166">
        <f t="shared" ref="L9:L17" si="17">K9*$L$2</f>
        <v>13700</v>
      </c>
      <c r="M9" s="167">
        <f t="shared" si="2"/>
        <v>162</v>
      </c>
      <c r="N9" s="167">
        <f t="shared" si="3"/>
        <v>72.5</v>
      </c>
      <c r="O9" s="158">
        <v>3</v>
      </c>
      <c r="P9" s="211">
        <v>2</v>
      </c>
      <c r="Q9" s="172">
        <f t="shared" si="4"/>
        <v>1407</v>
      </c>
      <c r="R9" s="172">
        <f t="shared" si="4"/>
        <v>1407</v>
      </c>
      <c r="S9" s="211">
        <v>6</v>
      </c>
      <c r="T9" s="163">
        <v>200</v>
      </c>
      <c r="U9" s="166">
        <f t="shared" ref="U9:U17" si="18">T9*$L$2</f>
        <v>13700</v>
      </c>
      <c r="V9" s="168">
        <f t="shared" si="5"/>
        <v>162</v>
      </c>
      <c r="W9" s="168">
        <f t="shared" si="6"/>
        <v>72.5</v>
      </c>
      <c r="X9" s="172">
        <f t="shared" si="7"/>
        <v>4221</v>
      </c>
      <c r="Y9" s="172">
        <f t="shared" si="7"/>
        <v>4221</v>
      </c>
      <c r="Z9" s="154">
        <f t="shared" si="8"/>
        <v>11256</v>
      </c>
      <c r="AA9" s="170">
        <f t="shared" si="9"/>
        <v>4221</v>
      </c>
      <c r="AB9" s="170">
        <f t="shared" si="9"/>
        <v>4221</v>
      </c>
      <c r="AC9" s="211">
        <v>8</v>
      </c>
      <c r="AD9" s="169">
        <v>200</v>
      </c>
      <c r="AE9" s="174">
        <f t="shared" ref="AE9:AE17" si="19">AD9*$L$2</f>
        <v>13700</v>
      </c>
      <c r="AF9" s="167">
        <f t="shared" si="10"/>
        <v>162</v>
      </c>
      <c r="AG9" s="167">
        <f t="shared" si="11"/>
        <v>72.5</v>
      </c>
      <c r="AH9" s="170">
        <f t="shared" si="12"/>
        <v>5628</v>
      </c>
      <c r="AI9" s="170">
        <f t="shared" si="12"/>
        <v>5628</v>
      </c>
      <c r="AJ9" s="154">
        <f t="shared" si="13"/>
        <v>19698</v>
      </c>
      <c r="AK9" s="170">
        <f t="shared" si="14"/>
        <v>5628</v>
      </c>
      <c r="AL9" s="170">
        <f t="shared" si="14"/>
        <v>5628</v>
      </c>
      <c r="AM9" s="154">
        <f t="shared" si="15"/>
        <v>11256</v>
      </c>
      <c r="AN9" s="153">
        <f t="shared" si="16"/>
        <v>42210</v>
      </c>
      <c r="AU9" s="157"/>
    </row>
    <row r="10" spans="1:47" s="152" customFormat="1" ht="26.45" customHeight="1" x14ac:dyDescent="0.25">
      <c r="A10" s="157" t="s">
        <v>346</v>
      </c>
      <c r="B10" s="157" t="s">
        <v>347</v>
      </c>
      <c r="C10" s="157" t="s">
        <v>348</v>
      </c>
      <c r="D10" s="157" t="s">
        <v>341</v>
      </c>
      <c r="E10" s="157" t="s">
        <v>349</v>
      </c>
      <c r="F10" s="161" t="s">
        <v>221</v>
      </c>
      <c r="G10" s="161" t="s">
        <v>343</v>
      </c>
      <c r="H10" s="157" t="s">
        <v>549</v>
      </c>
      <c r="I10" s="157" t="s">
        <v>313</v>
      </c>
      <c r="J10" s="160">
        <v>0.5</v>
      </c>
      <c r="K10" s="163">
        <v>300</v>
      </c>
      <c r="L10" s="166">
        <f t="shared" si="17"/>
        <v>20550</v>
      </c>
      <c r="M10" s="167">
        <f t="shared" si="2"/>
        <v>243</v>
      </c>
      <c r="N10" s="167">
        <f t="shared" si="3"/>
        <v>108.75</v>
      </c>
      <c r="O10" s="158">
        <v>3</v>
      </c>
      <c r="P10" s="158">
        <v>4</v>
      </c>
      <c r="Q10" s="172">
        <v>9</v>
      </c>
      <c r="R10" s="172">
        <v>14</v>
      </c>
      <c r="S10" s="158">
        <v>9</v>
      </c>
      <c r="T10" s="163">
        <v>300</v>
      </c>
      <c r="U10" s="166">
        <f t="shared" si="18"/>
        <v>20550</v>
      </c>
      <c r="V10" s="168">
        <f t="shared" si="5"/>
        <v>243</v>
      </c>
      <c r="W10" s="168">
        <f t="shared" si="6"/>
        <v>108.75</v>
      </c>
      <c r="X10" s="172">
        <f t="shared" si="7"/>
        <v>9497.25</v>
      </c>
      <c r="Y10" s="172">
        <f t="shared" si="7"/>
        <v>9497.25</v>
      </c>
      <c r="Z10" s="154">
        <f t="shared" si="8"/>
        <v>19017.5</v>
      </c>
      <c r="AA10" s="170">
        <f t="shared" si="9"/>
        <v>9497.25</v>
      </c>
      <c r="AB10" s="170">
        <f t="shared" si="9"/>
        <v>9497.25</v>
      </c>
      <c r="AC10" s="171">
        <v>14</v>
      </c>
      <c r="AD10" s="169">
        <v>300</v>
      </c>
      <c r="AE10" s="174">
        <f t="shared" si="19"/>
        <v>20550</v>
      </c>
      <c r="AF10" s="167">
        <f t="shared" si="10"/>
        <v>243</v>
      </c>
      <c r="AG10" s="167">
        <f t="shared" si="11"/>
        <v>108.75</v>
      </c>
      <c r="AH10" s="170">
        <f t="shared" si="12"/>
        <v>14773.5</v>
      </c>
      <c r="AI10" s="170">
        <f t="shared" si="12"/>
        <v>14773.5</v>
      </c>
      <c r="AJ10" s="154">
        <f t="shared" si="13"/>
        <v>48541.5</v>
      </c>
      <c r="AK10" s="170">
        <f t="shared" si="14"/>
        <v>14773.5</v>
      </c>
      <c r="AL10" s="170">
        <f t="shared" si="14"/>
        <v>14773.5</v>
      </c>
      <c r="AM10" s="154">
        <f t="shared" si="15"/>
        <v>29547</v>
      </c>
      <c r="AN10" s="153">
        <f t="shared" si="16"/>
        <v>97106</v>
      </c>
      <c r="AU10" s="157"/>
    </row>
    <row r="11" spans="1:47" s="152" customFormat="1" ht="26.45" customHeight="1" x14ac:dyDescent="0.25">
      <c r="A11" s="157" t="s">
        <v>346</v>
      </c>
      <c r="B11" s="157" t="s">
        <v>347</v>
      </c>
      <c r="C11" s="157" t="s">
        <v>348</v>
      </c>
      <c r="D11" s="157" t="s">
        <v>341</v>
      </c>
      <c r="E11" s="157" t="s">
        <v>349</v>
      </c>
      <c r="F11" s="161" t="s">
        <v>221</v>
      </c>
      <c r="G11" s="161" t="s">
        <v>343</v>
      </c>
      <c r="H11" s="157" t="s">
        <v>549</v>
      </c>
      <c r="I11" s="157" t="s">
        <v>314</v>
      </c>
      <c r="J11" s="160">
        <v>0.5</v>
      </c>
      <c r="K11" s="163">
        <v>250</v>
      </c>
      <c r="L11" s="166">
        <f t="shared" si="17"/>
        <v>17125</v>
      </c>
      <c r="M11" s="167">
        <f t="shared" si="2"/>
        <v>202.5</v>
      </c>
      <c r="N11" s="167">
        <f t="shared" si="3"/>
        <v>90.625</v>
      </c>
      <c r="O11" s="158">
        <v>3</v>
      </c>
      <c r="P11" s="158">
        <v>4</v>
      </c>
      <c r="Q11" s="172">
        <f t="shared" si="4"/>
        <v>3517.5</v>
      </c>
      <c r="R11" s="172">
        <f t="shared" si="4"/>
        <v>3517.5</v>
      </c>
      <c r="S11" s="158">
        <v>9</v>
      </c>
      <c r="T11" s="163">
        <v>250</v>
      </c>
      <c r="U11" s="166">
        <f t="shared" si="18"/>
        <v>17125</v>
      </c>
      <c r="V11" s="168">
        <f t="shared" si="5"/>
        <v>202.5</v>
      </c>
      <c r="W11" s="168">
        <f t="shared" si="6"/>
        <v>90.625</v>
      </c>
      <c r="X11" s="172">
        <f t="shared" si="7"/>
        <v>7914.375</v>
      </c>
      <c r="Y11" s="172">
        <f t="shared" si="7"/>
        <v>7914.375</v>
      </c>
      <c r="Z11" s="154">
        <f t="shared" si="8"/>
        <v>22863.75</v>
      </c>
      <c r="AA11" s="170">
        <f t="shared" si="9"/>
        <v>7914.375</v>
      </c>
      <c r="AB11" s="170">
        <f t="shared" si="9"/>
        <v>7914.375</v>
      </c>
      <c r="AC11" s="211">
        <v>14</v>
      </c>
      <c r="AD11" s="169">
        <v>250</v>
      </c>
      <c r="AE11" s="174">
        <f t="shared" si="19"/>
        <v>17125</v>
      </c>
      <c r="AF11" s="167">
        <f t="shared" si="10"/>
        <v>202.5</v>
      </c>
      <c r="AG11" s="167">
        <f t="shared" si="11"/>
        <v>90.625</v>
      </c>
      <c r="AH11" s="170">
        <f t="shared" si="12"/>
        <v>12311.25</v>
      </c>
      <c r="AI11" s="170">
        <f t="shared" si="12"/>
        <v>12311.25</v>
      </c>
      <c r="AJ11" s="154">
        <f t="shared" si="13"/>
        <v>40451.25</v>
      </c>
      <c r="AK11" s="170">
        <f t="shared" si="14"/>
        <v>12311.25</v>
      </c>
      <c r="AL11" s="170">
        <f t="shared" si="14"/>
        <v>12311.25</v>
      </c>
      <c r="AM11" s="154">
        <f t="shared" si="15"/>
        <v>24622.5</v>
      </c>
      <c r="AN11" s="153">
        <f t="shared" si="16"/>
        <v>87937.5</v>
      </c>
      <c r="AU11" s="157"/>
    </row>
    <row r="12" spans="1:47" s="152" customFormat="1" ht="26.45" customHeight="1" x14ac:dyDescent="0.25">
      <c r="A12" s="157" t="s">
        <v>346</v>
      </c>
      <c r="B12" s="157" t="s">
        <v>347</v>
      </c>
      <c r="C12" s="157" t="s">
        <v>348</v>
      </c>
      <c r="D12" s="157" t="s">
        <v>341</v>
      </c>
      <c r="E12" s="157" t="s">
        <v>349</v>
      </c>
      <c r="F12" s="161" t="s">
        <v>221</v>
      </c>
      <c r="G12" s="161" t="s">
        <v>343</v>
      </c>
      <c r="H12" s="157" t="s">
        <v>549</v>
      </c>
      <c r="I12" s="157" t="s">
        <v>315</v>
      </c>
      <c r="J12" s="160">
        <v>0.5</v>
      </c>
      <c r="K12" s="163">
        <v>250</v>
      </c>
      <c r="L12" s="166">
        <f t="shared" si="17"/>
        <v>17125</v>
      </c>
      <c r="M12" s="167">
        <f t="shared" si="2"/>
        <v>202.5</v>
      </c>
      <c r="N12" s="167">
        <f t="shared" si="3"/>
        <v>90.625</v>
      </c>
      <c r="O12" s="158">
        <v>3</v>
      </c>
      <c r="P12" s="158">
        <v>4</v>
      </c>
      <c r="Q12" s="172">
        <f t="shared" si="4"/>
        <v>3517.5</v>
      </c>
      <c r="R12" s="172">
        <f t="shared" si="4"/>
        <v>3517.5</v>
      </c>
      <c r="S12" s="158">
        <v>9</v>
      </c>
      <c r="T12" s="163">
        <v>250</v>
      </c>
      <c r="U12" s="166">
        <f t="shared" si="18"/>
        <v>17125</v>
      </c>
      <c r="V12" s="168">
        <f t="shared" si="5"/>
        <v>202.5</v>
      </c>
      <c r="W12" s="168">
        <f t="shared" si="6"/>
        <v>90.625</v>
      </c>
      <c r="X12" s="172">
        <f t="shared" si="7"/>
        <v>7914.375</v>
      </c>
      <c r="Y12" s="172">
        <f t="shared" si="7"/>
        <v>7914.375</v>
      </c>
      <c r="Z12" s="154">
        <f t="shared" si="8"/>
        <v>22863.75</v>
      </c>
      <c r="AA12" s="170">
        <f t="shared" si="9"/>
        <v>7914.375</v>
      </c>
      <c r="AB12" s="170">
        <f t="shared" si="9"/>
        <v>7914.375</v>
      </c>
      <c r="AC12" s="171">
        <v>14</v>
      </c>
      <c r="AD12" s="169">
        <v>250</v>
      </c>
      <c r="AE12" s="174">
        <f t="shared" si="19"/>
        <v>17125</v>
      </c>
      <c r="AF12" s="167">
        <f t="shared" si="10"/>
        <v>202.5</v>
      </c>
      <c r="AG12" s="167">
        <f t="shared" si="11"/>
        <v>90.625</v>
      </c>
      <c r="AH12" s="170">
        <f t="shared" si="12"/>
        <v>12311.25</v>
      </c>
      <c r="AI12" s="170">
        <f t="shared" si="12"/>
        <v>12311.25</v>
      </c>
      <c r="AJ12" s="154">
        <f t="shared" si="13"/>
        <v>40451.25</v>
      </c>
      <c r="AK12" s="170">
        <f t="shared" si="14"/>
        <v>12311.25</v>
      </c>
      <c r="AL12" s="170">
        <f t="shared" si="14"/>
        <v>12311.25</v>
      </c>
      <c r="AM12" s="154">
        <f t="shared" si="15"/>
        <v>24622.5</v>
      </c>
      <c r="AN12" s="153">
        <f t="shared" si="16"/>
        <v>87937.5</v>
      </c>
      <c r="AU12" s="157"/>
    </row>
    <row r="13" spans="1:47" s="152" customFormat="1" ht="17.25" customHeight="1" x14ac:dyDescent="0.25">
      <c r="A13" s="157" t="s">
        <v>350</v>
      </c>
      <c r="B13" s="157" t="s">
        <v>347</v>
      </c>
      <c r="C13" s="157" t="s">
        <v>348</v>
      </c>
      <c r="D13" s="157" t="s">
        <v>341</v>
      </c>
      <c r="E13" s="157" t="s">
        <v>351</v>
      </c>
      <c r="F13" s="161" t="s">
        <v>221</v>
      </c>
      <c r="G13" s="161" t="s">
        <v>343</v>
      </c>
      <c r="H13" s="157" t="s">
        <v>549</v>
      </c>
      <c r="I13" s="157" t="s">
        <v>316</v>
      </c>
      <c r="J13" s="160" t="s">
        <v>304</v>
      </c>
      <c r="K13" s="155">
        <v>400</v>
      </c>
      <c r="L13" s="164">
        <f t="shared" si="17"/>
        <v>27400</v>
      </c>
      <c r="M13" s="159"/>
      <c r="N13" s="159"/>
      <c r="O13" s="161">
        <v>3</v>
      </c>
      <c r="P13" s="161">
        <f>24-20</f>
        <v>4</v>
      </c>
      <c r="Q13" s="155">
        <f t="shared" ref="Q13:R17" si="20">$K13*$O13*$P13</f>
        <v>4800</v>
      </c>
      <c r="R13" s="155">
        <f t="shared" si="20"/>
        <v>4800</v>
      </c>
      <c r="S13" s="161">
        <f>24-15</f>
        <v>9</v>
      </c>
      <c r="T13" s="155">
        <v>400</v>
      </c>
      <c r="U13" s="164">
        <f t="shared" si="18"/>
        <v>27400</v>
      </c>
      <c r="V13" s="178"/>
      <c r="W13" s="178"/>
      <c r="X13" s="155">
        <f t="shared" ref="X13:Y17" si="21">$T13*$O13*$S13</f>
        <v>10800</v>
      </c>
      <c r="Y13" s="155">
        <f t="shared" si="21"/>
        <v>10800</v>
      </c>
      <c r="Z13" s="154">
        <f t="shared" si="8"/>
        <v>31200</v>
      </c>
      <c r="AA13" s="165">
        <f t="shared" ref="AA13:AB17" si="22">$T13*$O13*$S13</f>
        <v>10800</v>
      </c>
      <c r="AB13" s="165">
        <f t="shared" si="22"/>
        <v>10800</v>
      </c>
      <c r="AC13" s="158">
        <f>24-10</f>
        <v>14</v>
      </c>
      <c r="AD13" s="177">
        <v>400</v>
      </c>
      <c r="AE13" s="173">
        <f t="shared" si="19"/>
        <v>27400</v>
      </c>
      <c r="AF13" s="176"/>
      <c r="AG13" s="176"/>
      <c r="AH13" s="165">
        <f t="shared" ref="AH13:AI17" si="23">$AD13*$O13*$AC13</f>
        <v>16800</v>
      </c>
      <c r="AI13" s="165">
        <f t="shared" si="23"/>
        <v>16800</v>
      </c>
      <c r="AJ13" s="154">
        <f t="shared" si="13"/>
        <v>55200</v>
      </c>
      <c r="AK13" s="165">
        <f t="shared" ref="AK13:AL17" si="24">$AD13*$O13*$AC13</f>
        <v>16800</v>
      </c>
      <c r="AL13" s="165">
        <f t="shared" si="24"/>
        <v>16800</v>
      </c>
      <c r="AM13" s="154">
        <f t="shared" si="15"/>
        <v>33600</v>
      </c>
      <c r="AN13" s="153">
        <f t="shared" si="16"/>
        <v>120000</v>
      </c>
      <c r="AU13" s="157"/>
    </row>
    <row r="14" spans="1:47" s="152" customFormat="1" ht="17.25" customHeight="1" x14ac:dyDescent="0.25">
      <c r="A14" s="157" t="s">
        <v>350</v>
      </c>
      <c r="B14" s="157" t="s">
        <v>347</v>
      </c>
      <c r="C14" s="157" t="s">
        <v>348</v>
      </c>
      <c r="D14" s="157" t="s">
        <v>341</v>
      </c>
      <c r="E14" s="157" t="s">
        <v>351</v>
      </c>
      <c r="F14" s="161" t="s">
        <v>221</v>
      </c>
      <c r="G14" s="161" t="s">
        <v>343</v>
      </c>
      <c r="H14" s="157" t="s">
        <v>549</v>
      </c>
      <c r="I14" s="157" t="s">
        <v>317</v>
      </c>
      <c r="J14" s="160" t="s">
        <v>304</v>
      </c>
      <c r="K14" s="155">
        <v>120</v>
      </c>
      <c r="L14" s="164">
        <f t="shared" si="17"/>
        <v>8220</v>
      </c>
      <c r="M14" s="159"/>
      <c r="N14" s="159"/>
      <c r="O14" s="161">
        <v>3</v>
      </c>
      <c r="P14" s="161">
        <f>24-20</f>
        <v>4</v>
      </c>
      <c r="Q14" s="155">
        <f t="shared" si="20"/>
        <v>1440</v>
      </c>
      <c r="R14" s="155">
        <f t="shared" si="20"/>
        <v>1440</v>
      </c>
      <c r="S14" s="161">
        <f>24-15</f>
        <v>9</v>
      </c>
      <c r="T14" s="155">
        <v>120</v>
      </c>
      <c r="U14" s="164">
        <f t="shared" si="18"/>
        <v>8220</v>
      </c>
      <c r="V14" s="178"/>
      <c r="W14" s="178"/>
      <c r="X14" s="155">
        <f t="shared" si="21"/>
        <v>3240</v>
      </c>
      <c r="Y14" s="155">
        <f t="shared" si="21"/>
        <v>3240</v>
      </c>
      <c r="Z14" s="154">
        <f t="shared" si="8"/>
        <v>9360</v>
      </c>
      <c r="AA14" s="165">
        <f t="shared" si="22"/>
        <v>3240</v>
      </c>
      <c r="AB14" s="165">
        <f t="shared" si="22"/>
        <v>3240</v>
      </c>
      <c r="AC14" s="158">
        <f>24-10</f>
        <v>14</v>
      </c>
      <c r="AD14" s="177">
        <v>120</v>
      </c>
      <c r="AE14" s="173">
        <f t="shared" si="19"/>
        <v>8220</v>
      </c>
      <c r="AF14" s="176"/>
      <c r="AG14" s="176"/>
      <c r="AH14" s="165">
        <f t="shared" si="23"/>
        <v>5040</v>
      </c>
      <c r="AI14" s="165">
        <f t="shared" si="23"/>
        <v>5040</v>
      </c>
      <c r="AJ14" s="154">
        <f t="shared" si="13"/>
        <v>16560</v>
      </c>
      <c r="AK14" s="165">
        <f t="shared" si="24"/>
        <v>5040</v>
      </c>
      <c r="AL14" s="165">
        <f t="shared" si="24"/>
        <v>5040</v>
      </c>
      <c r="AM14" s="154">
        <f t="shared" si="15"/>
        <v>10080</v>
      </c>
      <c r="AN14" s="153">
        <f t="shared" si="16"/>
        <v>36000</v>
      </c>
      <c r="AU14" s="157"/>
    </row>
    <row r="15" spans="1:47" s="152" customFormat="1" ht="17.25" customHeight="1" x14ac:dyDescent="0.25">
      <c r="A15" s="157" t="s">
        <v>350</v>
      </c>
      <c r="B15" s="157" t="s">
        <v>347</v>
      </c>
      <c r="C15" s="157" t="s">
        <v>348</v>
      </c>
      <c r="D15" s="157" t="s">
        <v>341</v>
      </c>
      <c r="E15" s="157" t="s">
        <v>351</v>
      </c>
      <c r="F15" s="161" t="s">
        <v>221</v>
      </c>
      <c r="G15" s="161" t="s">
        <v>343</v>
      </c>
      <c r="H15" s="157" t="s">
        <v>549</v>
      </c>
      <c r="I15" s="157" t="s">
        <v>318</v>
      </c>
      <c r="J15" s="160" t="s">
        <v>304</v>
      </c>
      <c r="K15" s="155">
        <v>40</v>
      </c>
      <c r="L15" s="164">
        <f t="shared" si="17"/>
        <v>2740</v>
      </c>
      <c r="M15" s="159"/>
      <c r="N15" s="159"/>
      <c r="O15" s="161">
        <v>3</v>
      </c>
      <c r="P15" s="161">
        <f>24-20</f>
        <v>4</v>
      </c>
      <c r="Q15" s="155">
        <f t="shared" si="20"/>
        <v>480</v>
      </c>
      <c r="R15" s="155">
        <f t="shared" si="20"/>
        <v>480</v>
      </c>
      <c r="S15" s="161">
        <f>24-15</f>
        <v>9</v>
      </c>
      <c r="T15" s="155">
        <v>40</v>
      </c>
      <c r="U15" s="164">
        <f t="shared" si="18"/>
        <v>2740</v>
      </c>
      <c r="V15" s="178"/>
      <c r="W15" s="178"/>
      <c r="X15" s="155">
        <f t="shared" si="21"/>
        <v>1080</v>
      </c>
      <c r="Y15" s="155">
        <f t="shared" si="21"/>
        <v>1080</v>
      </c>
      <c r="Z15" s="154">
        <f t="shared" si="8"/>
        <v>3120</v>
      </c>
      <c r="AA15" s="165">
        <f t="shared" si="22"/>
        <v>1080</v>
      </c>
      <c r="AB15" s="165">
        <f t="shared" si="22"/>
        <v>1080</v>
      </c>
      <c r="AC15" s="158">
        <f>24-10</f>
        <v>14</v>
      </c>
      <c r="AD15" s="165">
        <v>40</v>
      </c>
      <c r="AE15" s="173">
        <f t="shared" si="19"/>
        <v>2740</v>
      </c>
      <c r="AF15" s="176"/>
      <c r="AG15" s="176"/>
      <c r="AH15" s="165">
        <f t="shared" si="23"/>
        <v>1680</v>
      </c>
      <c r="AI15" s="165">
        <f t="shared" si="23"/>
        <v>1680</v>
      </c>
      <c r="AJ15" s="154">
        <f t="shared" si="13"/>
        <v>5520</v>
      </c>
      <c r="AK15" s="165">
        <f t="shared" si="24"/>
        <v>1680</v>
      </c>
      <c r="AL15" s="165">
        <f t="shared" si="24"/>
        <v>1680</v>
      </c>
      <c r="AM15" s="154">
        <f t="shared" si="15"/>
        <v>3360</v>
      </c>
      <c r="AN15" s="153">
        <f t="shared" si="16"/>
        <v>12000</v>
      </c>
      <c r="AU15" s="157"/>
    </row>
    <row r="16" spans="1:47" s="152" customFormat="1" ht="17.25" customHeight="1" x14ac:dyDescent="0.25">
      <c r="A16" s="157" t="s">
        <v>350</v>
      </c>
      <c r="B16" s="157" t="s">
        <v>347</v>
      </c>
      <c r="C16" s="157" t="s">
        <v>348</v>
      </c>
      <c r="D16" s="157" t="s">
        <v>341</v>
      </c>
      <c r="E16" s="157" t="s">
        <v>351</v>
      </c>
      <c r="F16" s="161" t="s">
        <v>221</v>
      </c>
      <c r="G16" s="161" t="s">
        <v>343</v>
      </c>
      <c r="H16" s="157" t="s">
        <v>549</v>
      </c>
      <c r="I16" s="157" t="s">
        <v>319</v>
      </c>
      <c r="J16" s="160" t="s">
        <v>304</v>
      </c>
      <c r="K16" s="155">
        <v>100</v>
      </c>
      <c r="L16" s="164">
        <f t="shared" si="17"/>
        <v>6850</v>
      </c>
      <c r="M16" s="159"/>
      <c r="N16" s="159"/>
      <c r="O16" s="161">
        <v>3</v>
      </c>
      <c r="P16" s="161">
        <f>24-20</f>
        <v>4</v>
      </c>
      <c r="Q16" s="155">
        <f t="shared" si="20"/>
        <v>1200</v>
      </c>
      <c r="R16" s="155">
        <f t="shared" si="20"/>
        <v>1200</v>
      </c>
      <c r="S16" s="161">
        <f>24-15</f>
        <v>9</v>
      </c>
      <c r="T16" s="155">
        <v>100</v>
      </c>
      <c r="U16" s="164">
        <f t="shared" si="18"/>
        <v>6850</v>
      </c>
      <c r="V16" s="178"/>
      <c r="W16" s="178"/>
      <c r="X16" s="155">
        <f t="shared" si="21"/>
        <v>2700</v>
      </c>
      <c r="Y16" s="155">
        <f t="shared" si="21"/>
        <v>2700</v>
      </c>
      <c r="Z16" s="154">
        <f t="shared" si="8"/>
        <v>7800</v>
      </c>
      <c r="AA16" s="165">
        <f t="shared" si="22"/>
        <v>2700</v>
      </c>
      <c r="AB16" s="165">
        <f t="shared" si="22"/>
        <v>2700</v>
      </c>
      <c r="AC16" s="158">
        <f>24-10</f>
        <v>14</v>
      </c>
      <c r="AD16" s="177">
        <v>100</v>
      </c>
      <c r="AE16" s="173">
        <f t="shared" si="19"/>
        <v>6850</v>
      </c>
      <c r="AF16" s="176"/>
      <c r="AG16" s="176"/>
      <c r="AH16" s="165">
        <f t="shared" si="23"/>
        <v>4200</v>
      </c>
      <c r="AI16" s="165">
        <f t="shared" si="23"/>
        <v>4200</v>
      </c>
      <c r="AJ16" s="154">
        <f t="shared" si="13"/>
        <v>13800</v>
      </c>
      <c r="AK16" s="165">
        <f t="shared" si="24"/>
        <v>4200</v>
      </c>
      <c r="AL16" s="165">
        <f t="shared" si="24"/>
        <v>4200</v>
      </c>
      <c r="AM16" s="154">
        <f t="shared" si="15"/>
        <v>8400</v>
      </c>
      <c r="AN16" s="153">
        <f t="shared" si="16"/>
        <v>30000</v>
      </c>
      <c r="AU16" s="157"/>
    </row>
    <row r="17" spans="1:47" s="152" customFormat="1" ht="17.25" customHeight="1" x14ac:dyDescent="0.25">
      <c r="A17" s="157" t="s">
        <v>350</v>
      </c>
      <c r="B17" s="157" t="s">
        <v>347</v>
      </c>
      <c r="C17" s="157" t="s">
        <v>348</v>
      </c>
      <c r="D17" s="157" t="s">
        <v>341</v>
      </c>
      <c r="E17" s="157" t="s">
        <v>352</v>
      </c>
      <c r="F17" s="161" t="s">
        <v>221</v>
      </c>
      <c r="G17" s="161" t="s">
        <v>343</v>
      </c>
      <c r="H17" s="157" t="s">
        <v>549</v>
      </c>
      <c r="I17" s="157" t="s">
        <v>320</v>
      </c>
      <c r="J17" s="160" t="s">
        <v>304</v>
      </c>
      <c r="K17" s="155">
        <v>40</v>
      </c>
      <c r="L17" s="164">
        <f t="shared" si="17"/>
        <v>2740</v>
      </c>
      <c r="M17" s="159"/>
      <c r="N17" s="159"/>
      <c r="O17" s="161">
        <v>3</v>
      </c>
      <c r="P17" s="161">
        <f>24-20</f>
        <v>4</v>
      </c>
      <c r="Q17" s="155">
        <f t="shared" si="20"/>
        <v>480</v>
      </c>
      <c r="R17" s="155">
        <f t="shared" si="20"/>
        <v>480</v>
      </c>
      <c r="S17" s="161">
        <f>24-15</f>
        <v>9</v>
      </c>
      <c r="T17" s="155">
        <v>40</v>
      </c>
      <c r="U17" s="164">
        <f t="shared" si="18"/>
        <v>2740</v>
      </c>
      <c r="V17" s="178"/>
      <c r="W17" s="178"/>
      <c r="X17" s="155">
        <f t="shared" si="21"/>
        <v>1080</v>
      </c>
      <c r="Y17" s="155">
        <f t="shared" si="21"/>
        <v>1080</v>
      </c>
      <c r="Z17" s="154">
        <f t="shared" si="8"/>
        <v>3120</v>
      </c>
      <c r="AA17" s="165">
        <f t="shared" si="22"/>
        <v>1080</v>
      </c>
      <c r="AB17" s="165">
        <f t="shared" si="22"/>
        <v>1080</v>
      </c>
      <c r="AC17" s="158">
        <f>24-10</f>
        <v>14</v>
      </c>
      <c r="AD17" s="177">
        <v>40</v>
      </c>
      <c r="AE17" s="173">
        <f t="shared" si="19"/>
        <v>2740</v>
      </c>
      <c r="AF17" s="176"/>
      <c r="AG17" s="176"/>
      <c r="AH17" s="165">
        <f t="shared" si="23"/>
        <v>1680</v>
      </c>
      <c r="AI17" s="165">
        <f t="shared" si="23"/>
        <v>1680</v>
      </c>
      <c r="AJ17" s="154">
        <f t="shared" si="13"/>
        <v>5520</v>
      </c>
      <c r="AK17" s="165">
        <f t="shared" si="24"/>
        <v>1680</v>
      </c>
      <c r="AL17" s="165">
        <f t="shared" si="24"/>
        <v>1680</v>
      </c>
      <c r="AM17" s="154">
        <f t="shared" si="15"/>
        <v>3360</v>
      </c>
      <c r="AN17" s="153">
        <f t="shared" si="16"/>
        <v>12000</v>
      </c>
      <c r="AU17" s="157"/>
    </row>
    <row r="18" spans="1:47" s="152" customFormat="1" ht="21.75" customHeight="1" x14ac:dyDescent="0.25">
      <c r="A18" s="157" t="s">
        <v>372</v>
      </c>
      <c r="B18" s="157" t="s">
        <v>339</v>
      </c>
      <c r="C18" s="157" t="s">
        <v>369</v>
      </c>
      <c r="D18" s="157" t="s">
        <v>371</v>
      </c>
      <c r="E18" s="157" t="s">
        <v>342</v>
      </c>
      <c r="F18" s="161" t="s">
        <v>221</v>
      </c>
      <c r="G18" s="161" t="s">
        <v>343</v>
      </c>
      <c r="H18" s="157" t="s">
        <v>370</v>
      </c>
      <c r="I18" s="157" t="s">
        <v>302</v>
      </c>
      <c r="J18" s="160">
        <v>0.5</v>
      </c>
      <c r="K18" s="163">
        <f>L18/$L$2</f>
        <v>94.069343065693431</v>
      </c>
      <c r="L18" s="166">
        <f>927900/12/12</f>
        <v>6443.75</v>
      </c>
      <c r="M18" s="167">
        <f t="shared" ref="M18:M29" si="25">K18-(K18*10%)-((K18-K18*10%)*10%)</f>
        <v>76.196167883211686</v>
      </c>
      <c r="N18" s="167">
        <f t="shared" ref="N18:N29" si="26">(K18-M18)+K18*17.25%</f>
        <v>34.100136861313857</v>
      </c>
      <c r="O18" s="158">
        <v>3</v>
      </c>
      <c r="P18" s="158">
        <v>13</v>
      </c>
      <c r="Q18" s="172">
        <f t="shared" ref="Q18:R29" si="27">($M18+$N18)*$P18*$O18</f>
        <v>4301.555885036496</v>
      </c>
      <c r="R18" s="172">
        <f t="shared" si="27"/>
        <v>4301.555885036496</v>
      </c>
      <c r="S18" s="158">
        <v>12</v>
      </c>
      <c r="T18" s="163">
        <f>U18/$L$2</f>
        <v>94.069343065693431</v>
      </c>
      <c r="U18" s="166">
        <v>6443.75</v>
      </c>
      <c r="V18" s="168">
        <f t="shared" ref="V18:V29" si="28">T18-(T18*10%)-((T18-T18*10%)*10%)</f>
        <v>76.196167883211686</v>
      </c>
      <c r="W18" s="168">
        <f t="shared" ref="W18:W29" si="29">(T18-V18)+T18*17.25%</f>
        <v>34.100136861313857</v>
      </c>
      <c r="X18" s="172">
        <f t="shared" ref="X18:Y29" si="30">($V18+$W18)*$S18*$O18</f>
        <v>3970.6669708029199</v>
      </c>
      <c r="Y18" s="172">
        <f t="shared" si="30"/>
        <v>3970.6669708029199</v>
      </c>
      <c r="Z18" s="154">
        <f t="shared" si="8"/>
        <v>16544.445711678833</v>
      </c>
      <c r="AA18" s="170">
        <f t="shared" ref="AA18:AB29" si="31">($V18+$W18)*$S18*$O18</f>
        <v>3970.6669708029199</v>
      </c>
      <c r="AB18" s="170">
        <f t="shared" si="31"/>
        <v>3970.6669708029199</v>
      </c>
      <c r="AC18" s="211">
        <v>26</v>
      </c>
      <c r="AD18" s="169">
        <f>AE18/$L$2</f>
        <v>94.069343065693431</v>
      </c>
      <c r="AE18" s="174">
        <v>6443.75</v>
      </c>
      <c r="AF18" s="167">
        <f t="shared" ref="AF18:AF29" si="32">AD18-(AD18*10%)-((AD18-AD18*10%)*10%)</f>
        <v>76.196167883211686</v>
      </c>
      <c r="AG18" s="167">
        <f t="shared" ref="AG18:AG29" si="33">(AD18-AF18)+AD18*17.25%</f>
        <v>34.100136861313857</v>
      </c>
      <c r="AH18" s="170">
        <f t="shared" ref="AH18:AI29" si="34">($AF18+$AG18)*$AC18*$O18</f>
        <v>8603.1117700729919</v>
      </c>
      <c r="AI18" s="170">
        <f t="shared" si="34"/>
        <v>8603.1117700729919</v>
      </c>
      <c r="AJ18" s="154">
        <f t="shared" si="13"/>
        <v>25147.557481751825</v>
      </c>
      <c r="AK18" s="170">
        <f t="shared" ref="AK18:AL29" si="35">($AF18+$AG18)*$AC18*$O18</f>
        <v>8603.1117700729919</v>
      </c>
      <c r="AL18" s="170">
        <f t="shared" si="35"/>
        <v>8603.1117700729919</v>
      </c>
      <c r="AM18" s="154">
        <f t="shared" si="15"/>
        <v>17206.223540145984</v>
      </c>
      <c r="AN18" s="153">
        <f t="shared" si="16"/>
        <v>58898.226733576645</v>
      </c>
      <c r="AT18" s="175"/>
      <c r="AU18" s="157"/>
    </row>
    <row r="19" spans="1:47" s="152" customFormat="1" ht="21.75" customHeight="1" x14ac:dyDescent="0.25">
      <c r="A19" s="157" t="s">
        <v>372</v>
      </c>
      <c r="B19" s="157" t="s">
        <v>339</v>
      </c>
      <c r="C19" s="157" t="s">
        <v>369</v>
      </c>
      <c r="D19" s="157" t="s">
        <v>371</v>
      </c>
      <c r="E19" s="157" t="s">
        <v>368</v>
      </c>
      <c r="F19" s="161" t="s">
        <v>221</v>
      </c>
      <c r="G19" s="161" t="s">
        <v>343</v>
      </c>
      <c r="H19" s="157" t="s">
        <v>370</v>
      </c>
      <c r="I19" s="157" t="s">
        <v>303</v>
      </c>
      <c r="J19" s="160" t="s">
        <v>304</v>
      </c>
      <c r="K19" s="163">
        <f>L19/$L$2</f>
        <v>16.220600162206001</v>
      </c>
      <c r="L19" s="164">
        <f>160000/12/12</f>
        <v>1111.1111111111111</v>
      </c>
      <c r="M19" s="167">
        <f t="shared" si="25"/>
        <v>13.138686131386859</v>
      </c>
      <c r="N19" s="167">
        <f t="shared" si="26"/>
        <v>5.8799675587996774</v>
      </c>
      <c r="O19" s="158">
        <v>3</v>
      </c>
      <c r="P19" s="158">
        <v>13</v>
      </c>
      <c r="Q19" s="172">
        <f t="shared" si="27"/>
        <v>741.72749391727484</v>
      </c>
      <c r="R19" s="172">
        <f t="shared" si="27"/>
        <v>741.72749391727484</v>
      </c>
      <c r="S19" s="158">
        <v>12</v>
      </c>
      <c r="T19" s="163">
        <f>U19/$L$2</f>
        <v>16.220600162206001</v>
      </c>
      <c r="U19" s="164">
        <v>1111.1111111111111</v>
      </c>
      <c r="V19" s="168">
        <f t="shared" si="28"/>
        <v>13.138686131386859</v>
      </c>
      <c r="W19" s="168">
        <f t="shared" si="29"/>
        <v>5.8799675587996774</v>
      </c>
      <c r="X19" s="172">
        <f t="shared" si="30"/>
        <v>684.67153284671531</v>
      </c>
      <c r="Y19" s="172">
        <f t="shared" si="30"/>
        <v>684.67153284671531</v>
      </c>
      <c r="Z19" s="154">
        <f t="shared" si="8"/>
        <v>2852.7980535279803</v>
      </c>
      <c r="AA19" s="170">
        <f t="shared" si="31"/>
        <v>684.67153284671531</v>
      </c>
      <c r="AB19" s="170">
        <f t="shared" si="31"/>
        <v>684.67153284671531</v>
      </c>
      <c r="AC19" s="211">
        <v>26</v>
      </c>
      <c r="AD19" s="169">
        <f>AE19/$L$2</f>
        <v>16.220600162206001</v>
      </c>
      <c r="AE19" s="173">
        <v>1111.1111111111111</v>
      </c>
      <c r="AF19" s="167">
        <f t="shared" si="32"/>
        <v>13.138686131386859</v>
      </c>
      <c r="AG19" s="167">
        <f t="shared" si="33"/>
        <v>5.8799675587996774</v>
      </c>
      <c r="AH19" s="170">
        <f t="shared" si="34"/>
        <v>1483.4549878345497</v>
      </c>
      <c r="AI19" s="170">
        <f t="shared" si="34"/>
        <v>1483.4549878345497</v>
      </c>
      <c r="AJ19" s="154">
        <f t="shared" si="13"/>
        <v>4336.25304136253</v>
      </c>
      <c r="AK19" s="170">
        <f t="shared" si="35"/>
        <v>1483.4549878345497</v>
      </c>
      <c r="AL19" s="170">
        <f t="shared" si="35"/>
        <v>1483.4549878345497</v>
      </c>
      <c r="AM19" s="154">
        <f t="shared" si="15"/>
        <v>2966.9099756690994</v>
      </c>
      <c r="AN19" s="153">
        <f t="shared" si="16"/>
        <v>10155.96107055961</v>
      </c>
      <c r="AU19" s="157"/>
    </row>
    <row r="20" spans="1:47" s="152" customFormat="1" ht="15.75" customHeight="1" x14ac:dyDescent="0.25">
      <c r="A20" s="157" t="s">
        <v>354</v>
      </c>
      <c r="B20" s="157" t="s">
        <v>355</v>
      </c>
      <c r="C20" s="157" t="s">
        <v>356</v>
      </c>
      <c r="D20" s="157" t="s">
        <v>353</v>
      </c>
      <c r="E20" s="157" t="s">
        <v>342</v>
      </c>
      <c r="F20" s="161" t="s">
        <v>221</v>
      </c>
      <c r="G20" s="161" t="s">
        <v>343</v>
      </c>
      <c r="H20" s="157" t="s">
        <v>549</v>
      </c>
      <c r="I20" s="157" t="s">
        <v>344</v>
      </c>
      <c r="J20" s="160">
        <v>0.5</v>
      </c>
      <c r="K20" s="163">
        <v>150</v>
      </c>
      <c r="L20" s="166">
        <f t="shared" ref="L20:L30" si="36">K20*$L$2</f>
        <v>10275</v>
      </c>
      <c r="M20" s="167">
        <f t="shared" si="25"/>
        <v>121.5</v>
      </c>
      <c r="N20" s="167">
        <f t="shared" si="26"/>
        <v>54.375</v>
      </c>
      <c r="O20" s="158">
        <v>3</v>
      </c>
      <c r="P20" s="211">
        <v>7</v>
      </c>
      <c r="Q20" s="172">
        <f t="shared" si="27"/>
        <v>3693.375</v>
      </c>
      <c r="R20" s="172">
        <f t="shared" si="27"/>
        <v>3693.375</v>
      </c>
      <c r="S20" s="211">
        <v>10</v>
      </c>
      <c r="T20" s="163">
        <v>150</v>
      </c>
      <c r="U20" s="166">
        <f t="shared" ref="U20:U30" si="37">T20*$L$2</f>
        <v>10275</v>
      </c>
      <c r="V20" s="168">
        <f t="shared" si="28"/>
        <v>121.5</v>
      </c>
      <c r="W20" s="168">
        <f t="shared" si="29"/>
        <v>54.375</v>
      </c>
      <c r="X20" s="172">
        <f t="shared" si="30"/>
        <v>5276.25</v>
      </c>
      <c r="Y20" s="172">
        <f t="shared" si="30"/>
        <v>5276.25</v>
      </c>
      <c r="Z20" s="154">
        <f t="shared" si="8"/>
        <v>17939.25</v>
      </c>
      <c r="AA20" s="170">
        <f t="shared" si="31"/>
        <v>5276.25</v>
      </c>
      <c r="AB20" s="170">
        <f t="shared" si="31"/>
        <v>5276.25</v>
      </c>
      <c r="AC20" s="211">
        <v>12</v>
      </c>
      <c r="AD20" s="169">
        <v>150</v>
      </c>
      <c r="AE20" s="174">
        <f t="shared" ref="AE20:AE29" si="38">AD20*$L$2</f>
        <v>10275</v>
      </c>
      <c r="AF20" s="167">
        <f t="shared" si="32"/>
        <v>121.5</v>
      </c>
      <c r="AG20" s="167">
        <f t="shared" si="33"/>
        <v>54.375</v>
      </c>
      <c r="AH20" s="170">
        <f t="shared" si="34"/>
        <v>6331.5</v>
      </c>
      <c r="AI20" s="170">
        <f t="shared" si="34"/>
        <v>6331.5</v>
      </c>
      <c r="AJ20" s="154">
        <f t="shared" si="13"/>
        <v>23215.5</v>
      </c>
      <c r="AK20" s="170">
        <f t="shared" si="35"/>
        <v>6331.5</v>
      </c>
      <c r="AL20" s="170">
        <f t="shared" si="35"/>
        <v>6331.5</v>
      </c>
      <c r="AM20" s="154">
        <f t="shared" si="15"/>
        <v>12663</v>
      </c>
      <c r="AN20" s="153">
        <f t="shared" si="16"/>
        <v>53817.75</v>
      </c>
      <c r="AU20" s="157"/>
    </row>
    <row r="21" spans="1:47" s="152" customFormat="1" ht="15.75" customHeight="1" x14ac:dyDescent="0.25">
      <c r="A21" s="157" t="s">
        <v>354</v>
      </c>
      <c r="B21" s="157" t="s">
        <v>355</v>
      </c>
      <c r="C21" s="157" t="s">
        <v>356</v>
      </c>
      <c r="D21" s="157" t="s">
        <v>353</v>
      </c>
      <c r="E21" s="157" t="s">
        <v>342</v>
      </c>
      <c r="F21" s="161" t="s">
        <v>221</v>
      </c>
      <c r="G21" s="161" t="s">
        <v>343</v>
      </c>
      <c r="H21" s="157" t="s">
        <v>549</v>
      </c>
      <c r="I21" s="157" t="s">
        <v>302</v>
      </c>
      <c r="J21" s="160">
        <v>0.5</v>
      </c>
      <c r="K21" s="163">
        <v>150</v>
      </c>
      <c r="L21" s="166">
        <f t="shared" si="36"/>
        <v>10275</v>
      </c>
      <c r="M21" s="167">
        <f t="shared" si="25"/>
        <v>121.5</v>
      </c>
      <c r="N21" s="167">
        <f t="shared" si="26"/>
        <v>54.375</v>
      </c>
      <c r="O21" s="158">
        <v>3</v>
      </c>
      <c r="P21" s="211">
        <v>0</v>
      </c>
      <c r="Q21" s="172">
        <f t="shared" si="27"/>
        <v>0</v>
      </c>
      <c r="R21" s="172">
        <f t="shared" si="27"/>
        <v>0</v>
      </c>
      <c r="S21" s="211">
        <v>0</v>
      </c>
      <c r="T21" s="163">
        <v>150</v>
      </c>
      <c r="U21" s="166">
        <f t="shared" si="37"/>
        <v>10275</v>
      </c>
      <c r="V21" s="168">
        <f t="shared" si="28"/>
        <v>121.5</v>
      </c>
      <c r="W21" s="168">
        <f t="shared" si="29"/>
        <v>54.375</v>
      </c>
      <c r="X21" s="172">
        <f t="shared" si="30"/>
        <v>0</v>
      </c>
      <c r="Y21" s="172">
        <f t="shared" si="30"/>
        <v>0</v>
      </c>
      <c r="Z21" s="154">
        <f t="shared" si="8"/>
        <v>0</v>
      </c>
      <c r="AA21" s="170">
        <f t="shared" si="31"/>
        <v>0</v>
      </c>
      <c r="AB21" s="170">
        <f t="shared" si="31"/>
        <v>0</v>
      </c>
      <c r="AC21" s="211">
        <v>1</v>
      </c>
      <c r="AD21" s="169">
        <v>150</v>
      </c>
      <c r="AE21" s="174">
        <f t="shared" si="38"/>
        <v>10275</v>
      </c>
      <c r="AF21" s="167">
        <f t="shared" si="32"/>
        <v>121.5</v>
      </c>
      <c r="AG21" s="167">
        <f t="shared" si="33"/>
        <v>54.375</v>
      </c>
      <c r="AH21" s="170">
        <f t="shared" si="34"/>
        <v>527.625</v>
      </c>
      <c r="AI21" s="170">
        <f t="shared" si="34"/>
        <v>527.625</v>
      </c>
      <c r="AJ21" s="154">
        <f t="shared" si="13"/>
        <v>1055.25</v>
      </c>
      <c r="AK21" s="170">
        <f t="shared" si="35"/>
        <v>527.625</v>
      </c>
      <c r="AL21" s="170">
        <f t="shared" si="35"/>
        <v>527.625</v>
      </c>
      <c r="AM21" s="154">
        <f t="shared" si="15"/>
        <v>1055.25</v>
      </c>
      <c r="AN21" s="153">
        <f t="shared" si="16"/>
        <v>2110.5</v>
      </c>
      <c r="AU21" s="157"/>
    </row>
    <row r="22" spans="1:47" s="152" customFormat="1" ht="15.75" customHeight="1" x14ac:dyDescent="0.25">
      <c r="A22" s="157" t="s">
        <v>354</v>
      </c>
      <c r="B22" s="157" t="s">
        <v>355</v>
      </c>
      <c r="C22" s="157" t="s">
        <v>356</v>
      </c>
      <c r="D22" s="157" t="s">
        <v>353</v>
      </c>
      <c r="E22" s="157" t="s">
        <v>342</v>
      </c>
      <c r="F22" s="161" t="s">
        <v>221</v>
      </c>
      <c r="G22" s="161" t="s">
        <v>343</v>
      </c>
      <c r="H22" s="157" t="s">
        <v>549</v>
      </c>
      <c r="I22" s="157" t="s">
        <v>311</v>
      </c>
      <c r="J22" s="160">
        <v>0.5</v>
      </c>
      <c r="K22" s="163">
        <v>200</v>
      </c>
      <c r="L22" s="166">
        <f t="shared" si="36"/>
        <v>13700</v>
      </c>
      <c r="M22" s="167">
        <f t="shared" si="25"/>
        <v>162</v>
      </c>
      <c r="N22" s="167">
        <f t="shared" si="26"/>
        <v>72.5</v>
      </c>
      <c r="O22" s="158">
        <v>3</v>
      </c>
      <c r="P22" s="158">
        <v>1</v>
      </c>
      <c r="Q22" s="172">
        <f t="shared" si="27"/>
        <v>703.5</v>
      </c>
      <c r="R22" s="172">
        <f t="shared" si="27"/>
        <v>703.5</v>
      </c>
      <c r="S22" s="158">
        <v>1</v>
      </c>
      <c r="T22" s="163">
        <v>200</v>
      </c>
      <c r="U22" s="166">
        <f t="shared" si="37"/>
        <v>13700</v>
      </c>
      <c r="V22" s="168">
        <f t="shared" si="28"/>
        <v>162</v>
      </c>
      <c r="W22" s="168">
        <f t="shared" si="29"/>
        <v>72.5</v>
      </c>
      <c r="X22" s="172">
        <f t="shared" si="30"/>
        <v>703.5</v>
      </c>
      <c r="Y22" s="172">
        <f t="shared" si="30"/>
        <v>703.5</v>
      </c>
      <c r="Z22" s="154">
        <f t="shared" si="8"/>
        <v>2814</v>
      </c>
      <c r="AA22" s="170">
        <f t="shared" si="31"/>
        <v>703.5</v>
      </c>
      <c r="AB22" s="170">
        <f t="shared" si="31"/>
        <v>703.5</v>
      </c>
      <c r="AC22" s="171">
        <v>3</v>
      </c>
      <c r="AD22" s="169">
        <v>200</v>
      </c>
      <c r="AE22" s="174">
        <f t="shared" si="38"/>
        <v>13700</v>
      </c>
      <c r="AF22" s="167">
        <f t="shared" si="32"/>
        <v>162</v>
      </c>
      <c r="AG22" s="167">
        <f t="shared" si="33"/>
        <v>72.5</v>
      </c>
      <c r="AH22" s="170">
        <f t="shared" si="34"/>
        <v>2110.5</v>
      </c>
      <c r="AI22" s="170">
        <f t="shared" si="34"/>
        <v>2110.5</v>
      </c>
      <c r="AJ22" s="154">
        <f t="shared" si="13"/>
        <v>5628</v>
      </c>
      <c r="AK22" s="170">
        <f t="shared" si="35"/>
        <v>2110.5</v>
      </c>
      <c r="AL22" s="170">
        <f t="shared" si="35"/>
        <v>2110.5</v>
      </c>
      <c r="AM22" s="154">
        <f t="shared" si="15"/>
        <v>4221</v>
      </c>
      <c r="AN22" s="153">
        <f t="shared" si="16"/>
        <v>12663</v>
      </c>
      <c r="AU22" s="157"/>
    </row>
    <row r="23" spans="1:47" s="152" customFormat="1" ht="15.75" customHeight="1" x14ac:dyDescent="0.25">
      <c r="A23" s="157" t="s">
        <v>354</v>
      </c>
      <c r="B23" s="157" t="s">
        <v>355</v>
      </c>
      <c r="C23" s="157" t="s">
        <v>356</v>
      </c>
      <c r="D23" s="157" t="s">
        <v>353</v>
      </c>
      <c r="E23" s="157" t="s">
        <v>342</v>
      </c>
      <c r="F23" s="161" t="s">
        <v>221</v>
      </c>
      <c r="G23" s="161" t="s">
        <v>343</v>
      </c>
      <c r="H23" s="157" t="s">
        <v>549</v>
      </c>
      <c r="I23" s="157" t="s">
        <v>312</v>
      </c>
      <c r="J23" s="160">
        <v>0.5</v>
      </c>
      <c r="K23" s="163">
        <v>200</v>
      </c>
      <c r="L23" s="166">
        <f t="shared" si="36"/>
        <v>13700</v>
      </c>
      <c r="M23" s="167">
        <f t="shared" si="25"/>
        <v>162</v>
      </c>
      <c r="N23" s="167">
        <f t="shared" si="26"/>
        <v>72.5</v>
      </c>
      <c r="O23" s="158">
        <v>3</v>
      </c>
      <c r="P23" s="211">
        <v>1</v>
      </c>
      <c r="Q23" s="172">
        <f t="shared" si="27"/>
        <v>703.5</v>
      </c>
      <c r="R23" s="172">
        <f t="shared" si="27"/>
        <v>703.5</v>
      </c>
      <c r="S23" s="211">
        <v>1</v>
      </c>
      <c r="T23" s="163">
        <v>200</v>
      </c>
      <c r="U23" s="166">
        <f t="shared" si="37"/>
        <v>13700</v>
      </c>
      <c r="V23" s="168">
        <f t="shared" si="28"/>
        <v>162</v>
      </c>
      <c r="W23" s="168">
        <f t="shared" si="29"/>
        <v>72.5</v>
      </c>
      <c r="X23" s="172">
        <f t="shared" si="30"/>
        <v>703.5</v>
      </c>
      <c r="Y23" s="172">
        <f t="shared" si="30"/>
        <v>703.5</v>
      </c>
      <c r="Z23" s="154">
        <f t="shared" si="8"/>
        <v>2814</v>
      </c>
      <c r="AA23" s="170">
        <f t="shared" si="31"/>
        <v>703.5</v>
      </c>
      <c r="AB23" s="170">
        <f t="shared" si="31"/>
        <v>703.5</v>
      </c>
      <c r="AC23" s="211">
        <v>3</v>
      </c>
      <c r="AD23" s="169">
        <v>200</v>
      </c>
      <c r="AE23" s="174">
        <f t="shared" si="38"/>
        <v>13700</v>
      </c>
      <c r="AF23" s="167">
        <f t="shared" si="32"/>
        <v>162</v>
      </c>
      <c r="AG23" s="167">
        <f t="shared" si="33"/>
        <v>72.5</v>
      </c>
      <c r="AH23" s="170">
        <f t="shared" si="34"/>
        <v>2110.5</v>
      </c>
      <c r="AI23" s="170">
        <f t="shared" si="34"/>
        <v>2110.5</v>
      </c>
      <c r="AJ23" s="154">
        <f t="shared" si="13"/>
        <v>5628</v>
      </c>
      <c r="AK23" s="170">
        <f t="shared" si="35"/>
        <v>2110.5</v>
      </c>
      <c r="AL23" s="170">
        <f t="shared" si="35"/>
        <v>2110.5</v>
      </c>
      <c r="AM23" s="154">
        <f t="shared" si="15"/>
        <v>4221</v>
      </c>
      <c r="AN23" s="153">
        <f t="shared" si="16"/>
        <v>12663</v>
      </c>
      <c r="AU23" s="157"/>
    </row>
    <row r="24" spans="1:47" s="152" customFormat="1" ht="15.75" customHeight="1" x14ac:dyDescent="0.25">
      <c r="A24" s="157" t="s">
        <v>358</v>
      </c>
      <c r="B24" s="157" t="s">
        <v>359</v>
      </c>
      <c r="C24" s="157" t="s">
        <v>360</v>
      </c>
      <c r="D24" s="157" t="s">
        <v>357</v>
      </c>
      <c r="E24" s="157" t="s">
        <v>342</v>
      </c>
      <c r="F24" s="161" t="s">
        <v>221</v>
      </c>
      <c r="G24" s="161" t="s">
        <v>343</v>
      </c>
      <c r="H24" s="157" t="s">
        <v>549</v>
      </c>
      <c r="I24" s="157" t="s">
        <v>344</v>
      </c>
      <c r="J24" s="160">
        <v>0.5</v>
      </c>
      <c r="K24" s="163">
        <v>150</v>
      </c>
      <c r="L24" s="166">
        <f t="shared" si="36"/>
        <v>10275</v>
      </c>
      <c r="M24" s="167">
        <f t="shared" si="25"/>
        <v>121.5</v>
      </c>
      <c r="N24" s="167">
        <f t="shared" si="26"/>
        <v>54.375</v>
      </c>
      <c r="O24" s="158">
        <v>3</v>
      </c>
      <c r="P24" s="211">
        <v>17</v>
      </c>
      <c r="Q24" s="172">
        <f t="shared" si="27"/>
        <v>8969.625</v>
      </c>
      <c r="R24" s="172">
        <f t="shared" si="27"/>
        <v>8969.625</v>
      </c>
      <c r="S24" s="211">
        <v>46</v>
      </c>
      <c r="T24" s="163">
        <v>150</v>
      </c>
      <c r="U24" s="166">
        <f t="shared" si="37"/>
        <v>10275</v>
      </c>
      <c r="V24" s="168">
        <f t="shared" si="28"/>
        <v>121.5</v>
      </c>
      <c r="W24" s="168">
        <f t="shared" si="29"/>
        <v>54.375</v>
      </c>
      <c r="X24" s="172">
        <f t="shared" si="30"/>
        <v>24270.75</v>
      </c>
      <c r="Y24" s="172">
        <f t="shared" si="30"/>
        <v>24270.75</v>
      </c>
      <c r="Z24" s="154">
        <f t="shared" si="8"/>
        <v>66480.75</v>
      </c>
      <c r="AA24" s="170">
        <f t="shared" si="31"/>
        <v>24270.75</v>
      </c>
      <c r="AB24" s="170">
        <f t="shared" si="31"/>
        <v>24270.75</v>
      </c>
      <c r="AC24" s="211">
        <v>62</v>
      </c>
      <c r="AD24" s="169">
        <v>150</v>
      </c>
      <c r="AE24" s="174">
        <f t="shared" si="38"/>
        <v>10275</v>
      </c>
      <c r="AF24" s="167">
        <f t="shared" si="32"/>
        <v>121.5</v>
      </c>
      <c r="AG24" s="167">
        <f t="shared" si="33"/>
        <v>54.375</v>
      </c>
      <c r="AH24" s="170">
        <f t="shared" si="34"/>
        <v>32712.75</v>
      </c>
      <c r="AI24" s="170">
        <f t="shared" si="34"/>
        <v>32712.75</v>
      </c>
      <c r="AJ24" s="154">
        <f t="shared" si="13"/>
        <v>113967</v>
      </c>
      <c r="AK24" s="170">
        <f t="shared" si="35"/>
        <v>32712.75</v>
      </c>
      <c r="AL24" s="170">
        <f t="shared" si="35"/>
        <v>32712.75</v>
      </c>
      <c r="AM24" s="154">
        <f t="shared" si="15"/>
        <v>65425.5</v>
      </c>
      <c r="AN24" s="153">
        <f t="shared" si="16"/>
        <v>245873.25</v>
      </c>
      <c r="AU24" s="157"/>
    </row>
    <row r="25" spans="1:47" s="152" customFormat="1" ht="15.75" customHeight="1" x14ac:dyDescent="0.25">
      <c r="A25" s="157" t="s">
        <v>358</v>
      </c>
      <c r="B25" s="157" t="s">
        <v>359</v>
      </c>
      <c r="C25" s="157" t="s">
        <v>360</v>
      </c>
      <c r="D25" s="157" t="s">
        <v>357</v>
      </c>
      <c r="E25" s="157" t="s">
        <v>342</v>
      </c>
      <c r="F25" s="161" t="s">
        <v>221</v>
      </c>
      <c r="G25" s="161" t="s">
        <v>343</v>
      </c>
      <c r="H25" s="157" t="s">
        <v>549</v>
      </c>
      <c r="I25" s="157" t="s">
        <v>302</v>
      </c>
      <c r="J25" s="160">
        <v>0.5</v>
      </c>
      <c r="K25" s="163">
        <v>150</v>
      </c>
      <c r="L25" s="166">
        <f t="shared" si="36"/>
        <v>10275</v>
      </c>
      <c r="M25" s="167">
        <f t="shared" si="25"/>
        <v>121.5</v>
      </c>
      <c r="N25" s="167">
        <f t="shared" si="26"/>
        <v>54.375</v>
      </c>
      <c r="O25" s="158">
        <v>3</v>
      </c>
      <c r="P25" s="211">
        <v>0</v>
      </c>
      <c r="Q25" s="172">
        <f t="shared" si="27"/>
        <v>0</v>
      </c>
      <c r="R25" s="172">
        <f t="shared" si="27"/>
        <v>0</v>
      </c>
      <c r="S25" s="211">
        <v>4</v>
      </c>
      <c r="T25" s="163">
        <v>150</v>
      </c>
      <c r="U25" s="166">
        <f t="shared" si="37"/>
        <v>10275</v>
      </c>
      <c r="V25" s="168">
        <f t="shared" si="28"/>
        <v>121.5</v>
      </c>
      <c r="W25" s="168">
        <f t="shared" si="29"/>
        <v>54.375</v>
      </c>
      <c r="X25" s="172">
        <f t="shared" si="30"/>
        <v>2110.5</v>
      </c>
      <c r="Y25" s="172">
        <f t="shared" si="30"/>
        <v>2110.5</v>
      </c>
      <c r="Z25" s="154">
        <f t="shared" si="8"/>
        <v>4221</v>
      </c>
      <c r="AA25" s="170">
        <f t="shared" si="31"/>
        <v>2110.5</v>
      </c>
      <c r="AB25" s="170">
        <f t="shared" si="31"/>
        <v>2110.5</v>
      </c>
      <c r="AC25" s="211">
        <v>6</v>
      </c>
      <c r="AD25" s="169">
        <v>150</v>
      </c>
      <c r="AE25" s="174">
        <f t="shared" si="38"/>
        <v>10275</v>
      </c>
      <c r="AF25" s="167">
        <f t="shared" si="32"/>
        <v>121.5</v>
      </c>
      <c r="AG25" s="167">
        <f t="shared" si="33"/>
        <v>54.375</v>
      </c>
      <c r="AH25" s="170">
        <f t="shared" si="34"/>
        <v>3165.75</v>
      </c>
      <c r="AI25" s="170">
        <f t="shared" si="34"/>
        <v>3165.75</v>
      </c>
      <c r="AJ25" s="154">
        <f t="shared" si="13"/>
        <v>10552.5</v>
      </c>
      <c r="AK25" s="170">
        <f t="shared" si="35"/>
        <v>3165.75</v>
      </c>
      <c r="AL25" s="170">
        <f t="shared" si="35"/>
        <v>3165.75</v>
      </c>
      <c r="AM25" s="154">
        <f t="shared" si="15"/>
        <v>6331.5</v>
      </c>
      <c r="AN25" s="153">
        <f t="shared" si="16"/>
        <v>21105</v>
      </c>
      <c r="AU25" s="157"/>
    </row>
    <row r="26" spans="1:47" s="152" customFormat="1" ht="23.25" customHeight="1" x14ac:dyDescent="0.25">
      <c r="A26" s="157" t="s">
        <v>358</v>
      </c>
      <c r="B26" s="157" t="s">
        <v>359</v>
      </c>
      <c r="C26" s="157" t="s">
        <v>360</v>
      </c>
      <c r="D26" s="157" t="s">
        <v>357</v>
      </c>
      <c r="E26" s="157" t="s">
        <v>342</v>
      </c>
      <c r="F26" s="161" t="s">
        <v>221</v>
      </c>
      <c r="G26" s="161" t="s">
        <v>343</v>
      </c>
      <c r="H26" s="157" t="s">
        <v>549</v>
      </c>
      <c r="I26" s="157" t="s">
        <v>311</v>
      </c>
      <c r="J26" s="160">
        <v>0.5</v>
      </c>
      <c r="K26" s="163">
        <v>200</v>
      </c>
      <c r="L26" s="166">
        <f t="shared" si="36"/>
        <v>13700</v>
      </c>
      <c r="M26" s="167">
        <f t="shared" si="25"/>
        <v>162</v>
      </c>
      <c r="N26" s="167">
        <f t="shared" si="26"/>
        <v>72.5</v>
      </c>
      <c r="O26" s="158">
        <v>3</v>
      </c>
      <c r="P26" s="158">
        <v>1</v>
      </c>
      <c r="Q26" s="172">
        <f t="shared" si="27"/>
        <v>703.5</v>
      </c>
      <c r="R26" s="172">
        <f t="shared" si="27"/>
        <v>703.5</v>
      </c>
      <c r="S26" s="158">
        <v>2</v>
      </c>
      <c r="T26" s="163">
        <v>200</v>
      </c>
      <c r="U26" s="166">
        <f t="shared" si="37"/>
        <v>13700</v>
      </c>
      <c r="V26" s="168">
        <f t="shared" si="28"/>
        <v>162</v>
      </c>
      <c r="W26" s="168">
        <f t="shared" si="29"/>
        <v>72.5</v>
      </c>
      <c r="X26" s="172">
        <f t="shared" si="30"/>
        <v>1407</v>
      </c>
      <c r="Y26" s="172">
        <f t="shared" si="30"/>
        <v>1407</v>
      </c>
      <c r="Z26" s="154">
        <f t="shared" si="8"/>
        <v>4221</v>
      </c>
      <c r="AA26" s="170">
        <f t="shared" si="31"/>
        <v>1407</v>
      </c>
      <c r="AB26" s="170">
        <f t="shared" si="31"/>
        <v>1407</v>
      </c>
      <c r="AC26" s="171">
        <v>3</v>
      </c>
      <c r="AD26" s="169">
        <v>200</v>
      </c>
      <c r="AE26" s="174">
        <f t="shared" si="38"/>
        <v>13700</v>
      </c>
      <c r="AF26" s="167">
        <f t="shared" si="32"/>
        <v>162</v>
      </c>
      <c r="AG26" s="167">
        <f t="shared" si="33"/>
        <v>72.5</v>
      </c>
      <c r="AH26" s="170">
        <f t="shared" si="34"/>
        <v>2110.5</v>
      </c>
      <c r="AI26" s="170">
        <f t="shared" si="34"/>
        <v>2110.5</v>
      </c>
      <c r="AJ26" s="154">
        <f t="shared" si="13"/>
        <v>7035</v>
      </c>
      <c r="AK26" s="170">
        <f t="shared" si="35"/>
        <v>2110.5</v>
      </c>
      <c r="AL26" s="170">
        <f t="shared" si="35"/>
        <v>2110.5</v>
      </c>
      <c r="AM26" s="154">
        <f t="shared" si="15"/>
        <v>4221</v>
      </c>
      <c r="AN26" s="153">
        <f t="shared" si="16"/>
        <v>15477</v>
      </c>
      <c r="AU26" s="157"/>
    </row>
    <row r="27" spans="1:47" s="152" customFormat="1" ht="23.25" customHeight="1" x14ac:dyDescent="0.25">
      <c r="A27" s="157" t="s">
        <v>358</v>
      </c>
      <c r="B27" s="157" t="s">
        <v>359</v>
      </c>
      <c r="C27" s="157" t="s">
        <v>360</v>
      </c>
      <c r="D27" s="157" t="s">
        <v>357</v>
      </c>
      <c r="E27" s="157" t="s">
        <v>342</v>
      </c>
      <c r="F27" s="161" t="s">
        <v>221</v>
      </c>
      <c r="G27" s="161" t="s">
        <v>343</v>
      </c>
      <c r="H27" s="157" t="s">
        <v>549</v>
      </c>
      <c r="I27" s="157" t="s">
        <v>312</v>
      </c>
      <c r="J27" s="160">
        <v>0.5</v>
      </c>
      <c r="K27" s="163">
        <v>200</v>
      </c>
      <c r="L27" s="166">
        <f t="shared" si="36"/>
        <v>13700</v>
      </c>
      <c r="M27" s="167">
        <f t="shared" si="25"/>
        <v>162</v>
      </c>
      <c r="N27" s="167">
        <f t="shared" si="26"/>
        <v>72.5</v>
      </c>
      <c r="O27" s="158">
        <v>3</v>
      </c>
      <c r="P27" s="211">
        <v>1</v>
      </c>
      <c r="Q27" s="172">
        <f t="shared" si="27"/>
        <v>703.5</v>
      </c>
      <c r="R27" s="172">
        <f t="shared" si="27"/>
        <v>703.5</v>
      </c>
      <c r="S27" s="211">
        <v>2</v>
      </c>
      <c r="T27" s="163">
        <v>200</v>
      </c>
      <c r="U27" s="166">
        <f t="shared" si="37"/>
        <v>13700</v>
      </c>
      <c r="V27" s="168">
        <f t="shared" si="28"/>
        <v>162</v>
      </c>
      <c r="W27" s="168">
        <f t="shared" si="29"/>
        <v>72.5</v>
      </c>
      <c r="X27" s="172">
        <f t="shared" si="30"/>
        <v>1407</v>
      </c>
      <c r="Y27" s="172">
        <f t="shared" si="30"/>
        <v>1407</v>
      </c>
      <c r="Z27" s="154">
        <f t="shared" si="8"/>
        <v>4221</v>
      </c>
      <c r="AA27" s="170">
        <f t="shared" si="31"/>
        <v>1407</v>
      </c>
      <c r="AB27" s="170">
        <f t="shared" si="31"/>
        <v>1407</v>
      </c>
      <c r="AC27" s="211">
        <v>3</v>
      </c>
      <c r="AD27" s="169">
        <v>200</v>
      </c>
      <c r="AE27" s="174">
        <f t="shared" si="38"/>
        <v>13700</v>
      </c>
      <c r="AF27" s="167">
        <f t="shared" si="32"/>
        <v>162</v>
      </c>
      <c r="AG27" s="167">
        <f t="shared" si="33"/>
        <v>72.5</v>
      </c>
      <c r="AH27" s="170">
        <f t="shared" si="34"/>
        <v>2110.5</v>
      </c>
      <c r="AI27" s="170">
        <f t="shared" si="34"/>
        <v>2110.5</v>
      </c>
      <c r="AJ27" s="154">
        <f t="shared" si="13"/>
        <v>7035</v>
      </c>
      <c r="AK27" s="170">
        <f t="shared" si="35"/>
        <v>2110.5</v>
      </c>
      <c r="AL27" s="170">
        <f t="shared" si="35"/>
        <v>2110.5</v>
      </c>
      <c r="AM27" s="154">
        <f t="shared" si="15"/>
        <v>4221</v>
      </c>
      <c r="AN27" s="153">
        <f t="shared" si="16"/>
        <v>15477</v>
      </c>
      <c r="AU27" s="157"/>
    </row>
    <row r="28" spans="1:47" s="152" customFormat="1" ht="23.25" customHeight="1" x14ac:dyDescent="0.25">
      <c r="A28" s="157" t="s">
        <v>364</v>
      </c>
      <c r="B28" s="157" t="s">
        <v>361</v>
      </c>
      <c r="C28" s="157" t="s">
        <v>362</v>
      </c>
      <c r="D28" s="157" t="s">
        <v>363</v>
      </c>
      <c r="E28" s="157" t="s">
        <v>342</v>
      </c>
      <c r="F28" s="161" t="s">
        <v>221</v>
      </c>
      <c r="G28" s="161" t="s">
        <v>343</v>
      </c>
      <c r="H28" s="157" t="s">
        <v>549</v>
      </c>
      <c r="I28" s="157" t="s">
        <v>365</v>
      </c>
      <c r="J28" s="160">
        <v>0.5</v>
      </c>
      <c r="K28" s="163">
        <v>150</v>
      </c>
      <c r="L28" s="166">
        <f t="shared" si="36"/>
        <v>10275</v>
      </c>
      <c r="M28" s="167">
        <f t="shared" si="25"/>
        <v>121.5</v>
      </c>
      <c r="N28" s="167">
        <f t="shared" si="26"/>
        <v>54.375</v>
      </c>
      <c r="O28" s="158">
        <v>3</v>
      </c>
      <c r="P28" s="211">
        <v>0</v>
      </c>
      <c r="Q28" s="172">
        <f t="shared" si="27"/>
        <v>0</v>
      </c>
      <c r="R28" s="172">
        <f t="shared" si="27"/>
        <v>0</v>
      </c>
      <c r="S28" s="211">
        <v>10</v>
      </c>
      <c r="T28" s="163">
        <v>150</v>
      </c>
      <c r="U28" s="166">
        <f t="shared" si="37"/>
        <v>10275</v>
      </c>
      <c r="V28" s="168">
        <f t="shared" si="28"/>
        <v>121.5</v>
      </c>
      <c r="W28" s="168">
        <f t="shared" si="29"/>
        <v>54.375</v>
      </c>
      <c r="X28" s="172">
        <f t="shared" si="30"/>
        <v>5276.25</v>
      </c>
      <c r="Y28" s="172">
        <f t="shared" si="30"/>
        <v>5276.25</v>
      </c>
      <c r="Z28" s="154">
        <f t="shared" si="8"/>
        <v>10552.5</v>
      </c>
      <c r="AA28" s="170">
        <f t="shared" si="31"/>
        <v>5276.25</v>
      </c>
      <c r="AB28" s="170">
        <f t="shared" si="31"/>
        <v>5276.25</v>
      </c>
      <c r="AC28" s="211">
        <v>22</v>
      </c>
      <c r="AD28" s="169">
        <v>150</v>
      </c>
      <c r="AE28" s="174">
        <f t="shared" si="38"/>
        <v>10275</v>
      </c>
      <c r="AF28" s="167">
        <f t="shared" si="32"/>
        <v>121.5</v>
      </c>
      <c r="AG28" s="167">
        <f t="shared" si="33"/>
        <v>54.375</v>
      </c>
      <c r="AH28" s="170">
        <f t="shared" si="34"/>
        <v>11607.75</v>
      </c>
      <c r="AI28" s="170">
        <f t="shared" si="34"/>
        <v>11607.75</v>
      </c>
      <c r="AJ28" s="154">
        <f t="shared" si="13"/>
        <v>33768</v>
      </c>
      <c r="AK28" s="170">
        <f t="shared" si="35"/>
        <v>11607.75</v>
      </c>
      <c r="AL28" s="170">
        <f t="shared" si="35"/>
        <v>11607.75</v>
      </c>
      <c r="AM28" s="154">
        <f t="shared" si="15"/>
        <v>23215.5</v>
      </c>
      <c r="AN28" s="153">
        <f t="shared" si="16"/>
        <v>67536</v>
      </c>
      <c r="AU28" s="157"/>
    </row>
    <row r="29" spans="1:47" s="152" customFormat="1" ht="57.75" customHeight="1" x14ac:dyDescent="0.25">
      <c r="A29" s="157" t="s">
        <v>364</v>
      </c>
      <c r="B29" s="157" t="s">
        <v>361</v>
      </c>
      <c r="C29" s="157" t="s">
        <v>362</v>
      </c>
      <c r="D29" s="157" t="s">
        <v>363</v>
      </c>
      <c r="E29" s="157" t="s">
        <v>342</v>
      </c>
      <c r="F29" s="161" t="s">
        <v>221</v>
      </c>
      <c r="G29" s="161" t="s">
        <v>343</v>
      </c>
      <c r="H29" s="157" t="s">
        <v>549</v>
      </c>
      <c r="I29" s="157" t="s">
        <v>311</v>
      </c>
      <c r="J29" s="160">
        <v>0.5</v>
      </c>
      <c r="K29" s="163">
        <v>200</v>
      </c>
      <c r="L29" s="166">
        <f t="shared" si="36"/>
        <v>13700</v>
      </c>
      <c r="M29" s="167">
        <f t="shared" si="25"/>
        <v>162</v>
      </c>
      <c r="N29" s="167">
        <f t="shared" si="26"/>
        <v>72.5</v>
      </c>
      <c r="O29" s="158">
        <v>3</v>
      </c>
      <c r="P29" s="158">
        <v>2</v>
      </c>
      <c r="Q29" s="172">
        <f t="shared" si="27"/>
        <v>1407</v>
      </c>
      <c r="R29" s="172">
        <f t="shared" si="27"/>
        <v>1407</v>
      </c>
      <c r="S29" s="158">
        <v>2</v>
      </c>
      <c r="T29" s="163">
        <v>200</v>
      </c>
      <c r="U29" s="166">
        <f t="shared" si="37"/>
        <v>13700</v>
      </c>
      <c r="V29" s="168">
        <f t="shared" si="28"/>
        <v>162</v>
      </c>
      <c r="W29" s="168">
        <f t="shared" si="29"/>
        <v>72.5</v>
      </c>
      <c r="X29" s="172">
        <f t="shared" si="30"/>
        <v>1407</v>
      </c>
      <c r="Y29" s="172">
        <f t="shared" si="30"/>
        <v>1407</v>
      </c>
      <c r="Z29" s="154">
        <f t="shared" si="8"/>
        <v>5628</v>
      </c>
      <c r="AA29" s="170">
        <f t="shared" si="31"/>
        <v>1407</v>
      </c>
      <c r="AB29" s="170">
        <f t="shared" si="31"/>
        <v>1407</v>
      </c>
      <c r="AC29" s="171">
        <v>2</v>
      </c>
      <c r="AD29" s="169">
        <v>200</v>
      </c>
      <c r="AE29" s="174">
        <f t="shared" si="38"/>
        <v>13700</v>
      </c>
      <c r="AF29" s="167">
        <f t="shared" si="32"/>
        <v>162</v>
      </c>
      <c r="AG29" s="167">
        <f t="shared" si="33"/>
        <v>72.5</v>
      </c>
      <c r="AH29" s="170">
        <f t="shared" si="34"/>
        <v>1407</v>
      </c>
      <c r="AI29" s="170">
        <f t="shared" si="34"/>
        <v>1407</v>
      </c>
      <c r="AJ29" s="154">
        <f t="shared" si="13"/>
        <v>5628</v>
      </c>
      <c r="AK29" s="170">
        <f t="shared" si="35"/>
        <v>1407</v>
      </c>
      <c r="AL29" s="170">
        <f t="shared" si="35"/>
        <v>1407</v>
      </c>
      <c r="AM29" s="154">
        <f t="shared" si="15"/>
        <v>2814</v>
      </c>
      <c r="AN29" s="153">
        <f t="shared" si="16"/>
        <v>14070</v>
      </c>
      <c r="AU29" s="157"/>
    </row>
    <row r="30" spans="1:47" s="152" customFormat="1" ht="101.25" customHeight="1" x14ac:dyDescent="0.25">
      <c r="A30" s="157"/>
      <c r="B30" s="157" t="s">
        <v>347</v>
      </c>
      <c r="C30" s="157" t="s">
        <v>400</v>
      </c>
      <c r="D30" s="212"/>
      <c r="E30" s="213" t="s">
        <v>401</v>
      </c>
      <c r="F30" s="161" t="s">
        <v>221</v>
      </c>
      <c r="G30" s="161" t="s">
        <v>367</v>
      </c>
      <c r="H30" s="157" t="s">
        <v>366</v>
      </c>
      <c r="I30" s="212" t="s">
        <v>402</v>
      </c>
      <c r="J30" s="160" t="s">
        <v>304</v>
      </c>
      <c r="K30" s="163">
        <v>93</v>
      </c>
      <c r="L30" s="164">
        <f t="shared" si="36"/>
        <v>6370.5</v>
      </c>
      <c r="M30" s="159"/>
      <c r="N30" s="159"/>
      <c r="O30" s="158">
        <v>1</v>
      </c>
      <c r="P30" s="158">
        <f>(1*2*2+2*2)*30</f>
        <v>240</v>
      </c>
      <c r="Q30" s="155">
        <f>$K30*$O30*$P30</f>
        <v>22320</v>
      </c>
      <c r="R30" s="155">
        <f>$K30*$O30*$P30</f>
        <v>22320</v>
      </c>
      <c r="S30" s="158">
        <f>(1*2*4+2*4)*30</f>
        <v>480</v>
      </c>
      <c r="T30" s="163">
        <v>93</v>
      </c>
      <c r="U30" s="164">
        <f t="shared" si="37"/>
        <v>6370.5</v>
      </c>
      <c r="V30" s="156"/>
      <c r="W30" s="156"/>
      <c r="X30" s="155">
        <f>$T30*$O30*$S30</f>
        <v>44640</v>
      </c>
      <c r="Y30" s="155">
        <f>$T30*$O30*$S30</f>
        <v>44640</v>
      </c>
      <c r="Z30" s="154">
        <f t="shared" si="8"/>
        <v>133920</v>
      </c>
      <c r="AA30" s="162"/>
      <c r="AB30" s="162"/>
      <c r="AC30" s="158">
        <f>(1*2*4+2*4)*30</f>
        <v>480</v>
      </c>
      <c r="AD30" s="163"/>
      <c r="AE30" s="157"/>
      <c r="AF30" s="156"/>
      <c r="AG30" s="156"/>
      <c r="AH30" s="157"/>
      <c r="AI30" s="162"/>
      <c r="AJ30" s="154">
        <f t="shared" si="13"/>
        <v>0</v>
      </c>
      <c r="AK30" s="162"/>
      <c r="AL30" s="162"/>
      <c r="AM30" s="154">
        <f t="shared" si="15"/>
        <v>0</v>
      </c>
      <c r="AN30" s="153">
        <f t="shared" si="16"/>
        <v>133920</v>
      </c>
      <c r="AT30" s="157"/>
      <c r="AU30" s="157" t="s">
        <v>403</v>
      </c>
    </row>
    <row r="31" spans="1:47" ht="50.1" customHeight="1" x14ac:dyDescent="0.25"/>
    <row r="32" spans="1:47"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row r="78" ht="50.1" customHeight="1" x14ac:dyDescent="0.25"/>
    <row r="79" ht="50.1" customHeight="1" x14ac:dyDescent="0.25"/>
    <row r="80" ht="50.1" customHeight="1" x14ac:dyDescent="0.25"/>
    <row r="81" ht="50.1" customHeight="1" x14ac:dyDescent="0.25"/>
    <row r="82" ht="50.1" customHeight="1" x14ac:dyDescent="0.25"/>
    <row r="83" ht="50.1" customHeight="1" x14ac:dyDescent="0.25"/>
    <row r="84" ht="50.1" customHeight="1" x14ac:dyDescent="0.25"/>
    <row r="85" ht="50.1" customHeight="1" x14ac:dyDescent="0.25"/>
    <row r="86" ht="50.1" customHeight="1" x14ac:dyDescent="0.25"/>
    <row r="87" ht="50.1" customHeight="1" x14ac:dyDescent="0.25"/>
    <row r="88" ht="50.1" customHeight="1" x14ac:dyDescent="0.25"/>
    <row r="89" ht="50.1" customHeight="1" x14ac:dyDescent="0.25"/>
    <row r="90" ht="50.1" customHeight="1" x14ac:dyDescent="0.25"/>
    <row r="91" ht="50.1" customHeight="1" x14ac:dyDescent="0.25"/>
    <row r="92" ht="50.1" customHeight="1" x14ac:dyDescent="0.25"/>
    <row r="93" ht="50.1" customHeight="1" x14ac:dyDescent="0.25"/>
    <row r="94" ht="50.1" customHeight="1" x14ac:dyDescent="0.25"/>
    <row r="95" ht="50.1" customHeight="1" x14ac:dyDescent="0.25"/>
    <row r="96" ht="50.1" customHeight="1" x14ac:dyDescent="0.25"/>
    <row r="97" ht="50.1" customHeight="1" x14ac:dyDescent="0.25"/>
    <row r="98" ht="50.1" customHeight="1" x14ac:dyDescent="0.25"/>
    <row r="99" ht="50.1" customHeight="1" x14ac:dyDescent="0.25"/>
    <row r="100" ht="50.1" customHeight="1" x14ac:dyDescent="0.25"/>
    <row r="101" ht="50.1" customHeight="1" x14ac:dyDescent="0.25"/>
    <row r="102" ht="50.1" customHeight="1" x14ac:dyDescent="0.25"/>
    <row r="103" ht="50.1" customHeight="1" x14ac:dyDescent="0.25"/>
    <row r="104" ht="50.1" customHeight="1" x14ac:dyDescent="0.25"/>
  </sheetData>
  <autoFilter ref="A3:AV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ИМН</vt:lpstr>
      <vt:lpstr>на новую заявку</vt:lpstr>
      <vt:lpstr>суммы</vt:lpstr>
      <vt:lpstr>охват</vt:lpstr>
      <vt:lpstr>на PAAR обновленный</vt:lpstr>
      <vt:lpstr>анализ по бюджету</vt:lpstr>
      <vt:lpstr>на 3.5 млн</vt:lpstr>
      <vt:lpstr>ВИЧ с дефицитом</vt:lpstr>
      <vt:lpstr>SRs 6 мес final</vt:lpstr>
      <vt:lpstr>PIVOT</vt:lpstr>
      <vt:lpstr>Бюджет измен.</vt:lpstr>
      <vt:lpstr>охват изм.</vt:lpstr>
      <vt:lpstr>расчет PAAR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Daniiar Saliev</dc:creator>
  <cp:lastModifiedBy>Administrator</cp:lastModifiedBy>
  <cp:lastPrinted>2017-12-13T07:54:02Z</cp:lastPrinted>
  <dcterms:created xsi:type="dcterms:W3CDTF">2015-08-18T09:15:59Z</dcterms:created>
  <dcterms:modified xsi:type="dcterms:W3CDTF">2017-12-18T18:20:10Z</dcterms:modified>
</cp:coreProperties>
</file>