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трановая заявка в ГФ 2024\Ближе к финалу 02.03.23\"/>
    </mc:Choice>
  </mc:AlternateContent>
  <bookViews>
    <workbookView xWindow="0" yWindow="0" windowWidth="23040" windowHeight="9192"/>
  </bookViews>
  <sheets>
    <sheet name="Бюджет ВИЧ общий" sheetId="17" r:id="rId1"/>
    <sheet name="расчет на тренинги " sheetId="29" r:id="rId2"/>
    <sheet name="Модуль 1-2" sheetId="1" r:id="rId3"/>
    <sheet name="Закупки" sheetId="27" r:id="rId4"/>
    <sheet name="Модуль 1РЦПН" sheetId="3" r:id="rId5"/>
    <sheet name="Модуль 3РЦПН" sheetId="4" r:id="rId6"/>
    <sheet name="Модуль 9" sheetId="8" r:id="rId7"/>
    <sheet name="ИМН к модулю 9" sheetId="9" r:id="rId8"/>
    <sheet name="Модуль 10" sheetId="18" r:id="rId9"/>
    <sheet name="Мод10 детали" sheetId="19" r:id="rId10"/>
    <sheet name="ИМН СР" sheetId="20" r:id="rId11"/>
    <sheet name="ИППП СР" sheetId="21" r:id="rId12"/>
    <sheet name="Модуль 11" sheetId="10" r:id="rId13"/>
    <sheet name="Модуль 12" sheetId="2" r:id="rId14"/>
    <sheet name="РЦПН" sheetId="7" r:id="rId15"/>
    <sheet name="Модуль 13" sheetId="5" r:id="rId16"/>
    <sheet name="Модуль 14" sheetId="11" r:id="rId17"/>
    <sheet name="Модуль ЛЖВ НПО" sheetId="12" r:id="rId18"/>
    <sheet name="Модуль 18 РЦС" sheetId="26" r:id="rId19"/>
    <sheet name="Прогноз на 3 года АРВ" sheetId="23" r:id="rId20"/>
    <sheet name=" Диагностика РЦС" sheetId="24" r:id="rId21"/>
    <sheet name="ИМН РЦС" sheetId="25" r:id="rId22"/>
    <sheet name="ОборудованияЛДВ" sheetId="22" r:id="rId23"/>
    <sheet name="Модуль 20" sheetId="30" r:id="rId24"/>
    <sheet name="ЦРЗ" sheetId="28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______TB1" localSheetId="9">[1]HIV!$A$2:$A$24</definedName>
    <definedName name="_______TB1">[2]HIV!$A$2:$A$24</definedName>
    <definedName name="______TB1" localSheetId="9">[1]HIV!$A$2:$A$24</definedName>
    <definedName name="______TB1">[2]HIV!$A$2:$A$24</definedName>
    <definedName name="_____TB1" localSheetId="9">[1]HIV!$A$2:$A$24</definedName>
    <definedName name="_____TB1">[2]HIV!$A$2:$A$24</definedName>
    <definedName name="____TB1" localSheetId="9">[1]HIV!$A$2:$A$24</definedName>
    <definedName name="____TB1">[2]HIV!$A$2:$A$24</definedName>
    <definedName name="___SRQ9" localSheetId="9">[3]Definitions!#REF!</definedName>
    <definedName name="___SRQ9">[3]Definitions!#REF!</definedName>
    <definedName name="___TB1" localSheetId="9">[1]HIV!$A$2:$A$24</definedName>
    <definedName name="___TB1">[2]HIV!$A$2:$A$24</definedName>
    <definedName name="__SRQ9" localSheetId="9">[3]Definitions!#REF!</definedName>
    <definedName name="__SRQ9">[3]Definitions!#REF!</definedName>
    <definedName name="__TB1" localSheetId="9">[1]HIV!$A$2:$A$24</definedName>
    <definedName name="__TB1">[2]HIV!$A$2:$A$24</definedName>
    <definedName name="_arr_population" localSheetId="9">[4]_pop!$A$1:$U$215</definedName>
    <definedName name="_arr_population">[4]_pop!$A$1:$U$215</definedName>
    <definedName name="_CountryName" localSheetId="9">[4]Welcome!$D$7</definedName>
    <definedName name="_CountryName">[4]Welcome!$D$7</definedName>
    <definedName name="_lst_DrugManufs" localSheetId="9">[5]_settings!$B$19:$B$25</definedName>
    <definedName name="_lst_DrugManufs">[5]_settings!$B$19:$B$25</definedName>
    <definedName name="_lst_Drugs" localSheetId="9">[5]_settings!$B$29:$B$37</definedName>
    <definedName name="_lst_Drugs">[5]_settings!$B$29:$B$37</definedName>
    <definedName name="_lst_DrugTypes" localSheetId="9">[5]_settings!$B$11:$B$15</definedName>
    <definedName name="_lst_DrugTypes">[5]_settings!$B$11:$B$15</definedName>
    <definedName name="_RegionName" localSheetId="9">[6]Welcome!$D$8</definedName>
    <definedName name="_RegionName">[7]Welcome!$D$8</definedName>
    <definedName name="_SRQ9" localSheetId="9">[3]Definitions!#REF!</definedName>
    <definedName name="_SRQ9">[3]Definitions!#REF!</definedName>
    <definedName name="_TB1" localSheetId="9">[1]HIV!$A$2:$A$24</definedName>
    <definedName name="_TB1">[2]HIV!$A$2:$A$24</definedName>
    <definedName name="_xlnm._FilterDatabase" localSheetId="11" hidden="1">'ИППП СР'!$B$4:$G$15</definedName>
    <definedName name="_xlnm._FilterDatabase" localSheetId="14" hidden="1">РЦПН!$A$8:$S$81</definedName>
    <definedName name="_xlnm._FilterDatabase" localSheetId="24" hidden="1">ЦРЗ!$A$7:$N$17</definedName>
    <definedName name="azt" localSheetId="9">#REF!</definedName>
    <definedName name="azt" localSheetId="23">#REF!</definedName>
    <definedName name="azt">#REF!</definedName>
    <definedName name="cobivir" localSheetId="9">#REF!</definedName>
    <definedName name="cobivir">#REF!</definedName>
    <definedName name="ComponentSelected">[8]Setup!$B$4</definedName>
    <definedName name="Cost_Category" localSheetId="9">[9]Definitions!$F$3:$F$15</definedName>
    <definedName name="Cost_Category">[10]Definitions!$F$3:$F$15</definedName>
    <definedName name="CostInput">OFFSET('[11]Data Sheet'!$G$297,1,0,MATCH(" ",'[11]Data Sheet'!$G$297:$G$378,-1)-1,1)</definedName>
    <definedName name="CostInputs" localSheetId="24">OFFSET('[8]Cost Inputs'!$P$3,0,VLOOKUP(ComponentSelected,[8]CatCmp!$C:$H,6,FALSE),'[8]Cost Inputs'!$U$2,1)</definedName>
    <definedName name="ddi" localSheetId="9">#REF!</definedName>
    <definedName name="ddi">#REF!</definedName>
    <definedName name="E">[12]HIV!$F$3</definedName>
    <definedName name="eee">[13]HIV!$F$4</definedName>
    <definedName name="ES">[12]HIV!$F$4</definedName>
    <definedName name="etututy">[14]HSS!$A$3:$A$19</definedName>
    <definedName name="etyeter">[3]Definitions!#REF!</definedName>
    <definedName name="etyutu" localSheetId="23">[15]SDAs_impact_datasources!$D$2:$D$3</definedName>
    <definedName name="etyutu">[16]SDAs_impact_datasources!$D$2:$D$3</definedName>
    <definedName name="gh" localSheetId="23">#REF!</definedName>
    <definedName name="gh">#REF!</definedName>
    <definedName name="HIV">[17]TB!$A$47:$A$61</definedName>
    <definedName name="HIVII">[12]HIV!$B$2:$B$7</definedName>
    <definedName name="HIVOI">[12]HIV!$D$2:$D$13</definedName>
    <definedName name="HIVSDA">[12]HIV!$A$2:$A$24</definedName>
    <definedName name="HIVSource">[18]HIV!$A$58:$A$75</definedName>
    <definedName name="HSSSDA" localSheetId="9">[14]HSS!$A$3:$A$19</definedName>
    <definedName name="HSSSDA">[14]HSS!$A$3:$A$19</definedName>
    <definedName name="HSSSource">[18]HSS!$A$66:$A$95</definedName>
    <definedName name="Implementing_Entity_Type" localSheetId="9">[9]Definitions!$H$3:$H$9</definedName>
    <definedName name="Implementing_Entity_Type">[10]Definitions!$H$3:$H$9</definedName>
    <definedName name="IndicatorTypesList" localSheetId="9">[16]SDAs_impact_datasources!$D$2:$D$3</definedName>
    <definedName name="IndicatorTypesList">[19]SDAs_impact_datasources!$D$2:$D$3</definedName>
    <definedName name="iyuiyi" localSheetId="23">#REF!</definedName>
    <definedName name="iyuiyi">#REF!</definedName>
    <definedName name="lamivudine" localSheetId="9">#REF!</definedName>
    <definedName name="lamivudine" localSheetId="23">#REF!</definedName>
    <definedName name="lamivudine">#REF!</definedName>
    <definedName name="listH" localSheetId="9">[3]Definitions!#REF!</definedName>
    <definedName name="listH" localSheetId="23">[3]Definitions!#REF!</definedName>
    <definedName name="listH">[3]Definitions!#REF!</definedName>
    <definedName name="listHH" localSheetId="9">[3]Definitions!#REF!</definedName>
    <definedName name="listHH" localSheetId="23">[3]Definitions!#REF!</definedName>
    <definedName name="listHH">[3]Definitions!#REF!</definedName>
    <definedName name="listie" localSheetId="9">[20]Definitions!$B$31:$B$38</definedName>
    <definedName name="listie">[21]Definitions!$B$31:$B$38</definedName>
    <definedName name="listN" localSheetId="9">[3]Definitions!#REF!</definedName>
    <definedName name="listN">[3]Definitions!#REF!</definedName>
    <definedName name="listNN">[3]Definitions!#REF!</definedName>
    <definedName name="MacrocategoriesALL" localSheetId="9">[20]Definitions!$B$127:$B$149</definedName>
    <definedName name="MacrocategoriesALL">[21]Definitions!$B$127:$B$149</definedName>
    <definedName name="MalariaSDA1" localSheetId="9">[1]Malaria!$A$2:$A$19</definedName>
    <definedName name="MalariaSDA1">[2]Malaria!$A$2:$A$19</definedName>
    <definedName name="MalariaSource">[18]Malaria!$A$55:$A$73</definedName>
    <definedName name="MalariaSource1" localSheetId="9">[1]Malaria!$E$2:$E$20</definedName>
    <definedName name="MalariaSource1">[2]Malaria!$E$2:$E$20</definedName>
    <definedName name="ModuleColumn">'[22]Data Sheet'!$C$39:$C$159</definedName>
    <definedName name="ModuleStart">[22]!Intervention[Module]</definedName>
    <definedName name="nvp" localSheetId="9">#REF!</definedName>
    <definedName name="nvp" localSheetId="23">#REF!</definedName>
    <definedName name="nvp">#REF!</definedName>
    <definedName name="nvpf" localSheetId="23">#REF!</definedName>
    <definedName name="nvpf">#REF!</definedName>
    <definedName name="opuouo">#REF!</definedName>
    <definedName name="PM" localSheetId="9">[1]HIV!$F$5</definedName>
    <definedName name="PM">[2]HIV!$F$5</definedName>
    <definedName name="PS">[12]HIV!$F$5</definedName>
    <definedName name="rii" localSheetId="23">#REF!</definedName>
    <definedName name="rii">#REF!</definedName>
    <definedName name="rtyrtr" localSheetId="23">#REF!</definedName>
    <definedName name="rtyrtr">#REF!</definedName>
    <definedName name="rtyry">[1]Malaria!$E$2:$E$20</definedName>
    <definedName name="rtyryr" localSheetId="23">#REF!</definedName>
    <definedName name="rtyryr">#REF!</definedName>
    <definedName name="rtyryrt">[1]Malaria!$A$2:$A$19</definedName>
    <definedName name="rtytr" localSheetId="23">#REF!</definedName>
    <definedName name="rtytr">#REF!</definedName>
    <definedName name="rtyuryr">[3]Definitions!#REF!</definedName>
    <definedName name="ruiyui">#REF!</definedName>
    <definedName name="ryiuryu">[1]HIV!$A$2:$A$24</definedName>
    <definedName name="ryryr">#REF!</definedName>
    <definedName name="SD" localSheetId="9">#REF!</definedName>
    <definedName name="SD">#REF!</definedName>
    <definedName name="SDA" localSheetId="9">#REF!</definedName>
    <definedName name="SDA">#REF!</definedName>
    <definedName name="SDAList">[23]SDAs!$A$2:$A$45</definedName>
    <definedName name="smth" localSheetId="23">#REF!</definedName>
    <definedName name="smth">#REF!</definedName>
    <definedName name="SourcesList" localSheetId="9">[16]SDAs_impact_datasources!$E$2:$E$15</definedName>
    <definedName name="SourcesList">[19]SDAs_impact_datasources!$E$2:$E$15</definedName>
    <definedName name="SWs" localSheetId="9">[24]HIV!$F$3</definedName>
    <definedName name="SWs">[25]HIV!$F$3</definedName>
    <definedName name="TB" localSheetId="9">[1]HIV!$D$2:$D$13</definedName>
    <definedName name="TB">[2]HIV!$D$2:$D$13</definedName>
    <definedName name="TBII" localSheetId="9">[26]TB!$B$2:$B$5</definedName>
    <definedName name="TBII">[12]TB!$B$2:$B$5</definedName>
    <definedName name="TBIII" localSheetId="9">[1]TB!$B$2:$B$5</definedName>
    <definedName name="TBIII">[2]TB!$B$2:$B$5</definedName>
    <definedName name="TBOI" localSheetId="9">[26]TB!$D$2:$D$4</definedName>
    <definedName name="TBOI">[12]TB!$D$2:$D$4</definedName>
    <definedName name="TBSDA" localSheetId="9">[26]TB!$A$2:$A$21</definedName>
    <definedName name="TBSDA">[12]TB!$A$2:$A$21</definedName>
    <definedName name="TBSource" localSheetId="9">[26]TB!$E$2:$E$16</definedName>
    <definedName name="TBSource">[12]TB!$E$2:$E$16</definedName>
    <definedName name="TG" localSheetId="9">[1]TB!$D$2:$D$4</definedName>
    <definedName name="TG">[2]TB!$D$2:$D$4</definedName>
    <definedName name="tioouio">[5]_settings!$B$11:$B$15</definedName>
    <definedName name="titit">[1]HIV!$A$2:$A$24</definedName>
    <definedName name="tiyiyi">#REF!</definedName>
    <definedName name="touoiuio">[24]HIV!$F$3</definedName>
    <definedName name="tuioo">[3]Definitions!#REF!</definedName>
    <definedName name="tuiouio">[26]TB!$B$2:$B$5</definedName>
    <definedName name="tuiouo">[1]HIV!$A$2:$A$24</definedName>
    <definedName name="tuiouoi">[26]TB!$A$2:$A$21</definedName>
    <definedName name="tuiouou" localSheetId="23">#REF!</definedName>
    <definedName name="tuiouou">#REF!</definedName>
    <definedName name="tyitii">[1]HIV!$F$5</definedName>
    <definedName name="tyiyiyui">[9]Definitions!$F$3:$F$15</definedName>
    <definedName name="tyrty" localSheetId="23">#REF!</definedName>
    <definedName name="tyrty">#REF!</definedName>
    <definedName name="tyu">[3]Definitions!#REF!</definedName>
    <definedName name="tyutu">[3]Definitions!#REF!</definedName>
    <definedName name="tyututy">[3]Definitions!#REF!</definedName>
    <definedName name="tyutyu">#REF!</definedName>
    <definedName name="tyuu">[3]Definitions!#REF!</definedName>
    <definedName name="tyuuy">#REF!</definedName>
    <definedName name="tyuyu">#REF!</definedName>
    <definedName name="uioppo">[4]_pop!$A$1:$U$215</definedName>
    <definedName name="uiouio">[4]Welcome!$D$7</definedName>
    <definedName name="uiouo">[5]_settings!$B$19:$B$25</definedName>
    <definedName name="uiouou">#REF!</definedName>
    <definedName name="uipoioup">[3]Definitions!#REF!</definedName>
    <definedName name="uiy">#REF!</definedName>
    <definedName name="utiouio">[5]_settings!$B$29:$B$37</definedName>
    <definedName name="yiopiop">[1]TB!$B$2:$B$5</definedName>
    <definedName name="yiopiopio">[1]HIV!$D$2:$D$13</definedName>
    <definedName name="yiopipo">[26]TB!$D$2:$D$4</definedName>
    <definedName name="yioppp" localSheetId="23">[15]SDAs_impact_datasources!$E$2:$E$15</definedName>
    <definedName name="yioppp">[16]SDAs_impact_datasources!$E$2:$E$15</definedName>
    <definedName name="yiy">[1]HIV!$A$2:$A$24</definedName>
    <definedName name="ypppiop">#REF!</definedName>
    <definedName name="ytuiu">#REF!</definedName>
    <definedName name="yuipouo" localSheetId="23">[27]Welcome!$D$8</definedName>
    <definedName name="yuipouo">[6]Welcome!$D$8</definedName>
    <definedName name="yuiyu">[1]HIV!$A$2:$A$24</definedName>
    <definedName name="yuiyui">[3]Definitions!#REF!</definedName>
    <definedName name="yutyutu">[9]Definitions!$H$3:$H$9</definedName>
    <definedName name="yuu">[3]Definitions!#REF!</definedName>
    <definedName name="Z_2420F7E5_872E_4302_9B90_03893F69BA32_.wvu.Cols" localSheetId="9" hidden="1">'Мод10 детали'!#REF!,'Мод10 детали'!#REF!</definedName>
    <definedName name="Z_7E9771CA_DD99_474C_949A_DD4BD53B14BB_.wvu.Cols" localSheetId="9" hidden="1">'Мод10 детали'!#REF!,'Мод10 детали'!#REF!</definedName>
    <definedName name="о" localSheetId="23">#REF!</definedName>
    <definedName name="о">#REF!</definedName>
    <definedName name="_xlnm.Print_Area" localSheetId="14">РЦПН!$A$1:$S$99</definedName>
    <definedName name="_xlnm.Print_Area" localSheetId="24">ЦРЗ!$A$1:$H$17</definedName>
    <definedName name="ПОШ">#REF!</definedName>
    <definedName name="Список">[3]Definitions!#REF!</definedName>
    <definedName name="Схема_лечения">#REF!</definedName>
    <definedName name="Схема_лечения__выбрать_из_выпадающего_списка">#REF!</definedName>
    <definedName name="схемалечения" localSheetId="23">[28]Лист1!$I$4:$I$41</definedName>
    <definedName name="схемалечения">[29]Лист1!$I$4:$I$41</definedName>
    <definedName name="схемалечения1" localSheetId="23">[30]Лист1!$I$4:$I$41</definedName>
    <definedName name="схемалечения1">[31]Лист1!$I$4:$I$41</definedName>
    <definedName name="что" localSheetId="23">#REF!</definedName>
    <definedName name="что">#REF!</definedName>
  </definedNames>
  <calcPr calcId="191029"/>
</workbook>
</file>

<file path=xl/calcChain.xml><?xml version="1.0" encoding="utf-8"?>
<calcChain xmlns="http://schemas.openxmlformats.org/spreadsheetml/2006/main">
  <c r="B27" i="17" l="1"/>
  <c r="B26" i="17"/>
  <c r="B23" i="17" l="1"/>
  <c r="I106" i="30"/>
  <c r="G105" i="30"/>
  <c r="I105" i="30" s="1"/>
  <c r="I104" i="30"/>
  <c r="F104" i="30"/>
  <c r="I101" i="30"/>
  <c r="I100" i="30"/>
  <c r="I99" i="30"/>
  <c r="I98" i="30"/>
  <c r="I97" i="30"/>
  <c r="I96" i="30"/>
  <c r="I95" i="30"/>
  <c r="I94" i="30"/>
  <c r="I93" i="30"/>
  <c r="I92" i="30"/>
  <c r="I91" i="30"/>
  <c r="J101" i="30" s="1"/>
  <c r="I88" i="30"/>
  <c r="I87" i="30"/>
  <c r="F87" i="30"/>
  <c r="D87" i="30"/>
  <c r="I83" i="30"/>
  <c r="I82" i="30"/>
  <c r="H82" i="30"/>
  <c r="G82" i="30"/>
  <c r="F82" i="30"/>
  <c r="I81" i="30"/>
  <c r="I80" i="30"/>
  <c r="F79" i="30"/>
  <c r="I79" i="30" s="1"/>
  <c r="I78" i="30"/>
  <c r="F78" i="30"/>
  <c r="D78" i="30"/>
  <c r="F74" i="30"/>
  <c r="D74" i="30"/>
  <c r="F71" i="30"/>
  <c r="I71" i="30" s="1"/>
  <c r="F70" i="30"/>
  <c r="I70" i="30" s="1"/>
  <c r="F68" i="30"/>
  <c r="I68" i="30" s="1"/>
  <c r="I66" i="30"/>
  <c r="I63" i="30"/>
  <c r="I62" i="30"/>
  <c r="J66" i="30" s="1"/>
  <c r="F56" i="30"/>
  <c r="I56" i="30" s="1"/>
  <c r="I54" i="30"/>
  <c r="I53" i="30"/>
  <c r="I52" i="30"/>
  <c r="I51" i="30"/>
  <c r="F50" i="30"/>
  <c r="I50" i="30" s="1"/>
  <c r="D49" i="30"/>
  <c r="F49" i="30" s="1"/>
  <c r="G49" i="30" s="1"/>
  <c r="H49" i="30" s="1"/>
  <c r="I48" i="30"/>
  <c r="I47" i="30"/>
  <c r="H44" i="30"/>
  <c r="F44" i="30"/>
  <c r="D44" i="30"/>
  <c r="G44" i="30" s="1"/>
  <c r="I43" i="30"/>
  <c r="F42" i="30"/>
  <c r="I41" i="30"/>
  <c r="I40" i="30"/>
  <c r="I39" i="30"/>
  <c r="I38" i="30"/>
  <c r="I37" i="30"/>
  <c r="I35" i="30"/>
  <c r="I34" i="30"/>
  <c r="I33" i="30"/>
  <c r="I32" i="30"/>
  <c r="G31" i="30"/>
  <c r="I31" i="30" s="1"/>
  <c r="F31" i="30"/>
  <c r="I30" i="30"/>
  <c r="G30" i="30"/>
  <c r="F30" i="30"/>
  <c r="D30" i="30"/>
  <c r="I29" i="30"/>
  <c r="I28" i="30"/>
  <c r="G27" i="30"/>
  <c r="F27" i="30"/>
  <c r="I27" i="30" s="1"/>
  <c r="F26" i="30"/>
  <c r="I26" i="30" s="1"/>
  <c r="I25" i="30"/>
  <c r="I24" i="30"/>
  <c r="I23" i="30"/>
  <c r="H22" i="30"/>
  <c r="G22" i="30"/>
  <c r="I22" i="30" s="1"/>
  <c r="F22" i="30"/>
  <c r="I21" i="30"/>
  <c r="F20" i="30"/>
  <c r="I20" i="30" s="1"/>
  <c r="D20" i="30"/>
  <c r="I19" i="30"/>
  <c r="F19" i="30"/>
  <c r="I17" i="30"/>
  <c r="I16" i="30"/>
  <c r="I15" i="30"/>
  <c r="I14" i="30"/>
  <c r="D14" i="30"/>
  <c r="I13" i="30"/>
  <c r="I12" i="30"/>
  <c r="F11" i="30"/>
  <c r="I11" i="30" s="1"/>
  <c r="F10" i="30"/>
  <c r="I10" i="30" s="1"/>
  <c r="D10" i="30"/>
  <c r="I9" i="30"/>
  <c r="H9" i="30"/>
  <c r="G9" i="30"/>
  <c r="F9" i="30"/>
  <c r="I8" i="30"/>
  <c r="D8" i="30"/>
  <c r="I7" i="30"/>
  <c r="F7" i="30"/>
  <c r="I6" i="30"/>
  <c r="F5" i="30"/>
  <c r="I5" i="30" s="1"/>
  <c r="I44" i="30" l="1"/>
  <c r="I111" i="30" s="1"/>
  <c r="I12" i="17" l="1"/>
  <c r="I13" i="17" s="1"/>
  <c r="J12" i="17"/>
  <c r="J13" i="17" s="1"/>
  <c r="K12" i="17"/>
  <c r="K13" i="17" s="1"/>
  <c r="I80" i="26" l="1"/>
  <c r="B8" i="17"/>
  <c r="E67" i="12"/>
  <c r="F63" i="12"/>
  <c r="F62" i="12"/>
  <c r="I61" i="12"/>
  <c r="G60" i="12"/>
  <c r="F60" i="12"/>
  <c r="G59" i="12"/>
  <c r="H59" i="12" s="1"/>
  <c r="F59" i="12"/>
  <c r="I59" i="12" s="1"/>
  <c r="G58" i="12"/>
  <c r="F58" i="12"/>
  <c r="G57" i="12"/>
  <c r="F57" i="12"/>
  <c r="G56" i="12"/>
  <c r="F56" i="12"/>
  <c r="G55" i="12"/>
  <c r="F55" i="12"/>
  <c r="D55" i="12"/>
  <c r="H54" i="12"/>
  <c r="G54" i="12"/>
  <c r="F54" i="12"/>
  <c r="I54" i="12" s="1"/>
  <c r="D54" i="12"/>
  <c r="D53" i="12"/>
  <c r="F53" i="12" s="1"/>
  <c r="B19" i="17"/>
  <c r="B18" i="17"/>
  <c r="F13" i="1"/>
  <c r="F2" i="1"/>
  <c r="H53" i="12" l="1"/>
  <c r="H64" i="12" s="1"/>
  <c r="G53" i="12"/>
  <c r="F64" i="12"/>
  <c r="I56" i="12"/>
  <c r="I63" i="12"/>
  <c r="H55" i="12"/>
  <c r="I55" i="12" s="1"/>
  <c r="H56" i="12"/>
  <c r="H57" i="12"/>
  <c r="I57" i="12" s="1"/>
  <c r="H58" i="12"/>
  <c r="I58" i="12" s="1"/>
  <c r="H60" i="12"/>
  <c r="I60" i="12" s="1"/>
  <c r="G62" i="12"/>
  <c r="G63" i="12"/>
  <c r="H63" i="12" s="1"/>
  <c r="H62" i="12"/>
  <c r="I62" i="12" s="1"/>
  <c r="I26" i="29"/>
  <c r="E41" i="29"/>
  <c r="D41" i="29"/>
  <c r="F41" i="29" s="1"/>
  <c r="D40" i="29"/>
  <c r="F40" i="29" s="1"/>
  <c r="D39" i="29"/>
  <c r="F39" i="29" s="1"/>
  <c r="F38" i="29"/>
  <c r="E38" i="29"/>
  <c r="D37" i="29"/>
  <c r="F37" i="29" s="1"/>
  <c r="D36" i="29"/>
  <c r="F36" i="29" s="1"/>
  <c r="E35" i="29"/>
  <c r="D35" i="29"/>
  <c r="E34" i="29"/>
  <c r="D34" i="29"/>
  <c r="F34" i="29" s="1"/>
  <c r="E33" i="29"/>
  <c r="D33" i="29"/>
  <c r="F33" i="29" s="1"/>
  <c r="F32" i="29"/>
  <c r="E32" i="29"/>
  <c r="D32" i="29"/>
  <c r="E31" i="29"/>
  <c r="F31" i="29" s="1"/>
  <c r="Q18" i="29"/>
  <c r="P18" i="29"/>
  <c r="R18" i="29" s="1"/>
  <c r="K18" i="29"/>
  <c r="J18" i="29"/>
  <c r="L18" i="29" s="1"/>
  <c r="F18" i="29"/>
  <c r="E18" i="29"/>
  <c r="D18" i="29"/>
  <c r="P17" i="29"/>
  <c r="R17" i="29" s="1"/>
  <c r="L17" i="29"/>
  <c r="J17" i="29"/>
  <c r="D17" i="29"/>
  <c r="F17" i="29" s="1"/>
  <c r="R16" i="29"/>
  <c r="P16" i="29"/>
  <c r="L16" i="29"/>
  <c r="F16" i="29"/>
  <c r="D16" i="29"/>
  <c r="Q15" i="29"/>
  <c r="R15" i="29" s="1"/>
  <c r="P15" i="29"/>
  <c r="K15" i="29"/>
  <c r="J15" i="29"/>
  <c r="L15" i="29" s="1"/>
  <c r="E15" i="29"/>
  <c r="F15" i="29"/>
  <c r="R14" i="29"/>
  <c r="P14" i="29"/>
  <c r="O14" i="29"/>
  <c r="J14" i="29"/>
  <c r="L14" i="29" s="1"/>
  <c r="I14" i="29"/>
  <c r="D14" i="29"/>
  <c r="F14" i="29" s="1"/>
  <c r="R13" i="29"/>
  <c r="P13" i="29"/>
  <c r="O13" i="29"/>
  <c r="J13" i="29"/>
  <c r="L13" i="29" s="1"/>
  <c r="I13" i="29"/>
  <c r="D13" i="29"/>
  <c r="F13" i="29" s="1"/>
  <c r="R12" i="29"/>
  <c r="Q12" i="29"/>
  <c r="P12" i="29"/>
  <c r="K12" i="29"/>
  <c r="L12" i="29" s="1"/>
  <c r="J12" i="29"/>
  <c r="E12" i="29"/>
  <c r="D12" i="29"/>
  <c r="F12" i="29" s="1"/>
  <c r="Q11" i="29"/>
  <c r="P11" i="29"/>
  <c r="R11" i="29" s="1"/>
  <c r="L11" i="29"/>
  <c r="K11" i="29"/>
  <c r="J11" i="29"/>
  <c r="E11" i="29"/>
  <c r="F11" i="29" s="1"/>
  <c r="D11" i="29"/>
  <c r="Q10" i="29"/>
  <c r="P10" i="29"/>
  <c r="O10" i="29"/>
  <c r="R10" i="29" s="1"/>
  <c r="K10" i="29"/>
  <c r="J10" i="29"/>
  <c r="L10" i="29" s="1"/>
  <c r="I10" i="29"/>
  <c r="E10" i="29"/>
  <c r="D10" i="29"/>
  <c r="F10" i="29" s="1"/>
  <c r="Q9" i="29"/>
  <c r="P9" i="29"/>
  <c r="R9" i="29" s="1"/>
  <c r="L9" i="29"/>
  <c r="K9" i="29"/>
  <c r="J9" i="29"/>
  <c r="E9" i="29"/>
  <c r="F9" i="29" s="1"/>
  <c r="D9" i="29"/>
  <c r="Q8" i="29"/>
  <c r="R8" i="29" s="1"/>
  <c r="R19" i="29" s="1"/>
  <c r="R20" i="29" s="1"/>
  <c r="L8" i="29"/>
  <c r="K8" i="29"/>
  <c r="E8" i="29"/>
  <c r="F8" i="29" s="1"/>
  <c r="G64" i="12" l="1"/>
  <c r="I53" i="12"/>
  <c r="I64" i="12" s="1"/>
  <c r="F35" i="29"/>
  <c r="F42" i="29" s="1"/>
  <c r="F43" i="29" s="1"/>
  <c r="F26" i="29" s="1"/>
  <c r="F19" i="29"/>
  <c r="F20" i="29" s="1"/>
  <c r="L19" i="29"/>
  <c r="L20" i="29" s="1"/>
  <c r="F24" i="29" l="1"/>
  <c r="F25" i="29"/>
  <c r="I25" i="29" s="1"/>
  <c r="I24" i="29"/>
  <c r="E38" i="19" l="1"/>
  <c r="H38" i="19"/>
  <c r="K38" i="19"/>
  <c r="K39" i="19" s="1"/>
  <c r="N38" i="19"/>
  <c r="N39" i="19" s="1"/>
  <c r="Q38" i="19"/>
  <c r="T38" i="19"/>
  <c r="W38" i="19"/>
  <c r="W39" i="19" s="1"/>
  <c r="E39" i="19"/>
  <c r="E40" i="19" s="1"/>
  <c r="Q39" i="19"/>
  <c r="Q40" i="19" s="1"/>
  <c r="T39" i="19"/>
  <c r="T40" i="19" s="1"/>
  <c r="Q41" i="19"/>
  <c r="T41" i="19"/>
  <c r="B9" i="17"/>
  <c r="D7" i="11"/>
  <c r="I42" i="5"/>
  <c r="H27" i="10"/>
  <c r="I27" i="10"/>
  <c r="J27" i="10"/>
  <c r="B17" i="17"/>
  <c r="E16" i="28"/>
  <c r="B16" i="28"/>
  <c r="G16" i="28" s="1"/>
  <c r="F15" i="28"/>
  <c r="G15" i="28" s="1"/>
  <c r="E15" i="28"/>
  <c r="H15" i="28" s="1"/>
  <c r="F13" i="28"/>
  <c r="E13" i="28"/>
  <c r="B13" i="28"/>
  <c r="G13" i="28" s="1"/>
  <c r="G12" i="28"/>
  <c r="F12" i="28"/>
  <c r="E12" i="28"/>
  <c r="H12" i="28" s="1"/>
  <c r="B12" i="28"/>
  <c r="B11" i="28"/>
  <c r="G11" i="28" s="1"/>
  <c r="E10" i="28"/>
  <c r="B10" i="28"/>
  <c r="G10" i="28" s="1"/>
  <c r="F9" i="28"/>
  <c r="E9" i="28"/>
  <c r="H9" i="28" s="1"/>
  <c r="B9" i="28"/>
  <c r="G9" i="28" s="1"/>
  <c r="G8" i="28"/>
  <c r="F8" i="28"/>
  <c r="E8" i="28"/>
  <c r="B8" i="28"/>
  <c r="H7" i="28"/>
  <c r="G7" i="28"/>
  <c r="F7" i="28"/>
  <c r="E7" i="28"/>
  <c r="E41" i="19" l="1"/>
  <c r="N40" i="19"/>
  <c r="N41" i="19"/>
  <c r="N42" i="19"/>
  <c r="W41" i="19"/>
  <c r="W42" i="19"/>
  <c r="W40" i="19"/>
  <c r="K41" i="19"/>
  <c r="K40" i="19"/>
  <c r="K42" i="19"/>
  <c r="T42" i="19"/>
  <c r="E42" i="19"/>
  <c r="X38" i="19"/>
  <c r="Q42" i="19"/>
  <c r="H39" i="19"/>
  <c r="X39" i="19" s="1"/>
  <c r="H13" i="28"/>
  <c r="H16" i="28"/>
  <c r="H8" i="28"/>
  <c r="F10" i="28"/>
  <c r="E11" i="28"/>
  <c r="H11" i="28" s="1"/>
  <c r="G14" i="28"/>
  <c r="G17" i="28" s="1"/>
  <c r="F16" i="28"/>
  <c r="F11" i="28"/>
  <c r="H41" i="19" l="1"/>
  <c r="X41" i="19" s="1"/>
  <c r="H42" i="19"/>
  <c r="X42" i="19" s="1"/>
  <c r="H40" i="19"/>
  <c r="X40" i="19" s="1"/>
  <c r="E14" i="28"/>
  <c r="H10" i="28"/>
  <c r="F14" i="28"/>
  <c r="F17" i="28" s="1"/>
  <c r="H14" i="28" l="1"/>
  <c r="H17" i="28" s="1"/>
  <c r="E17" i="28"/>
  <c r="V115" i="27" l="1"/>
  <c r="V111" i="27"/>
  <c r="S111" i="27"/>
  <c r="S99" i="27"/>
  <c r="S98" i="27"/>
  <c r="S97" i="27"/>
  <c r="T97" i="27"/>
  <c r="U96" i="27"/>
  <c r="V96" i="27"/>
  <c r="U85" i="27"/>
  <c r="V85" i="27"/>
  <c r="T82" i="27"/>
  <c r="S81" i="27"/>
  <c r="S80" i="27"/>
  <c r="V80" i="27"/>
  <c r="S76" i="27"/>
  <c r="S77" i="27"/>
  <c r="S78" i="27"/>
  <c r="S79" i="27"/>
  <c r="S75" i="27"/>
  <c r="G18" i="27" l="1"/>
  <c r="J18" i="27" s="1"/>
  <c r="I18" i="27"/>
  <c r="F80" i="7" l="1"/>
  <c r="F79" i="7"/>
  <c r="F78" i="7"/>
  <c r="F74" i="7"/>
  <c r="F73" i="7"/>
  <c r="F72" i="7"/>
  <c r="F67" i="7"/>
  <c r="F66" i="7"/>
  <c r="F56" i="7" l="1"/>
  <c r="F55" i="7"/>
  <c r="F54" i="7"/>
  <c r="F53" i="7"/>
  <c r="F52" i="7"/>
  <c r="F51" i="7"/>
  <c r="F50" i="7"/>
  <c r="F49" i="7"/>
  <c r="F40" i="7"/>
  <c r="F39" i="7"/>
  <c r="F38" i="7"/>
  <c r="F37" i="7"/>
  <c r="F36" i="7"/>
  <c r="F35" i="7"/>
  <c r="F34" i="7"/>
  <c r="F33" i="7"/>
  <c r="F32" i="7"/>
  <c r="F31" i="7"/>
  <c r="F30" i="7"/>
  <c r="F17" i="7"/>
  <c r="F16" i="7"/>
  <c r="F15" i="7"/>
  <c r="R125" i="27" l="1"/>
  <c r="U125" i="27" s="1"/>
  <c r="Q125" i="27"/>
  <c r="T125" i="27" s="1"/>
  <c r="V125" i="27" s="1"/>
  <c r="O124" i="27"/>
  <c r="R123" i="27"/>
  <c r="U123" i="27" s="1"/>
  <c r="V123" i="27" s="1"/>
  <c r="Q123" i="27"/>
  <c r="T123" i="27" s="1"/>
  <c r="R122" i="27"/>
  <c r="U122" i="27" s="1"/>
  <c r="V122" i="27" s="1"/>
  <c r="Q122" i="27"/>
  <c r="O121" i="27"/>
  <c r="V121" i="27" s="1"/>
  <c r="V120" i="27"/>
  <c r="R120" i="27"/>
  <c r="Q120" i="27"/>
  <c r="T120" i="27" s="1"/>
  <c r="V119" i="27"/>
  <c r="R119" i="27"/>
  <c r="Q119" i="27"/>
  <c r="V118" i="27"/>
  <c r="R118" i="27"/>
  <c r="Q118" i="27"/>
  <c r="T118" i="27" s="1"/>
  <c r="V117" i="27"/>
  <c r="R117" i="27"/>
  <c r="Q117" i="27"/>
  <c r="T117" i="27" s="1"/>
  <c r="O116" i="27"/>
  <c r="R116" i="27" s="1"/>
  <c r="R115" i="27"/>
  <c r="Q115" i="27"/>
  <c r="T115" i="27" s="1"/>
  <c r="O115" i="27"/>
  <c r="V114" i="27"/>
  <c r="R114" i="27"/>
  <c r="S114" i="27" s="1"/>
  <c r="Q114" i="27"/>
  <c r="T114" i="27" s="1"/>
  <c r="U113" i="27"/>
  <c r="O113" i="27"/>
  <c r="Q113" i="27" s="1"/>
  <c r="T113" i="27" s="1"/>
  <c r="O112" i="27"/>
  <c r="R112" i="27" s="1"/>
  <c r="O111" i="27"/>
  <c r="R111" i="27" s="1"/>
  <c r="O110" i="27"/>
  <c r="V110" i="27" s="1"/>
  <c r="V109" i="27"/>
  <c r="R109" i="27"/>
  <c r="Q109" i="27"/>
  <c r="T109" i="27" s="1"/>
  <c r="V108" i="27"/>
  <c r="R108" i="27"/>
  <c r="Q108" i="27"/>
  <c r="T108" i="27" s="1"/>
  <c r="V107" i="27"/>
  <c r="R107" i="27"/>
  <c r="Q107" i="27"/>
  <c r="T107" i="27" s="1"/>
  <c r="V106" i="27"/>
  <c r="R106" i="27"/>
  <c r="Q106" i="27"/>
  <c r="T106" i="27" s="1"/>
  <c r="O105" i="27"/>
  <c r="R105" i="27" s="1"/>
  <c r="O104" i="27"/>
  <c r="R104" i="27" s="1"/>
  <c r="V103" i="27"/>
  <c r="R103" i="27"/>
  <c r="Q103" i="27"/>
  <c r="T103" i="27" s="1"/>
  <c r="U102" i="27"/>
  <c r="O102" i="27"/>
  <c r="U101" i="27"/>
  <c r="O101" i="27"/>
  <c r="U100" i="27"/>
  <c r="V100" i="27" s="1"/>
  <c r="R100" i="27"/>
  <c r="Q100" i="27"/>
  <c r="T100" i="27" s="1"/>
  <c r="U99" i="27"/>
  <c r="O99" i="27"/>
  <c r="U98" i="27"/>
  <c r="V98" i="27" s="1"/>
  <c r="R98" i="27"/>
  <c r="Q98" i="27"/>
  <c r="T98" i="27" s="1"/>
  <c r="U97" i="27"/>
  <c r="O97" i="27"/>
  <c r="R96" i="27"/>
  <c r="Q96" i="27"/>
  <c r="T95" i="27"/>
  <c r="O95" i="27"/>
  <c r="V95" i="27" s="1"/>
  <c r="T94" i="27"/>
  <c r="O94" i="27"/>
  <c r="R94" i="27" s="1"/>
  <c r="S94" i="27" s="1"/>
  <c r="T93" i="27"/>
  <c r="O93" i="27"/>
  <c r="V93" i="27" s="1"/>
  <c r="T92" i="27"/>
  <c r="O92" i="27"/>
  <c r="R92" i="27" s="1"/>
  <c r="S92" i="27" s="1"/>
  <c r="T91" i="27"/>
  <c r="O91" i="27"/>
  <c r="V91" i="27" s="1"/>
  <c r="T90" i="27"/>
  <c r="O90" i="27"/>
  <c r="R90" i="27" s="1"/>
  <c r="S90" i="27" s="1"/>
  <c r="U89" i="27"/>
  <c r="V89" i="27" s="1"/>
  <c r="R89" i="27"/>
  <c r="Q89" i="27"/>
  <c r="V88" i="27"/>
  <c r="R88" i="27"/>
  <c r="Q88" i="27"/>
  <c r="T88" i="27" s="1"/>
  <c r="V87" i="27"/>
  <c r="R87" i="27"/>
  <c r="Q87" i="27"/>
  <c r="U86" i="27"/>
  <c r="O86" i="27"/>
  <c r="Q85" i="27"/>
  <c r="U84" i="27"/>
  <c r="O84" i="27"/>
  <c r="Q84" i="27" s="1"/>
  <c r="U83" i="27"/>
  <c r="O83" i="27"/>
  <c r="Q83" i="27" s="1"/>
  <c r="U82" i="27"/>
  <c r="O82" i="27"/>
  <c r="Q82" i="27" s="1"/>
  <c r="U81" i="27"/>
  <c r="V81" i="27" s="1"/>
  <c r="R81" i="27"/>
  <c r="Q81" i="27"/>
  <c r="T81" i="27" s="1"/>
  <c r="U80" i="27"/>
  <c r="R80" i="27"/>
  <c r="Q80" i="27"/>
  <c r="T80" i="27" s="1"/>
  <c r="Q79" i="27"/>
  <c r="Q78" i="27"/>
  <c r="Q77" i="27"/>
  <c r="Q76" i="27"/>
  <c r="Q75" i="27"/>
  <c r="Q74" i="27"/>
  <c r="F65" i="27"/>
  <c r="AE57" i="27"/>
  <c r="X57" i="27"/>
  <c r="Q57" i="27"/>
  <c r="O57" i="27"/>
  <c r="R57" i="27" s="1"/>
  <c r="J57" i="27"/>
  <c r="K57" i="27" s="1"/>
  <c r="AE56" i="27"/>
  <c r="AC56" i="27"/>
  <c r="X56" i="27"/>
  <c r="Y56" i="27" s="1"/>
  <c r="Q56" i="27"/>
  <c r="O56" i="27"/>
  <c r="J56" i="27"/>
  <c r="K56" i="27" s="1"/>
  <c r="AE55" i="27"/>
  <c r="AC55" i="27"/>
  <c r="X55" i="27"/>
  <c r="Q55" i="27"/>
  <c r="O55" i="27"/>
  <c r="J55" i="27"/>
  <c r="K55" i="27" s="1"/>
  <c r="AE54" i="27"/>
  <c r="AC54" i="27"/>
  <c r="X54" i="27"/>
  <c r="Y54" i="27" s="1"/>
  <c r="Q54" i="27"/>
  <c r="O54" i="27"/>
  <c r="J54" i="27"/>
  <c r="AE53" i="27"/>
  <c r="AC53" i="27"/>
  <c r="X53" i="27"/>
  <c r="V53" i="27"/>
  <c r="Q53" i="27"/>
  <c r="O53" i="27"/>
  <c r="J53" i="27"/>
  <c r="H53" i="27"/>
  <c r="AE52" i="27"/>
  <c r="AC52" i="27"/>
  <c r="AF52" i="27" s="1"/>
  <c r="X52" i="27"/>
  <c r="V52" i="27"/>
  <c r="Q52" i="27"/>
  <c r="O52" i="27"/>
  <c r="J52" i="27"/>
  <c r="H52" i="27"/>
  <c r="AE51" i="27"/>
  <c r="AC51" i="27"/>
  <c r="AF51" i="27" s="1"/>
  <c r="X51" i="27"/>
  <c r="V51" i="27"/>
  <c r="Q51" i="27"/>
  <c r="O51" i="27"/>
  <c r="J51" i="27"/>
  <c r="H51" i="27"/>
  <c r="K51" i="27" s="1"/>
  <c r="AE50" i="27"/>
  <c r="AC50" i="27"/>
  <c r="AF50" i="27" s="1"/>
  <c r="X50" i="27"/>
  <c r="V50" i="27"/>
  <c r="Q50" i="27"/>
  <c r="O50" i="27"/>
  <c r="J50" i="27"/>
  <c r="K50" i="27" s="1"/>
  <c r="AE49" i="27"/>
  <c r="AC49" i="27"/>
  <c r="X49" i="27"/>
  <c r="V49" i="27"/>
  <c r="Q49" i="27"/>
  <c r="O49" i="27"/>
  <c r="J49" i="27"/>
  <c r="K49" i="27" s="1"/>
  <c r="AE48" i="27"/>
  <c r="AC48" i="27"/>
  <c r="X48" i="27"/>
  <c r="V48" i="27"/>
  <c r="Q48" i="27"/>
  <c r="O48" i="27"/>
  <c r="J48" i="27"/>
  <c r="H48" i="27"/>
  <c r="AE47" i="27"/>
  <c r="AC47" i="27"/>
  <c r="X47" i="27"/>
  <c r="V47" i="27"/>
  <c r="Q47" i="27"/>
  <c r="O47" i="27"/>
  <c r="J47" i="27"/>
  <c r="H47" i="27"/>
  <c r="AC40" i="27"/>
  <c r="AD40" i="27" s="1"/>
  <c r="W40" i="27"/>
  <c r="X40" i="27" s="1"/>
  <c r="Q40" i="27"/>
  <c r="R40" i="27" s="1"/>
  <c r="K40" i="27"/>
  <c r="L40" i="27" s="1"/>
  <c r="AC39" i="27"/>
  <c r="AA39" i="27"/>
  <c r="W39" i="27"/>
  <c r="U39" i="27"/>
  <c r="Q39" i="27"/>
  <c r="R39" i="27" s="1"/>
  <c r="K39" i="27"/>
  <c r="L39" i="27" s="1"/>
  <c r="AC38" i="27"/>
  <c r="AA38" i="27"/>
  <c r="W38" i="27"/>
  <c r="U38" i="27"/>
  <c r="Q38" i="27"/>
  <c r="R38" i="27" s="1"/>
  <c r="K38" i="27"/>
  <c r="L38" i="27" s="1"/>
  <c r="AC37" i="27"/>
  <c r="AA37" i="27"/>
  <c r="W37" i="27"/>
  <c r="U37" i="27"/>
  <c r="Q37" i="27"/>
  <c r="O37" i="27"/>
  <c r="K37" i="27"/>
  <c r="I37" i="27"/>
  <c r="AC36" i="27"/>
  <c r="AA36" i="27"/>
  <c r="W36" i="27"/>
  <c r="U36" i="27"/>
  <c r="Q36" i="27"/>
  <c r="O36" i="27"/>
  <c r="K36" i="27"/>
  <c r="I36" i="27"/>
  <c r="AC35" i="27"/>
  <c r="AA35" i="27"/>
  <c r="W35" i="27"/>
  <c r="U35" i="27"/>
  <c r="X35" i="27" s="1"/>
  <c r="Q35" i="27"/>
  <c r="O35" i="27"/>
  <c r="K35" i="27"/>
  <c r="I35" i="27"/>
  <c r="AC34" i="27"/>
  <c r="AA34" i="27"/>
  <c r="W34" i="27"/>
  <c r="U34" i="27"/>
  <c r="Q34" i="27"/>
  <c r="O34" i="27"/>
  <c r="K34" i="27"/>
  <c r="I34" i="27"/>
  <c r="AC33" i="27"/>
  <c r="AA33" i="27"/>
  <c r="W33" i="27"/>
  <c r="U33" i="27"/>
  <c r="X33" i="27" s="1"/>
  <c r="Q33" i="27"/>
  <c r="O33" i="27"/>
  <c r="K33" i="27"/>
  <c r="I33" i="27"/>
  <c r="AC32" i="27"/>
  <c r="AA32" i="27"/>
  <c r="W32" i="27"/>
  <c r="U32" i="27"/>
  <c r="X32" i="27" s="1"/>
  <c r="Q32" i="27"/>
  <c r="O32" i="27"/>
  <c r="K32" i="27"/>
  <c r="I32" i="27"/>
  <c r="AC31" i="27"/>
  <c r="AA31" i="27"/>
  <c r="W31" i="27"/>
  <c r="U31" i="27"/>
  <c r="Q31" i="27"/>
  <c r="O31" i="27"/>
  <c r="K31" i="27"/>
  <c r="I31" i="27"/>
  <c r="AC30" i="27"/>
  <c r="AA30" i="27"/>
  <c r="W30" i="27"/>
  <c r="U30" i="27"/>
  <c r="X30" i="27" s="1"/>
  <c r="Q30" i="27"/>
  <c r="O30" i="27"/>
  <c r="K30" i="27"/>
  <c r="I30" i="27"/>
  <c r="AC29" i="27"/>
  <c r="AA29" i="27"/>
  <c r="W29" i="27"/>
  <c r="U29" i="27"/>
  <c r="Q29" i="27"/>
  <c r="O29" i="27"/>
  <c r="K29" i="27"/>
  <c r="I29" i="27"/>
  <c r="AC28" i="27"/>
  <c r="AA28" i="27"/>
  <c r="W28" i="27"/>
  <c r="U28" i="27"/>
  <c r="Q28" i="27"/>
  <c r="O28" i="27"/>
  <c r="K28" i="27"/>
  <c r="I28" i="27"/>
  <c r="AC27" i="27"/>
  <c r="AA27" i="27"/>
  <c r="W27" i="27"/>
  <c r="U27" i="27"/>
  <c r="Q27" i="27"/>
  <c r="O27" i="27"/>
  <c r="K27" i="27"/>
  <c r="I27" i="27"/>
  <c r="AC26" i="27"/>
  <c r="AA26" i="27"/>
  <c r="W26" i="27"/>
  <c r="U26" i="27"/>
  <c r="Q26" i="27"/>
  <c r="O26" i="27"/>
  <c r="K26" i="27"/>
  <c r="I26" i="27"/>
  <c r="AC25" i="27"/>
  <c r="AA25" i="27"/>
  <c r="W25" i="27"/>
  <c r="U25" i="27"/>
  <c r="X25" i="27" s="1"/>
  <c r="Q25" i="27"/>
  <c r="O25" i="27"/>
  <c r="K25" i="27"/>
  <c r="I25" i="27"/>
  <c r="AC24" i="27"/>
  <c r="AA24" i="27"/>
  <c r="W24" i="27"/>
  <c r="U24" i="27"/>
  <c r="X24" i="27" s="1"/>
  <c r="Q24" i="27"/>
  <c r="O24" i="27"/>
  <c r="K24" i="27"/>
  <c r="I24" i="27"/>
  <c r="AC23" i="27"/>
  <c r="AA23" i="27"/>
  <c r="W23" i="27"/>
  <c r="U23" i="27"/>
  <c r="Q23" i="27"/>
  <c r="O23" i="27"/>
  <c r="K23" i="27"/>
  <c r="I23" i="27"/>
  <c r="AC22" i="27"/>
  <c r="AA22" i="27"/>
  <c r="AD22" i="27" s="1"/>
  <c r="W22" i="27"/>
  <c r="U22" i="27"/>
  <c r="Q22" i="27"/>
  <c r="O22" i="27"/>
  <c r="K22" i="27"/>
  <c r="I22" i="27"/>
  <c r="G22" i="27"/>
  <c r="G19" i="27"/>
  <c r="J19" i="27" s="1"/>
  <c r="H18" i="27"/>
  <c r="R56" i="27" l="1"/>
  <c r="AE58" i="27"/>
  <c r="Y57" i="27"/>
  <c r="AF57" i="27"/>
  <c r="Y55" i="27"/>
  <c r="AF55" i="27"/>
  <c r="AF56" i="27"/>
  <c r="L23" i="27"/>
  <c r="L31" i="27"/>
  <c r="L32" i="27"/>
  <c r="R51" i="27"/>
  <c r="R52" i="27"/>
  <c r="R54" i="27"/>
  <c r="S96" i="27"/>
  <c r="R23" i="27"/>
  <c r="R24" i="27"/>
  <c r="R31" i="27"/>
  <c r="Y50" i="27"/>
  <c r="Y52" i="27"/>
  <c r="Y53" i="27"/>
  <c r="AF54" i="27"/>
  <c r="S122" i="27"/>
  <c r="X39" i="27"/>
  <c r="R49" i="27"/>
  <c r="Y49" i="27"/>
  <c r="V86" i="27"/>
  <c r="V102" i="27"/>
  <c r="R82" i="27"/>
  <c r="V99" i="27"/>
  <c r="X22" i="27"/>
  <c r="X26" i="27"/>
  <c r="X34" i="27"/>
  <c r="AD24" i="27"/>
  <c r="K53" i="27"/>
  <c r="V97" i="27"/>
  <c r="R32" i="27"/>
  <c r="L33" i="27"/>
  <c r="R26" i="27"/>
  <c r="R27" i="27"/>
  <c r="R29" i="27"/>
  <c r="R30" i="27"/>
  <c r="L34" i="27"/>
  <c r="L36" i="27"/>
  <c r="L37" i="27"/>
  <c r="H58" i="27"/>
  <c r="K48" i="27"/>
  <c r="S119" i="27"/>
  <c r="X23" i="27"/>
  <c r="X27" i="27"/>
  <c r="X28" i="27"/>
  <c r="X29" i="27"/>
  <c r="R34" i="27"/>
  <c r="R35" i="27"/>
  <c r="R37" i="27"/>
  <c r="X38" i="27"/>
  <c r="AD39" i="27"/>
  <c r="R47" i="27"/>
  <c r="AD25" i="27"/>
  <c r="AD26" i="27"/>
  <c r="AD27" i="27"/>
  <c r="AD29" i="27"/>
  <c r="X31" i="27"/>
  <c r="X36" i="27"/>
  <c r="X37" i="27"/>
  <c r="Y47" i="27"/>
  <c r="Y48" i="27"/>
  <c r="Y51" i="27"/>
  <c r="R84" i="27"/>
  <c r="S84" i="27" s="1"/>
  <c r="S103" i="27"/>
  <c r="S120" i="27"/>
  <c r="K41" i="27"/>
  <c r="L24" i="27"/>
  <c r="L25" i="27"/>
  <c r="AD30" i="27"/>
  <c r="AD32" i="27"/>
  <c r="S100" i="27"/>
  <c r="L26" i="27"/>
  <c r="L28" i="27"/>
  <c r="L29" i="27"/>
  <c r="AD33" i="27"/>
  <c r="AD34" i="27"/>
  <c r="AD35" i="27"/>
  <c r="AD37" i="27"/>
  <c r="AC58" i="27"/>
  <c r="AF48" i="27"/>
  <c r="AF49" i="27"/>
  <c r="K47" i="27"/>
  <c r="S117" i="27"/>
  <c r="T119" i="27"/>
  <c r="Q121" i="27"/>
  <c r="T121" i="27" s="1"/>
  <c r="R83" i="27"/>
  <c r="S83" i="27" s="1"/>
  <c r="Q110" i="27"/>
  <c r="T110" i="27" s="1"/>
  <c r="Q41" i="27"/>
  <c r="Q86" i="27"/>
  <c r="T86" i="27" s="1"/>
  <c r="Q102" i="27"/>
  <c r="T102" i="27" s="1"/>
  <c r="V104" i="27"/>
  <c r="U41" i="27"/>
  <c r="V83" i="27"/>
  <c r="R121" i="27"/>
  <c r="S121" i="27" s="1"/>
  <c r="O41" i="27"/>
  <c r="W41" i="27"/>
  <c r="R25" i="27"/>
  <c r="L27" i="27"/>
  <c r="AD28" i="27"/>
  <c r="R33" i="27"/>
  <c r="L35" i="27"/>
  <c r="AD36" i="27"/>
  <c r="AD38" i="27"/>
  <c r="Q58" i="27"/>
  <c r="R48" i="27"/>
  <c r="R50" i="27"/>
  <c r="K52" i="27"/>
  <c r="AF53" i="27"/>
  <c r="S87" i="27"/>
  <c r="S89" i="27"/>
  <c r="V113" i="27"/>
  <c r="Q99" i="27"/>
  <c r="T99" i="27" s="1"/>
  <c r="X58" i="27"/>
  <c r="J58" i="27"/>
  <c r="T87" i="27"/>
  <c r="T89" i="27"/>
  <c r="S88" i="27"/>
  <c r="Q104" i="27"/>
  <c r="T104" i="27" s="1"/>
  <c r="L22" i="27"/>
  <c r="AC41" i="27"/>
  <c r="AD23" i="27"/>
  <c r="R28" i="27"/>
  <c r="L30" i="27"/>
  <c r="AD31" i="27"/>
  <c r="R36" i="27"/>
  <c r="AF47" i="27"/>
  <c r="R53" i="27"/>
  <c r="R55" i="27"/>
  <c r="V82" i="27"/>
  <c r="V84" i="27"/>
  <c r="T96" i="27"/>
  <c r="V101" i="27"/>
  <c r="T122" i="27"/>
  <c r="T83" i="27"/>
  <c r="S82" i="27"/>
  <c r="T84" i="27"/>
  <c r="R86" i="27"/>
  <c r="R91" i="27"/>
  <c r="S91" i="27" s="1"/>
  <c r="R93" i="27"/>
  <c r="S93" i="27" s="1"/>
  <c r="R95" i="27"/>
  <c r="S95" i="27" s="1"/>
  <c r="Q97" i="27"/>
  <c r="R99" i="27"/>
  <c r="Q101" i="27"/>
  <c r="R102" i="27"/>
  <c r="S102" i="27" s="1"/>
  <c r="R110" i="27"/>
  <c r="Q111" i="27"/>
  <c r="R113" i="27"/>
  <c r="S113" i="27" s="1"/>
  <c r="S123" i="27"/>
  <c r="V90" i="27"/>
  <c r="V92" i="27"/>
  <c r="V94" i="27"/>
  <c r="R97" i="27"/>
  <c r="R101" i="27"/>
  <c r="S104" i="27"/>
  <c r="Q105" i="27"/>
  <c r="V105" i="27"/>
  <c r="Q112" i="27"/>
  <c r="V112" i="27"/>
  <c r="S115" i="27"/>
  <c r="Q116" i="27"/>
  <c r="V116" i="27"/>
  <c r="S118" i="27"/>
  <c r="Q124" i="27"/>
  <c r="S125" i="27"/>
  <c r="R124" i="27"/>
  <c r="U124" i="27" s="1"/>
  <c r="V124" i="27" s="1"/>
  <c r="K54" i="27"/>
  <c r="V58" i="27"/>
  <c r="O58" i="27"/>
  <c r="I41" i="27"/>
  <c r="R22" i="27"/>
  <c r="AA41" i="27"/>
  <c r="J16" i="27"/>
  <c r="D12" i="27"/>
  <c r="G12" i="27" s="1"/>
  <c r="D11" i="27"/>
  <c r="G11" i="27" s="1"/>
  <c r="D10" i="27"/>
  <c r="G10" i="27" s="1"/>
  <c r="D9" i="27"/>
  <c r="G9" i="27" s="1"/>
  <c r="H9" i="27" s="1"/>
  <c r="I9" i="27" s="1"/>
  <c r="D8" i="27"/>
  <c r="G8" i="27" s="1"/>
  <c r="J8" i="27" s="1"/>
  <c r="G7" i="27"/>
  <c r="J7" i="27" s="1"/>
  <c r="D6" i="27"/>
  <c r="G6" i="27" s="1"/>
  <c r="J6" i="27" s="1"/>
  <c r="G5" i="27"/>
  <c r="J5" i="27" s="1"/>
  <c r="G4" i="27"/>
  <c r="J4" i="27" s="1"/>
  <c r="V128" i="27" l="1"/>
  <c r="AF60" i="27"/>
  <c r="Y58" i="27"/>
  <c r="X41" i="27"/>
  <c r="X62" i="27"/>
  <c r="AD41" i="27"/>
  <c r="V62" i="27"/>
  <c r="K58" i="27"/>
  <c r="H62" i="27" s="1"/>
  <c r="AF58" i="27"/>
  <c r="AE62" i="27" s="1"/>
  <c r="R58" i="27"/>
  <c r="Q62" i="27" s="1"/>
  <c r="AC44" i="27"/>
  <c r="R41" i="27"/>
  <c r="R126" i="27"/>
  <c r="Q126" i="27"/>
  <c r="Q128" i="27" s="1"/>
  <c r="S86" i="27"/>
  <c r="L41" i="27"/>
  <c r="K44" i="27" s="1"/>
  <c r="S101" i="27"/>
  <c r="T101" i="27"/>
  <c r="T116" i="27"/>
  <c r="S116" i="27"/>
  <c r="T105" i="27"/>
  <c r="S105" i="27"/>
  <c r="T124" i="27"/>
  <c r="S124" i="27"/>
  <c r="S112" i="27"/>
  <c r="T112" i="27"/>
  <c r="H12" i="27"/>
  <c r="I12" i="27" s="1"/>
  <c r="H10" i="27"/>
  <c r="I10" i="27" s="1"/>
  <c r="H11" i="27"/>
  <c r="I11" i="27" s="1"/>
  <c r="J9" i="27"/>
  <c r="H3" i="24"/>
  <c r="J62" i="27" l="1"/>
  <c r="J12" i="27"/>
  <c r="AC62" i="27"/>
  <c r="O62" i="27"/>
  <c r="T128" i="27"/>
  <c r="J10" i="27"/>
  <c r="J11" i="27"/>
  <c r="L9" i="17"/>
  <c r="O49" i="22" l="1"/>
  <c r="O50" i="22"/>
  <c r="O41" i="22"/>
  <c r="O38" i="22"/>
  <c r="O39" i="22"/>
  <c r="O40" i="22"/>
  <c r="O32" i="22"/>
  <c r="O20" i="22"/>
  <c r="O21" i="22"/>
  <c r="O8" i="22"/>
  <c r="O9" i="22"/>
  <c r="O10" i="22"/>
  <c r="O11" i="22"/>
  <c r="O12" i="22"/>
  <c r="O13" i="22"/>
  <c r="O14" i="22"/>
  <c r="O18" i="22"/>
  <c r="O7" i="22"/>
  <c r="O22" i="22"/>
  <c r="H78" i="26" l="1"/>
  <c r="H77" i="26"/>
  <c r="H76" i="26"/>
  <c r="C61" i="2"/>
  <c r="C59" i="2"/>
  <c r="F59" i="2" s="1"/>
  <c r="C58" i="2"/>
  <c r="F58" i="2" s="1"/>
  <c r="G58" i="2" s="1"/>
  <c r="H58" i="2" s="1"/>
  <c r="O28" i="2"/>
  <c r="N28" i="2"/>
  <c r="M28" i="2"/>
  <c r="L28" i="2"/>
  <c r="K28" i="2"/>
  <c r="J27" i="2"/>
  <c r="D39" i="10"/>
  <c r="E23" i="20"/>
  <c r="E22" i="20"/>
  <c r="E19" i="20"/>
  <c r="E16" i="20"/>
  <c r="E13" i="20"/>
  <c r="E10" i="20"/>
  <c r="A10" i="9"/>
  <c r="A8" i="9"/>
  <c r="A6" i="9"/>
  <c r="C55" i="2" l="1"/>
  <c r="C12" i="9"/>
  <c r="D12" i="9"/>
  <c r="B12" i="9"/>
  <c r="B12" i="17" l="1"/>
  <c r="I71" i="26"/>
  <c r="I70" i="26"/>
  <c r="D72" i="26"/>
  <c r="I72" i="26" s="1"/>
  <c r="D69" i="26"/>
  <c r="I69" i="26" s="1"/>
  <c r="D68" i="26"/>
  <c r="I68" i="26" s="1"/>
  <c r="D67" i="26"/>
  <c r="I67" i="26" s="1"/>
  <c r="I60" i="26"/>
  <c r="I59" i="26"/>
  <c r="I58" i="26"/>
  <c r="I57" i="26"/>
  <c r="D56" i="26"/>
  <c r="I56" i="26" s="1"/>
  <c r="G51" i="26"/>
  <c r="D51" i="26"/>
  <c r="I50" i="26"/>
  <c r="I49" i="26"/>
  <c r="D48" i="26"/>
  <c r="G48" i="26" s="1"/>
  <c r="I48" i="26" s="1"/>
  <c r="D47" i="26"/>
  <c r="G47" i="26" s="1"/>
  <c r="I47" i="26" s="1"/>
  <c r="I46" i="26"/>
  <c r="I45" i="26"/>
  <c r="D44" i="26"/>
  <c r="F44" i="26" s="1"/>
  <c r="I44" i="26" s="1"/>
  <c r="I43" i="26"/>
  <c r="I42" i="26"/>
  <c r="D41" i="26"/>
  <c r="F41" i="26" s="1"/>
  <c r="I41" i="26" s="1"/>
  <c r="I40" i="26"/>
  <c r="F35" i="26"/>
  <c r="H35" i="26" s="1"/>
  <c r="E32" i="26"/>
  <c r="F32" i="26" s="1"/>
  <c r="C31" i="26"/>
  <c r="D31" i="26" s="1"/>
  <c r="C30" i="26"/>
  <c r="C29" i="26"/>
  <c r="C28" i="26"/>
  <c r="F28" i="26" s="1"/>
  <c r="C27" i="26"/>
  <c r="C26" i="26"/>
  <c r="D26" i="26" s="1"/>
  <c r="E25" i="26"/>
  <c r="F25" i="26" s="1"/>
  <c r="E24" i="26"/>
  <c r="D24" i="26"/>
  <c r="F23" i="26"/>
  <c r="D23" i="26"/>
  <c r="H22" i="26"/>
  <c r="G22" i="26"/>
  <c r="D22" i="26"/>
  <c r="D21" i="26"/>
  <c r="F21" i="26" s="1"/>
  <c r="D20" i="26"/>
  <c r="F20" i="26" s="1"/>
  <c r="D19" i="26"/>
  <c r="F19" i="26" s="1"/>
  <c r="D18" i="26"/>
  <c r="F18" i="26" s="1"/>
  <c r="D17" i="26"/>
  <c r="F17" i="26" s="1"/>
  <c r="D16" i="26"/>
  <c r="F16" i="26" s="1"/>
  <c r="D13" i="26"/>
  <c r="F13" i="26" s="1"/>
  <c r="D12" i="26"/>
  <c r="F12" i="26" s="1"/>
  <c r="D11" i="26"/>
  <c r="F11" i="26" s="1"/>
  <c r="E10" i="26"/>
  <c r="F10" i="26" s="1"/>
  <c r="F9" i="26"/>
  <c r="G9" i="26" s="1"/>
  <c r="H9" i="26" s="1"/>
  <c r="F8" i="26"/>
  <c r="D7" i="26"/>
  <c r="F7" i="26" s="1"/>
  <c r="D6" i="26"/>
  <c r="F6" i="26" s="1"/>
  <c r="G6" i="26" s="1"/>
  <c r="H6" i="26" s="1"/>
  <c r="D5" i="26"/>
  <c r="F5" i="26" s="1"/>
  <c r="D4" i="26"/>
  <c r="F4" i="26" s="1"/>
  <c r="F3" i="26"/>
  <c r="G3" i="26" s="1"/>
  <c r="D3" i="26"/>
  <c r="D2" i="26"/>
  <c r="F2" i="26" s="1"/>
  <c r="G2" i="26" s="1"/>
  <c r="H2" i="26" s="1"/>
  <c r="D30" i="26" l="1"/>
  <c r="F30" i="26"/>
  <c r="I51" i="26"/>
  <c r="I52" i="26" s="1"/>
  <c r="F31" i="26"/>
  <c r="G31" i="26" s="1"/>
  <c r="F26" i="26"/>
  <c r="G26" i="26" s="1"/>
  <c r="H30" i="26"/>
  <c r="I63" i="26"/>
  <c r="I22" i="26"/>
  <c r="J22" i="26" s="1"/>
  <c r="H32" i="26"/>
  <c r="G32" i="26"/>
  <c r="G12" i="26"/>
  <c r="H12" i="26"/>
  <c r="F24" i="26"/>
  <c r="G35" i="26"/>
  <c r="I35" i="26" s="1"/>
  <c r="J35" i="26" s="1"/>
  <c r="H20" i="26"/>
  <c r="G20" i="26"/>
  <c r="I2" i="26"/>
  <c r="J2" i="26" s="1"/>
  <c r="H21" i="26"/>
  <c r="G21" i="26"/>
  <c r="H10" i="26"/>
  <c r="G10" i="26"/>
  <c r="H13" i="26"/>
  <c r="G13" i="26"/>
  <c r="F29" i="26"/>
  <c r="I73" i="26"/>
  <c r="G5" i="26"/>
  <c r="H5" i="26" s="1"/>
  <c r="H17" i="26"/>
  <c r="G17" i="26"/>
  <c r="H3" i="26"/>
  <c r="I3" i="26" s="1"/>
  <c r="J3" i="26" s="1"/>
  <c r="G7" i="26"/>
  <c r="H7" i="26" s="1"/>
  <c r="D15" i="26"/>
  <c r="F15" i="26" s="1"/>
  <c r="H19" i="26"/>
  <c r="G19" i="26"/>
  <c r="G4" i="26"/>
  <c r="H4" i="26" s="1"/>
  <c r="H16" i="26"/>
  <c r="G16" i="26"/>
  <c r="H11" i="26"/>
  <c r="G11" i="26"/>
  <c r="G18" i="26"/>
  <c r="H18" i="26"/>
  <c r="H25" i="26"/>
  <c r="G25" i="26"/>
  <c r="I6" i="26"/>
  <c r="J6" i="26" s="1"/>
  <c r="I9" i="26"/>
  <c r="J9" i="26" s="1"/>
  <c r="G8" i="26"/>
  <c r="H8" i="26" s="1"/>
  <c r="D14" i="26"/>
  <c r="F14" i="26" s="1"/>
  <c r="G23" i="26"/>
  <c r="D27" i="26"/>
  <c r="F27" i="26" s="1"/>
  <c r="G28" i="26"/>
  <c r="H23" i="26"/>
  <c r="H28" i="26"/>
  <c r="I12" i="26" l="1"/>
  <c r="J12" i="26" s="1"/>
  <c r="H26" i="26"/>
  <c r="I26" i="26" s="1"/>
  <c r="J26" i="26" s="1"/>
  <c r="I21" i="26"/>
  <c r="J21" i="26" s="1"/>
  <c r="H31" i="26"/>
  <c r="I31" i="26" s="1"/>
  <c r="J31" i="26" s="1"/>
  <c r="I18" i="26"/>
  <c r="J18" i="26" s="1"/>
  <c r="I13" i="26"/>
  <c r="J13" i="26" s="1"/>
  <c r="I20" i="26"/>
  <c r="J20" i="26" s="1"/>
  <c r="G30" i="26"/>
  <c r="I30" i="26" s="1"/>
  <c r="J30" i="26" s="1"/>
  <c r="J36" i="26"/>
  <c r="I25" i="26"/>
  <c r="J25" i="26" s="1"/>
  <c r="I19" i="26"/>
  <c r="J19" i="26" s="1"/>
  <c r="I17" i="26"/>
  <c r="J17" i="26" s="1"/>
  <c r="I10" i="26"/>
  <c r="J10" i="26" s="1"/>
  <c r="I16" i="26"/>
  <c r="J16" i="26" s="1"/>
  <c r="H24" i="26"/>
  <c r="I28" i="26"/>
  <c r="J28" i="26" s="1"/>
  <c r="I11" i="26"/>
  <c r="J11" i="26" s="1"/>
  <c r="G24" i="26"/>
  <c r="I23" i="26"/>
  <c r="J23" i="26" s="1"/>
  <c r="I32" i="26"/>
  <c r="J32" i="26" s="1"/>
  <c r="H27" i="26"/>
  <c r="G27" i="26"/>
  <c r="H14" i="26"/>
  <c r="G14" i="26"/>
  <c r="I7" i="26"/>
  <c r="J7" i="26" s="1"/>
  <c r="H29" i="26"/>
  <c r="G29" i="26"/>
  <c r="G15" i="26"/>
  <c r="H15" i="26"/>
  <c r="I4" i="26"/>
  <c r="J4" i="26" s="1"/>
  <c r="I5" i="26"/>
  <c r="J5" i="26" s="1"/>
  <c r="I8" i="26"/>
  <c r="J8" i="26" s="1"/>
  <c r="I24" i="26" l="1"/>
  <c r="J24" i="26" s="1"/>
  <c r="I15" i="26"/>
  <c r="J15" i="26" s="1"/>
  <c r="I14" i="26"/>
  <c r="J14" i="26" s="1"/>
  <c r="I29" i="26"/>
  <c r="J29" i="26" s="1"/>
  <c r="I27" i="26"/>
  <c r="J27" i="26" s="1"/>
  <c r="J33" i="26" l="1"/>
  <c r="I75" i="26" s="1"/>
  <c r="L11" i="17" l="1"/>
  <c r="I29" i="10"/>
  <c r="J29" i="10"/>
  <c r="H29" i="10"/>
  <c r="I22" i="10"/>
  <c r="J22" i="10"/>
  <c r="H22" i="10"/>
  <c r="I8" i="10"/>
  <c r="J8" i="10"/>
  <c r="H8" i="10"/>
  <c r="D53" i="19"/>
  <c r="E6" i="20"/>
  <c r="J20" i="8"/>
  <c r="K20" i="8"/>
  <c r="I20" i="8"/>
  <c r="I29" i="8"/>
  <c r="J26" i="8"/>
  <c r="K26" i="8"/>
  <c r="I26" i="8"/>
  <c r="J25" i="8"/>
  <c r="K25" i="8"/>
  <c r="I25" i="8"/>
  <c r="J22" i="8"/>
  <c r="K22" i="8"/>
  <c r="I22" i="8"/>
  <c r="J21" i="8"/>
  <c r="K21" i="8"/>
  <c r="I21" i="8"/>
  <c r="D2" i="25" l="1"/>
  <c r="AA26" i="23" s="1"/>
  <c r="I78" i="26" s="1"/>
  <c r="AC12" i="24"/>
  <c r="AD12" i="24" s="1"/>
  <c r="V12" i="24"/>
  <c r="W12" i="24" s="1"/>
  <c r="O12" i="24"/>
  <c r="M12" i="24"/>
  <c r="H12" i="24"/>
  <c r="I12" i="24" s="1"/>
  <c r="AC11" i="24"/>
  <c r="AA11" i="24"/>
  <c r="V11" i="24"/>
  <c r="W11" i="24" s="1"/>
  <c r="O11" i="24"/>
  <c r="M11" i="24"/>
  <c r="P11" i="24" s="1"/>
  <c r="H11" i="24"/>
  <c r="I11" i="24" s="1"/>
  <c r="AC10" i="24"/>
  <c r="AA10" i="24"/>
  <c r="AD10" i="24" s="1"/>
  <c r="V10" i="24"/>
  <c r="W10" i="24" s="1"/>
  <c r="O10" i="24"/>
  <c r="M10" i="24"/>
  <c r="H10" i="24"/>
  <c r="I10" i="24" s="1"/>
  <c r="AC9" i="24"/>
  <c r="AA9" i="24"/>
  <c r="V9" i="24"/>
  <c r="W9" i="24" s="1"/>
  <c r="O9" i="24"/>
  <c r="M9" i="24"/>
  <c r="H9" i="24"/>
  <c r="I9" i="24" s="1"/>
  <c r="AC8" i="24"/>
  <c r="AA8" i="24"/>
  <c r="AD8" i="24" s="1"/>
  <c r="V8" i="24"/>
  <c r="T8" i="24"/>
  <c r="O8" i="24"/>
  <c r="M8" i="24"/>
  <c r="P8" i="24" s="1"/>
  <c r="H8" i="24"/>
  <c r="F8" i="24"/>
  <c r="AC7" i="24"/>
  <c r="AA7" i="24"/>
  <c r="AD7" i="24" s="1"/>
  <c r="V7" i="24"/>
  <c r="T7" i="24"/>
  <c r="O7" i="24"/>
  <c r="M7" i="24"/>
  <c r="H7" i="24"/>
  <c r="F7" i="24"/>
  <c r="AC6" i="24"/>
  <c r="AA6" i="24"/>
  <c r="AD6" i="24" s="1"/>
  <c r="V6" i="24"/>
  <c r="T6" i="24"/>
  <c r="O6" i="24"/>
  <c r="M6" i="24"/>
  <c r="P6" i="24" s="1"/>
  <c r="H6" i="24"/>
  <c r="F6" i="24"/>
  <c r="AC5" i="24"/>
  <c r="AA5" i="24"/>
  <c r="V5" i="24"/>
  <c r="T5" i="24"/>
  <c r="O5" i="24"/>
  <c r="M5" i="24"/>
  <c r="P5" i="24" s="1"/>
  <c r="H5" i="24"/>
  <c r="I5" i="24" s="1"/>
  <c r="AC4" i="24"/>
  <c r="AA4" i="24"/>
  <c r="V4" i="24"/>
  <c r="T4" i="24"/>
  <c r="W4" i="24" s="1"/>
  <c r="O4" i="24"/>
  <c r="M4" i="24"/>
  <c r="H4" i="24"/>
  <c r="I4" i="24" s="1"/>
  <c r="AC3" i="24"/>
  <c r="AA3" i="24"/>
  <c r="V3" i="24"/>
  <c r="T3" i="24"/>
  <c r="O3" i="24"/>
  <c r="M3" i="24"/>
  <c r="F3" i="24"/>
  <c r="AC2" i="24"/>
  <c r="AA2" i="24"/>
  <c r="V2" i="24"/>
  <c r="T2" i="24"/>
  <c r="O2" i="24"/>
  <c r="M2" i="24"/>
  <c r="H2" i="24"/>
  <c r="F2" i="24"/>
  <c r="I2" i="24" s="1"/>
  <c r="AB27" i="23"/>
  <c r="AA20" i="23"/>
  <c r="AB20" i="23" s="1"/>
  <c r="U20" i="23"/>
  <c r="V20" i="23" s="1"/>
  <c r="O20" i="23"/>
  <c r="P20" i="23" s="1"/>
  <c r="I20" i="23"/>
  <c r="J20" i="23" s="1"/>
  <c r="AA19" i="23"/>
  <c r="Y19" i="23"/>
  <c r="AB19" i="23" s="1"/>
  <c r="U19" i="23"/>
  <c r="S19" i="23"/>
  <c r="O19" i="23"/>
  <c r="P19" i="23" s="1"/>
  <c r="I19" i="23"/>
  <c r="J19" i="23" s="1"/>
  <c r="AA18" i="23"/>
  <c r="Y18" i="23"/>
  <c r="U18" i="23"/>
  <c r="S18" i="23"/>
  <c r="V18" i="23" s="1"/>
  <c r="O18" i="23"/>
  <c r="P18" i="23" s="1"/>
  <c r="I18" i="23"/>
  <c r="J18" i="23" s="1"/>
  <c r="AA17" i="23"/>
  <c r="Y17" i="23"/>
  <c r="AB17" i="23" s="1"/>
  <c r="U17" i="23"/>
  <c r="S17" i="23"/>
  <c r="O17" i="23"/>
  <c r="M17" i="23"/>
  <c r="P17" i="23" s="1"/>
  <c r="I17" i="23"/>
  <c r="G17" i="23"/>
  <c r="AA16" i="23"/>
  <c r="Y16" i="23"/>
  <c r="AB16" i="23" s="1"/>
  <c r="U16" i="23"/>
  <c r="S16" i="23"/>
  <c r="O16" i="23"/>
  <c r="M16" i="23"/>
  <c r="I16" i="23"/>
  <c r="G16" i="23"/>
  <c r="AA15" i="23"/>
  <c r="Y15" i="23"/>
  <c r="U15" i="23"/>
  <c r="S15" i="23"/>
  <c r="O15" i="23"/>
  <c r="M15" i="23"/>
  <c r="I15" i="23"/>
  <c r="G15" i="23"/>
  <c r="AA14" i="23"/>
  <c r="Y14" i="23"/>
  <c r="U14" i="23"/>
  <c r="S14" i="23"/>
  <c r="O14" i="23"/>
  <c r="M14" i="23"/>
  <c r="I14" i="23"/>
  <c r="G14" i="23"/>
  <c r="AA13" i="23"/>
  <c r="Y13" i="23"/>
  <c r="U13" i="23"/>
  <c r="S13" i="23"/>
  <c r="O13" i="23"/>
  <c r="M13" i="23"/>
  <c r="I13" i="23"/>
  <c r="G13" i="23"/>
  <c r="AA12" i="23"/>
  <c r="Y12" i="23"/>
  <c r="U12" i="23"/>
  <c r="S12" i="23"/>
  <c r="O12" i="23"/>
  <c r="M12" i="23"/>
  <c r="I12" i="23"/>
  <c r="G12" i="23"/>
  <c r="AA11" i="23"/>
  <c r="Y11" i="23"/>
  <c r="AB11" i="23" s="1"/>
  <c r="U11" i="23"/>
  <c r="S11" i="23"/>
  <c r="O11" i="23"/>
  <c r="M11" i="23"/>
  <c r="I11" i="23"/>
  <c r="G11" i="23"/>
  <c r="AA10" i="23"/>
  <c r="Y10" i="23"/>
  <c r="AB10" i="23" s="1"/>
  <c r="U10" i="23"/>
  <c r="S10" i="23"/>
  <c r="O10" i="23"/>
  <c r="M10" i="23"/>
  <c r="I10" i="23"/>
  <c r="G10" i="23"/>
  <c r="AA9" i="23"/>
  <c r="Y9" i="23"/>
  <c r="AB9" i="23" s="1"/>
  <c r="U9" i="23"/>
  <c r="S9" i="23"/>
  <c r="O9" i="23"/>
  <c r="M9" i="23"/>
  <c r="P9" i="23" s="1"/>
  <c r="I9" i="23"/>
  <c r="G9" i="23"/>
  <c r="AA8" i="23"/>
  <c r="Y8" i="23"/>
  <c r="AB8" i="23" s="1"/>
  <c r="U8" i="23"/>
  <c r="S8" i="23"/>
  <c r="O8" i="23"/>
  <c r="M8" i="23"/>
  <c r="I8" i="23"/>
  <c r="G8" i="23"/>
  <c r="AA7" i="23"/>
  <c r="Y7" i="23"/>
  <c r="AB7" i="23" s="1"/>
  <c r="U7" i="23"/>
  <c r="S7" i="23"/>
  <c r="O7" i="23"/>
  <c r="M7" i="23"/>
  <c r="P7" i="23" s="1"/>
  <c r="I7" i="23"/>
  <c r="G7" i="23"/>
  <c r="AA6" i="23"/>
  <c r="Y6" i="23"/>
  <c r="AB6" i="23" s="1"/>
  <c r="U6" i="23"/>
  <c r="S6" i="23"/>
  <c r="O6" i="23"/>
  <c r="M6" i="23"/>
  <c r="I6" i="23"/>
  <c r="G6" i="23"/>
  <c r="AA5" i="23"/>
  <c r="Y5" i="23"/>
  <c r="AB5" i="23" s="1"/>
  <c r="U5" i="23"/>
  <c r="S5" i="23"/>
  <c r="O5" i="23"/>
  <c r="M5" i="23"/>
  <c r="P5" i="23" s="1"/>
  <c r="I5" i="23"/>
  <c r="G5" i="23"/>
  <c r="AA4" i="23"/>
  <c r="Y4" i="23"/>
  <c r="AB4" i="23" s="1"/>
  <c r="U4" i="23"/>
  <c r="S4" i="23"/>
  <c r="O4" i="23"/>
  <c r="M4" i="23"/>
  <c r="I4" i="23"/>
  <c r="G4" i="23"/>
  <c r="AA3" i="23"/>
  <c r="Y3" i="23"/>
  <c r="AB3" i="23" s="1"/>
  <c r="U3" i="23"/>
  <c r="S3" i="23"/>
  <c r="V3" i="23" s="1"/>
  <c r="O3" i="23"/>
  <c r="M3" i="23"/>
  <c r="P3" i="23" s="1"/>
  <c r="I3" i="23"/>
  <c r="G3" i="23"/>
  <c r="AA2" i="23"/>
  <c r="Y2" i="23"/>
  <c r="U2" i="23"/>
  <c r="S2" i="23"/>
  <c r="O2" i="23"/>
  <c r="M2" i="23"/>
  <c r="I2" i="23"/>
  <c r="G2" i="23"/>
  <c r="E2" i="23"/>
  <c r="P10" i="24" l="1"/>
  <c r="J9" i="23"/>
  <c r="J11" i="23"/>
  <c r="P9" i="24"/>
  <c r="W6" i="24"/>
  <c r="W7" i="24"/>
  <c r="W8" i="24"/>
  <c r="AD9" i="24"/>
  <c r="AB15" i="23"/>
  <c r="J2" i="23"/>
  <c r="J4" i="23"/>
  <c r="J13" i="23"/>
  <c r="J15" i="23"/>
  <c r="J17" i="23"/>
  <c r="AB18" i="23"/>
  <c r="V8" i="23"/>
  <c r="P11" i="23"/>
  <c r="V12" i="23"/>
  <c r="V14" i="23"/>
  <c r="W3" i="24"/>
  <c r="V10" i="23"/>
  <c r="I6" i="24"/>
  <c r="AD11" i="24"/>
  <c r="U21" i="23"/>
  <c r="V5" i="23"/>
  <c r="J7" i="23"/>
  <c r="AB12" i="23"/>
  <c r="P13" i="23"/>
  <c r="AB13" i="23"/>
  <c r="AB14" i="23"/>
  <c r="P15" i="23"/>
  <c r="V16" i="23"/>
  <c r="V19" i="23"/>
  <c r="P2" i="24"/>
  <c r="AA13" i="24"/>
  <c r="P2" i="23"/>
  <c r="Y21" i="23"/>
  <c r="J3" i="23"/>
  <c r="V4" i="23"/>
  <c r="P6" i="23"/>
  <c r="V7" i="23"/>
  <c r="J8" i="23"/>
  <c r="P10" i="23"/>
  <c r="V11" i="23"/>
  <c r="J12" i="23"/>
  <c r="P14" i="23"/>
  <c r="V15" i="23"/>
  <c r="J16" i="23"/>
  <c r="P3" i="24"/>
  <c r="AD3" i="24"/>
  <c r="P4" i="24"/>
  <c r="AD4" i="24"/>
  <c r="AD5" i="24"/>
  <c r="I8" i="24"/>
  <c r="AA21" i="23"/>
  <c r="AD2" i="24"/>
  <c r="AD13" i="24" s="1"/>
  <c r="AC17" i="24" s="1"/>
  <c r="O21" i="23"/>
  <c r="G21" i="23"/>
  <c r="S21" i="23"/>
  <c r="AB2" i="23"/>
  <c r="P4" i="23"/>
  <c r="J5" i="23"/>
  <c r="J6" i="23"/>
  <c r="V6" i="23"/>
  <c r="P8" i="23"/>
  <c r="V9" i="23"/>
  <c r="J10" i="23"/>
  <c r="P12" i="23"/>
  <c r="V13" i="23"/>
  <c r="J14" i="23"/>
  <c r="P16" i="23"/>
  <c r="V17" i="23"/>
  <c r="W5" i="24"/>
  <c r="P7" i="24"/>
  <c r="P12" i="24"/>
  <c r="AC13" i="24"/>
  <c r="V13" i="24"/>
  <c r="I3" i="24"/>
  <c r="O13" i="24"/>
  <c r="I7" i="24"/>
  <c r="H13" i="24"/>
  <c r="T13" i="24"/>
  <c r="M21" i="23"/>
  <c r="V2" i="23"/>
  <c r="W2" i="24"/>
  <c r="M13" i="24"/>
  <c r="I21" i="23"/>
  <c r="F13" i="24"/>
  <c r="AD15" i="24" l="1"/>
  <c r="AA25" i="23" s="1"/>
  <c r="I77" i="26" s="1"/>
  <c r="W13" i="24"/>
  <c r="V17" i="24" s="1"/>
  <c r="I13" i="24"/>
  <c r="H17" i="24" s="1"/>
  <c r="J21" i="23"/>
  <c r="P13" i="24"/>
  <c r="O17" i="24" s="1"/>
  <c r="AA29" i="23"/>
  <c r="AB21" i="23"/>
  <c r="F20" i="24"/>
  <c r="V21" i="23"/>
  <c r="P21" i="23"/>
  <c r="T17" i="24"/>
  <c r="AA17" i="24"/>
  <c r="AA24" i="23"/>
  <c r="I76" i="26" s="1"/>
  <c r="I24" i="23"/>
  <c r="M17" i="24" l="1"/>
  <c r="F17" i="24"/>
  <c r="AA27" i="23"/>
  <c r="Z36" i="23" s="1"/>
  <c r="M52" i="22"/>
  <c r="M51" i="22"/>
  <c r="R50" i="22"/>
  <c r="P50" i="22"/>
  <c r="Q50" i="22" s="1"/>
  <c r="R49" i="22"/>
  <c r="T49" i="22"/>
  <c r="M48" i="22"/>
  <c r="M47" i="22"/>
  <c r="S45" i="22"/>
  <c r="M45" i="22"/>
  <c r="O45" i="22" s="1"/>
  <c r="R45" i="22" s="1"/>
  <c r="M44" i="22"/>
  <c r="M43" i="22"/>
  <c r="O43" i="22" s="1"/>
  <c r="M42" i="22"/>
  <c r="O42" i="22" s="1"/>
  <c r="R41" i="22"/>
  <c r="P41" i="22"/>
  <c r="R40" i="22"/>
  <c r="P40" i="22"/>
  <c r="R39" i="22"/>
  <c r="P39" i="22"/>
  <c r="R38" i="22"/>
  <c r="P38" i="22"/>
  <c r="M37" i="22"/>
  <c r="M36" i="22"/>
  <c r="S34" i="22"/>
  <c r="M34" i="22"/>
  <c r="S33" i="22"/>
  <c r="M33" i="22"/>
  <c r="O33" i="22" s="1"/>
  <c r="R33" i="22" s="1"/>
  <c r="S32" i="22"/>
  <c r="T32" i="22" s="1"/>
  <c r="R32" i="22"/>
  <c r="P32" i="22"/>
  <c r="Q32" i="22" s="1"/>
  <c r="S31" i="22"/>
  <c r="M31" i="22"/>
  <c r="S30" i="22"/>
  <c r="O30" i="22"/>
  <c r="R30" i="22" s="1"/>
  <c r="S29" i="22"/>
  <c r="M29" i="22"/>
  <c r="O29" i="22" s="1"/>
  <c r="R29" i="22" s="1"/>
  <c r="A29" i="22"/>
  <c r="A30" i="22" s="1"/>
  <c r="A31" i="22" s="1"/>
  <c r="R28" i="22"/>
  <c r="M28" i="22"/>
  <c r="P28" i="22" s="1"/>
  <c r="Q28" i="22" s="1"/>
  <c r="R27" i="22"/>
  <c r="M27" i="22"/>
  <c r="P27" i="22" s="1"/>
  <c r="Q27" i="22" s="1"/>
  <c r="R26" i="22"/>
  <c r="M26" i="22"/>
  <c r="T26" i="22" s="1"/>
  <c r="R25" i="22"/>
  <c r="M25" i="22"/>
  <c r="P25" i="22" s="1"/>
  <c r="Q25" i="22" s="1"/>
  <c r="R24" i="22"/>
  <c r="M24" i="22"/>
  <c r="P24" i="22" s="1"/>
  <c r="Q24" i="22" s="1"/>
  <c r="R23" i="22"/>
  <c r="M23" i="22"/>
  <c r="P23" i="22" s="1"/>
  <c r="Q23" i="22" s="1"/>
  <c r="S22" i="22"/>
  <c r="R22" i="22"/>
  <c r="R21" i="22"/>
  <c r="T21" i="22"/>
  <c r="R20" i="22"/>
  <c r="T20" i="22"/>
  <c r="S19" i="22"/>
  <c r="R19" i="22"/>
  <c r="M19" i="22"/>
  <c r="O19" i="22" s="1"/>
  <c r="S17" i="22"/>
  <c r="M17" i="22"/>
  <c r="O17" i="22" s="1"/>
  <c r="R17" i="22" s="1"/>
  <c r="S16" i="22"/>
  <c r="M16" i="22"/>
  <c r="O16" i="22" s="1"/>
  <c r="R16" i="22" s="1"/>
  <c r="S15" i="22"/>
  <c r="M15" i="22"/>
  <c r="O15" i="22" s="1"/>
  <c r="R15" i="22" s="1"/>
  <c r="S14" i="22"/>
  <c r="R14" i="22"/>
  <c r="A14" i="22"/>
  <c r="A15" i="22" s="1"/>
  <c r="A16" i="22" s="1"/>
  <c r="A17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S13" i="22"/>
  <c r="T47" i="22" l="1"/>
  <c r="O47" i="22"/>
  <c r="R47" i="22" s="1"/>
  <c r="T51" i="22"/>
  <c r="O51" i="22"/>
  <c r="R51" i="22" s="1"/>
  <c r="T36" i="22"/>
  <c r="O36" i="22"/>
  <c r="R36" i="22" s="1"/>
  <c r="P31" i="22"/>
  <c r="O31" i="22"/>
  <c r="R31" i="22" s="1"/>
  <c r="P35" i="22"/>
  <c r="O35" i="22"/>
  <c r="R35" i="22" s="1"/>
  <c r="P37" i="22"/>
  <c r="O37" i="22"/>
  <c r="R37" i="22" s="1"/>
  <c r="P44" i="22"/>
  <c r="O44" i="22"/>
  <c r="R44" i="22" s="1"/>
  <c r="P34" i="22"/>
  <c r="O34" i="22"/>
  <c r="R34" i="22" s="1"/>
  <c r="T46" i="22"/>
  <c r="O46" i="22"/>
  <c r="R46" i="22" s="1"/>
  <c r="P48" i="22"/>
  <c r="O48" i="22"/>
  <c r="R48" i="22" s="1"/>
  <c r="P52" i="22"/>
  <c r="S52" i="22" s="1"/>
  <c r="T52" i="22" s="1"/>
  <c r="O52" i="22"/>
  <c r="R52" i="22" s="1"/>
  <c r="P42" i="22"/>
  <c r="R42" i="22"/>
  <c r="P43" i="22"/>
  <c r="R43" i="22"/>
  <c r="T17" i="22"/>
  <c r="T16" i="22"/>
  <c r="T29" i="22"/>
  <c r="T19" i="22"/>
  <c r="T42" i="22"/>
  <c r="T41" i="22"/>
  <c r="P17" i="22"/>
  <c r="Q17" i="22" s="1"/>
  <c r="T38" i="22"/>
  <c r="T13" i="22"/>
  <c r="T22" i="22"/>
  <c r="T14" i="22"/>
  <c r="T15" i="22"/>
  <c r="T31" i="22"/>
  <c r="T33" i="22"/>
  <c r="P51" i="22"/>
  <c r="Q51" i="22" s="1"/>
  <c r="P13" i="22"/>
  <c r="Q13" i="22" s="1"/>
  <c r="P21" i="22"/>
  <c r="Q21" i="22" s="1"/>
  <c r="P26" i="22"/>
  <c r="Q26" i="22" s="1"/>
  <c r="T30" i="22"/>
  <c r="P36" i="22"/>
  <c r="T40" i="22"/>
  <c r="T45" i="22"/>
  <c r="T39" i="22"/>
  <c r="T43" i="22"/>
  <c r="T23" i="22"/>
  <c r="T25" i="22"/>
  <c r="T37" i="22"/>
  <c r="P16" i="22"/>
  <c r="Q16" i="22" s="1"/>
  <c r="P30" i="22"/>
  <c r="Q30" i="22" s="1"/>
  <c r="T34" i="22"/>
  <c r="T44" i="22"/>
  <c r="P46" i="22"/>
  <c r="R13" i="22"/>
  <c r="P15" i="22"/>
  <c r="Q15" i="22" s="1"/>
  <c r="P20" i="22"/>
  <c r="Q20" i="22" s="1"/>
  <c r="P22" i="22"/>
  <c r="Q22" i="22" s="1"/>
  <c r="T24" i="22"/>
  <c r="T28" i="22"/>
  <c r="P29" i="22"/>
  <c r="Q29" i="22" s="1"/>
  <c r="T35" i="22"/>
  <c r="P47" i="22"/>
  <c r="T48" i="22"/>
  <c r="P49" i="22"/>
  <c r="Q49" i="22" s="1"/>
  <c r="T50" i="22"/>
  <c r="T27" i="22"/>
  <c r="P14" i="22"/>
  <c r="Q14" i="22" s="1"/>
  <c r="P19" i="22"/>
  <c r="Q19" i="22" s="1"/>
  <c r="P33" i="22"/>
  <c r="Q33" i="22" s="1"/>
  <c r="P45" i="22"/>
  <c r="Q45" i="22" s="1"/>
  <c r="Q44" i="22" l="1"/>
  <c r="Q47" i="22"/>
  <c r="Q36" i="22"/>
  <c r="Q46" i="22"/>
  <c r="Q52" i="22"/>
  <c r="Q48" i="22"/>
  <c r="Q34" i="22"/>
  <c r="Q37" i="22"/>
  <c r="Q31" i="22"/>
  <c r="Q35" i="22"/>
  <c r="O53" i="22"/>
  <c r="O55" i="22" s="1"/>
  <c r="R55" i="22"/>
  <c r="I79" i="26" s="1"/>
  <c r="B14" i="17" s="1"/>
  <c r="P53" i="22"/>
  <c r="O59" i="22" l="1"/>
  <c r="T55" i="22"/>
  <c r="G19" i="21"/>
  <c r="G18" i="21"/>
  <c r="G14" i="21"/>
  <c r="G20" i="21" s="1"/>
  <c r="G11" i="21"/>
  <c r="G12" i="21" s="1"/>
  <c r="F19" i="18" s="1"/>
  <c r="F9" i="21"/>
  <c r="G8" i="21"/>
  <c r="G9" i="21" s="1"/>
  <c r="F18" i="18" s="1"/>
  <c r="G7" i="21"/>
  <c r="F23" i="20"/>
  <c r="G23" i="20" s="1"/>
  <c r="F22" i="20"/>
  <c r="G22" i="20" s="1"/>
  <c r="F19" i="20"/>
  <c r="G19" i="20" s="1"/>
  <c r="F16" i="20"/>
  <c r="G16" i="20" s="1"/>
  <c r="F13" i="20"/>
  <c r="G13" i="20" s="1"/>
  <c r="F10" i="20"/>
  <c r="G10" i="20" s="1"/>
  <c r="E7" i="20"/>
  <c r="E8" i="20" s="1"/>
  <c r="E12" i="20" s="1"/>
  <c r="G6" i="20"/>
  <c r="G7" i="20" s="1"/>
  <c r="G8" i="20" s="1"/>
  <c r="F6" i="20"/>
  <c r="F7" i="20" s="1"/>
  <c r="F8" i="20" s="1"/>
  <c r="F12" i="20" s="1"/>
  <c r="D67" i="19"/>
  <c r="D61" i="19"/>
  <c r="D64" i="19" s="1"/>
  <c r="C57" i="19"/>
  <c r="X43" i="19"/>
  <c r="U37" i="19"/>
  <c r="U36" i="19"/>
  <c r="U35" i="19"/>
  <c r="W33" i="19"/>
  <c r="Q33" i="19"/>
  <c r="N33" i="19"/>
  <c r="K33" i="19"/>
  <c r="H33" i="19"/>
  <c r="E33" i="19"/>
  <c r="W32" i="19"/>
  <c r="T32" i="19"/>
  <c r="T34" i="19" s="1"/>
  <c r="Q32" i="19"/>
  <c r="N32" i="19"/>
  <c r="K32" i="19"/>
  <c r="H32" i="19"/>
  <c r="E32" i="19"/>
  <c r="W27" i="19"/>
  <c r="T27" i="19"/>
  <c r="Q27" i="19"/>
  <c r="N27" i="19"/>
  <c r="K27" i="19"/>
  <c r="H27" i="19"/>
  <c r="E27" i="19"/>
  <c r="X26" i="19"/>
  <c r="W25" i="19"/>
  <c r="T25" i="19"/>
  <c r="Q25" i="19"/>
  <c r="N25" i="19"/>
  <c r="K25" i="19"/>
  <c r="H25" i="19"/>
  <c r="E25" i="19"/>
  <c r="W24" i="19"/>
  <c r="T24" i="19"/>
  <c r="Q24" i="19"/>
  <c r="N24" i="19"/>
  <c r="K24" i="19"/>
  <c r="H24" i="19"/>
  <c r="E24" i="19"/>
  <c r="W19" i="19"/>
  <c r="T19" i="19"/>
  <c r="Q19" i="19"/>
  <c r="N19" i="19"/>
  <c r="K19" i="19"/>
  <c r="H19" i="19"/>
  <c r="E19" i="19"/>
  <c r="X18" i="19"/>
  <c r="W17" i="19"/>
  <c r="T17" i="19"/>
  <c r="Q17" i="19"/>
  <c r="N17" i="19"/>
  <c r="K17" i="19"/>
  <c r="H17" i="19"/>
  <c r="E17" i="19"/>
  <c r="E16" i="19"/>
  <c r="X16" i="19" s="1"/>
  <c r="W15" i="19"/>
  <c r="T15" i="19"/>
  <c r="Q15" i="19"/>
  <c r="Q20" i="19" s="1"/>
  <c r="Q23" i="19" s="1"/>
  <c r="N15" i="19"/>
  <c r="K15" i="19"/>
  <c r="H15" i="19"/>
  <c r="E15" i="19"/>
  <c r="V11" i="19"/>
  <c r="S11" i="19"/>
  <c r="P11" i="19"/>
  <c r="M11" i="19"/>
  <c r="J11" i="19"/>
  <c r="G11" i="19"/>
  <c r="D11" i="19"/>
  <c r="W9" i="19"/>
  <c r="T9" i="19"/>
  <c r="Q9" i="19"/>
  <c r="N9" i="19"/>
  <c r="K9" i="19"/>
  <c r="H9" i="19"/>
  <c r="E9" i="19"/>
  <c r="W8" i="19"/>
  <c r="T8" i="19"/>
  <c r="Q8" i="19"/>
  <c r="N8" i="19"/>
  <c r="K8" i="19"/>
  <c r="H8" i="19"/>
  <c r="E8" i="19"/>
  <c r="W7" i="19"/>
  <c r="N7" i="19"/>
  <c r="K7" i="19"/>
  <c r="H7" i="19"/>
  <c r="E7" i="19"/>
  <c r="W6" i="19"/>
  <c r="N6" i="19"/>
  <c r="K6" i="19"/>
  <c r="H6" i="19"/>
  <c r="E6" i="19"/>
  <c r="W5" i="19"/>
  <c r="N5" i="19"/>
  <c r="K5" i="19"/>
  <c r="H5" i="19"/>
  <c r="E5" i="19"/>
  <c r="I27" i="18"/>
  <c r="F26" i="18"/>
  <c r="I25" i="18"/>
  <c r="I24" i="18"/>
  <c r="H14" i="18"/>
  <c r="G14" i="18"/>
  <c r="F14" i="18"/>
  <c r="D68" i="19" l="1"/>
  <c r="G23" i="18" s="1"/>
  <c r="I23" i="18" s="1"/>
  <c r="I14" i="18"/>
  <c r="W28" i="19"/>
  <c r="W30" i="19" s="1"/>
  <c r="G15" i="21"/>
  <c r="F20" i="18" s="1"/>
  <c r="G20" i="18" s="1"/>
  <c r="H20" i="18" s="1"/>
  <c r="E20" i="19"/>
  <c r="E23" i="19" s="1"/>
  <c r="X17" i="19"/>
  <c r="Q28" i="19"/>
  <c r="Q31" i="19" s="1"/>
  <c r="X8" i="19"/>
  <c r="Q10" i="19"/>
  <c r="Q11" i="19" s="1"/>
  <c r="H20" i="19"/>
  <c r="H21" i="19" s="1"/>
  <c r="T20" i="19"/>
  <c r="T21" i="19" s="1"/>
  <c r="X7" i="19"/>
  <c r="X27" i="19"/>
  <c r="T28" i="19"/>
  <c r="T30" i="19" s="1"/>
  <c r="X6" i="19"/>
  <c r="N20" i="19"/>
  <c r="N23" i="19" s="1"/>
  <c r="K20" i="19"/>
  <c r="K23" i="19" s="1"/>
  <c r="W20" i="19"/>
  <c r="W22" i="19" s="1"/>
  <c r="X25" i="19"/>
  <c r="N28" i="19"/>
  <c r="N31" i="19" s="1"/>
  <c r="K28" i="19"/>
  <c r="K31" i="19" s="1"/>
  <c r="X9" i="19"/>
  <c r="T36" i="19"/>
  <c r="T35" i="19"/>
  <c r="T37" i="19"/>
  <c r="T31" i="19"/>
  <c r="H10" i="19"/>
  <c r="H11" i="19" s="1"/>
  <c r="T10" i="19"/>
  <c r="T11" i="19" s="1"/>
  <c r="H22" i="19"/>
  <c r="T23" i="19"/>
  <c r="H28" i="19"/>
  <c r="F14" i="20"/>
  <c r="F9" i="20"/>
  <c r="F21" i="20" s="1"/>
  <c r="F20" i="20"/>
  <c r="F15" i="20"/>
  <c r="F17" i="20" s="1"/>
  <c r="G19" i="18"/>
  <c r="H19" i="18" s="1"/>
  <c r="H26" i="18"/>
  <c r="E10" i="19"/>
  <c r="E11" i="19" s="1"/>
  <c r="W10" i="19"/>
  <c r="W11" i="19" s="1"/>
  <c r="E21" i="19"/>
  <c r="X24" i="19"/>
  <c r="G18" i="18"/>
  <c r="X5" i="19"/>
  <c r="K10" i="19"/>
  <c r="K11" i="19" s="1"/>
  <c r="N22" i="19"/>
  <c r="X15" i="19"/>
  <c r="X19" i="19"/>
  <c r="E15" i="20"/>
  <c r="E17" i="20" s="1"/>
  <c r="E14" i="20"/>
  <c r="E9" i="20"/>
  <c r="E21" i="20" s="1"/>
  <c r="E20" i="20"/>
  <c r="N10" i="19"/>
  <c r="N11" i="19" s="1"/>
  <c r="Q21" i="19"/>
  <c r="Q22" i="19"/>
  <c r="K29" i="19"/>
  <c r="W31" i="19"/>
  <c r="W29" i="19"/>
  <c r="X32" i="19"/>
  <c r="G9" i="20"/>
  <c r="G21" i="20" s="1"/>
  <c r="G20" i="20"/>
  <c r="G15" i="20"/>
  <c r="G17" i="20" s="1"/>
  <c r="G12" i="20"/>
  <c r="G14" i="20" s="1"/>
  <c r="K21" i="19" l="1"/>
  <c r="T22" i="19"/>
  <c r="X11" i="19"/>
  <c r="I20" i="18"/>
  <c r="Q29" i="19"/>
  <c r="G16" i="21"/>
  <c r="N21" i="19"/>
  <c r="F21" i="18"/>
  <c r="E22" i="19"/>
  <c r="W23" i="19"/>
  <c r="T29" i="19"/>
  <c r="Q30" i="19"/>
  <c r="K30" i="19"/>
  <c r="K22" i="19"/>
  <c r="H23" i="19"/>
  <c r="X20" i="19"/>
  <c r="W21" i="19"/>
  <c r="N29" i="19"/>
  <c r="N30" i="19"/>
  <c r="X28" i="19"/>
  <c r="N14" i="19"/>
  <c r="N46" i="19" s="1"/>
  <c r="N13" i="19"/>
  <c r="N12" i="19"/>
  <c r="K14" i="19"/>
  <c r="K46" i="19" s="1"/>
  <c r="K13" i="19"/>
  <c r="K12" i="19"/>
  <c r="K44" i="19" s="1"/>
  <c r="W14" i="19"/>
  <c r="W13" i="19"/>
  <c r="W12" i="19"/>
  <c r="T14" i="19"/>
  <c r="T46" i="19" s="1"/>
  <c r="T13" i="19"/>
  <c r="T45" i="19" s="1"/>
  <c r="T12" i="19"/>
  <c r="G26" i="18"/>
  <c r="E11" i="20"/>
  <c r="E24" i="20"/>
  <c r="H31" i="19"/>
  <c r="H30" i="19"/>
  <c r="H29" i="19"/>
  <c r="G24" i="20"/>
  <c r="G11" i="20"/>
  <c r="Q14" i="19"/>
  <c r="Q46" i="19" s="1"/>
  <c r="Q13" i="19"/>
  <c r="Q12" i="19"/>
  <c r="X36" i="19"/>
  <c r="G10" i="18" s="1"/>
  <c r="X34" i="19"/>
  <c r="X37" i="19"/>
  <c r="H10" i="18" s="1"/>
  <c r="Q44" i="19"/>
  <c r="H14" i="19"/>
  <c r="H13" i="19"/>
  <c r="H12" i="19"/>
  <c r="I19" i="18"/>
  <c r="E14" i="19"/>
  <c r="E13" i="19"/>
  <c r="E12" i="19"/>
  <c r="E44" i="19" s="1"/>
  <c r="H18" i="18"/>
  <c r="H21" i="18" s="1"/>
  <c r="G21" i="18"/>
  <c r="X10" i="19"/>
  <c r="F24" i="20"/>
  <c r="F11" i="20"/>
  <c r="W44" i="19" l="1"/>
  <c r="X22" i="19"/>
  <c r="G11" i="18" s="1"/>
  <c r="X23" i="19"/>
  <c r="H11" i="18" s="1"/>
  <c r="T44" i="19"/>
  <c r="X21" i="19"/>
  <c r="F11" i="18" s="1"/>
  <c r="K45" i="19"/>
  <c r="Q45" i="19"/>
  <c r="Q47" i="19"/>
  <c r="N44" i="19"/>
  <c r="I18" i="18"/>
  <c r="H45" i="19"/>
  <c r="I21" i="18"/>
  <c r="H46" i="19"/>
  <c r="T47" i="19"/>
  <c r="W46" i="19"/>
  <c r="N45" i="19"/>
  <c r="X31" i="19"/>
  <c r="H12" i="18" s="1"/>
  <c r="X30" i="19"/>
  <c r="G12" i="18" s="1"/>
  <c r="H44" i="19"/>
  <c r="X29" i="19"/>
  <c r="F12" i="18" s="1"/>
  <c r="N47" i="19"/>
  <c r="K47" i="19"/>
  <c r="H47" i="19"/>
  <c r="E47" i="19"/>
  <c r="E25" i="20"/>
  <c r="D51" i="19"/>
  <c r="F15" i="18"/>
  <c r="X14" i="19"/>
  <c r="H9" i="18" s="1"/>
  <c r="X35" i="19"/>
  <c r="F10" i="18" s="1"/>
  <c r="I10" i="18" s="1"/>
  <c r="W47" i="19"/>
  <c r="G25" i="20"/>
  <c r="F51" i="19"/>
  <c r="H15" i="18"/>
  <c r="F25" i="20"/>
  <c r="E51" i="19"/>
  <c r="G15" i="18"/>
  <c r="F52" i="19"/>
  <c r="H16" i="18"/>
  <c r="W45" i="19"/>
  <c r="X12" i="19"/>
  <c r="F9" i="18" s="1"/>
  <c r="E45" i="19"/>
  <c r="E52" i="19"/>
  <c r="G16" i="18"/>
  <c r="D52" i="19"/>
  <c r="F16" i="18"/>
  <c r="I26" i="18"/>
  <c r="X13" i="19"/>
  <c r="G9" i="18" s="1"/>
  <c r="E46" i="19"/>
  <c r="I11" i="18" l="1"/>
  <c r="E54" i="19"/>
  <c r="X44" i="19"/>
  <c r="G17" i="18"/>
  <c r="D54" i="19"/>
  <c r="X46" i="19"/>
  <c r="H13" i="18"/>
  <c r="G13" i="18"/>
  <c r="G22" i="18" s="1"/>
  <c r="G28" i="18" s="1"/>
  <c r="I12" i="18"/>
  <c r="X47" i="19"/>
  <c r="I16" i="18"/>
  <c r="H17" i="18"/>
  <c r="I9" i="18"/>
  <c r="F13" i="18"/>
  <c r="X45" i="19"/>
  <c r="F54" i="19"/>
  <c r="I15" i="18"/>
  <c r="F17" i="18"/>
  <c r="H22" i="18" l="1"/>
  <c r="H28" i="18" s="1"/>
  <c r="I17" i="18"/>
  <c r="I13" i="18"/>
  <c r="F22" i="18"/>
  <c r="I22" i="18" l="1"/>
  <c r="F28" i="18"/>
  <c r="I28" i="18" s="1"/>
  <c r="I30" i="18" l="1"/>
  <c r="B7" i="17" s="1"/>
  <c r="F2" i="3"/>
  <c r="I2" i="3" s="1"/>
  <c r="I8" i="8" l="1"/>
  <c r="F24" i="12"/>
  <c r="G24" i="12" s="1"/>
  <c r="H24" i="12" l="1"/>
  <c r="I24" i="12" s="1"/>
  <c r="J38" i="8"/>
  <c r="K38" i="8"/>
  <c r="I38" i="8"/>
  <c r="K35" i="8"/>
  <c r="K37" i="8" s="1"/>
  <c r="J35" i="8"/>
  <c r="J37" i="8" s="1"/>
  <c r="I37" i="8"/>
  <c r="K33" i="8"/>
  <c r="J33" i="8"/>
  <c r="I33" i="8"/>
  <c r="I30" i="8"/>
  <c r="I24" i="8"/>
  <c r="J24" i="8"/>
  <c r="K24" i="8"/>
  <c r="J11" i="8"/>
  <c r="K11" i="8" s="1"/>
  <c r="J12" i="8"/>
  <c r="K12" i="8" s="1"/>
  <c r="I14" i="8"/>
  <c r="J14" i="8" s="1"/>
  <c r="K14" i="8" s="1"/>
  <c r="I9" i="8"/>
  <c r="J9" i="8" s="1"/>
  <c r="K9" i="8" s="1"/>
  <c r="J8" i="8"/>
  <c r="K8" i="8" s="1"/>
  <c r="I7" i="8"/>
  <c r="J7" i="8" s="1"/>
  <c r="K7" i="8" s="1"/>
  <c r="I6" i="8"/>
  <c r="J6" i="8" s="1"/>
  <c r="K6" i="8" s="1"/>
  <c r="I5" i="8"/>
  <c r="J5" i="8" l="1"/>
  <c r="J29" i="8"/>
  <c r="J30" i="8" s="1"/>
  <c r="K29" i="8"/>
  <c r="K30" i="8" s="1"/>
  <c r="I15" i="8"/>
  <c r="J15" i="8" s="1"/>
  <c r="K15" i="8" s="1"/>
  <c r="I13" i="8"/>
  <c r="J13" i="8" s="1"/>
  <c r="K13" i="8" s="1"/>
  <c r="L17" i="8" s="1"/>
  <c r="K5" i="8" l="1"/>
  <c r="L29" i="2" l="1"/>
  <c r="N29" i="2"/>
  <c r="M29" i="2"/>
  <c r="K29" i="2"/>
  <c r="C27" i="2" l="1"/>
  <c r="F27" i="2" s="1"/>
  <c r="M42" i="5"/>
  <c r="N102" i="2"/>
  <c r="F16" i="5"/>
  <c r="I16" i="5" s="1"/>
  <c r="D48" i="10" l="1"/>
  <c r="F46" i="12"/>
  <c r="H46" i="12" s="1"/>
  <c r="F45" i="12"/>
  <c r="I45" i="12" s="1"/>
  <c r="F44" i="12"/>
  <c r="H44" i="12" s="1"/>
  <c r="G43" i="12"/>
  <c r="I43" i="12" s="1"/>
  <c r="H42" i="12"/>
  <c r="F42" i="12"/>
  <c r="H41" i="12"/>
  <c r="F41" i="12"/>
  <c r="C27" i="12"/>
  <c r="F27" i="12" s="1"/>
  <c r="G27" i="12" s="1"/>
  <c r="F25" i="12"/>
  <c r="C23" i="12"/>
  <c r="F23" i="12" s="1"/>
  <c r="C22" i="12"/>
  <c r="F22" i="12" s="1"/>
  <c r="C21" i="12"/>
  <c r="F21" i="12" s="1"/>
  <c r="H20" i="12"/>
  <c r="G20" i="12"/>
  <c r="F20" i="12"/>
  <c r="F18" i="12"/>
  <c r="F17" i="12"/>
  <c r="I16" i="12"/>
  <c r="F15" i="12"/>
  <c r="G15" i="12" s="1"/>
  <c r="F14" i="12"/>
  <c r="G14" i="12" s="1"/>
  <c r="F13" i="12"/>
  <c r="G13" i="12" s="1"/>
  <c r="D12" i="12"/>
  <c r="F12" i="12" s="1"/>
  <c r="E11" i="12"/>
  <c r="D11" i="12"/>
  <c r="D10" i="12"/>
  <c r="F10" i="12" s="1"/>
  <c r="D9" i="12"/>
  <c r="F9" i="12" s="1"/>
  <c r="D8" i="12"/>
  <c r="F8" i="12" s="1"/>
  <c r="D7" i="12"/>
  <c r="F7" i="12" s="1"/>
  <c r="D6" i="12"/>
  <c r="F6" i="12" s="1"/>
  <c r="D3" i="12"/>
  <c r="C3" i="12"/>
  <c r="C2" i="12"/>
  <c r="F11" i="12" l="1"/>
  <c r="G11" i="12" s="1"/>
  <c r="D2" i="12"/>
  <c r="E2" i="12" s="1"/>
  <c r="I44" i="12"/>
  <c r="G46" i="12"/>
  <c r="I46" i="12" s="1"/>
  <c r="I20" i="12"/>
  <c r="H15" i="12"/>
  <c r="I15" i="12" s="1"/>
  <c r="I41" i="12"/>
  <c r="G18" i="12"/>
  <c r="H18" i="12" s="1"/>
  <c r="G6" i="12"/>
  <c r="H6" i="12"/>
  <c r="H9" i="12"/>
  <c r="G9" i="12"/>
  <c r="H12" i="12"/>
  <c r="G12" i="12"/>
  <c r="F39" i="12"/>
  <c r="G10" i="12"/>
  <c r="H10" i="12"/>
  <c r="G25" i="12"/>
  <c r="H25" i="12" s="1"/>
  <c r="H27" i="12"/>
  <c r="I27" i="12" s="1"/>
  <c r="G7" i="12"/>
  <c r="G8" i="12"/>
  <c r="H13" i="12"/>
  <c r="I13" i="12" s="1"/>
  <c r="H14" i="12"/>
  <c r="I14" i="12" s="1"/>
  <c r="G17" i="12"/>
  <c r="G21" i="12"/>
  <c r="I21" i="12" s="1"/>
  <c r="G22" i="12"/>
  <c r="I22" i="12" s="1"/>
  <c r="G23" i="12"/>
  <c r="H23" i="12" s="1"/>
  <c r="H7" i="12"/>
  <c r="H8" i="12"/>
  <c r="H17" i="12"/>
  <c r="I42" i="12"/>
  <c r="H11" i="12" l="1"/>
  <c r="H19" i="12" s="1"/>
  <c r="F19" i="12"/>
  <c r="I47" i="12"/>
  <c r="I12" i="12"/>
  <c r="I8" i="12"/>
  <c r="I9" i="12"/>
  <c r="I25" i="12"/>
  <c r="I17" i="12"/>
  <c r="I7" i="12"/>
  <c r="I6" i="12"/>
  <c r="I10" i="12"/>
  <c r="I18" i="12"/>
  <c r="I23" i="12"/>
  <c r="I11" i="12"/>
  <c r="H39" i="12"/>
  <c r="G39" i="12"/>
  <c r="I39" i="12"/>
  <c r="G19" i="12"/>
  <c r="I26" i="12" l="1"/>
  <c r="I19" i="12"/>
  <c r="J19" i="12" s="1"/>
  <c r="I38" i="10"/>
  <c r="J38" i="10"/>
  <c r="H38" i="10"/>
  <c r="J34" i="10"/>
  <c r="I34" i="10"/>
  <c r="H34" i="10"/>
  <c r="J26" i="10"/>
  <c r="I26" i="10"/>
  <c r="H26" i="10"/>
  <c r="J23" i="10"/>
  <c r="I23" i="10"/>
  <c r="H23" i="10"/>
  <c r="J20" i="10"/>
  <c r="I20" i="10"/>
  <c r="H20" i="10"/>
  <c r="J14" i="10"/>
  <c r="I14" i="10"/>
  <c r="H14" i="10"/>
  <c r="J9" i="10"/>
  <c r="I9" i="10"/>
  <c r="H9" i="10"/>
  <c r="J7" i="10"/>
  <c r="I7" i="10"/>
  <c r="H7" i="10"/>
  <c r="J6" i="10"/>
  <c r="I6" i="10"/>
  <c r="H6" i="10"/>
  <c r="J5" i="10"/>
  <c r="I5" i="10"/>
  <c r="H5" i="10"/>
  <c r="I49" i="12" l="1"/>
  <c r="J10" i="10"/>
  <c r="J11" i="10" s="1"/>
  <c r="J30" i="10" s="1"/>
  <c r="J41" i="10" s="1"/>
  <c r="H10" i="10"/>
  <c r="H11" i="10" s="1"/>
  <c r="H30" i="10" s="1"/>
  <c r="H41" i="10" s="1"/>
  <c r="I10" i="10"/>
  <c r="I11" i="10" s="1"/>
  <c r="I30" i="10" s="1"/>
  <c r="I41" i="10" s="1"/>
  <c r="J42" i="10" l="1"/>
  <c r="J44" i="10" l="1"/>
  <c r="B4" i="17" s="1"/>
  <c r="D13" i="9" l="1"/>
  <c r="C13" i="9"/>
  <c r="B13" i="9"/>
  <c r="D7" i="9"/>
  <c r="D8" i="9" s="1"/>
  <c r="C7" i="9"/>
  <c r="C8" i="9" s="1"/>
  <c r="B7" i="9"/>
  <c r="B8" i="9" s="1"/>
  <c r="D5" i="9"/>
  <c r="D9" i="9" s="1"/>
  <c r="D10" i="9" s="1"/>
  <c r="C5" i="9"/>
  <c r="C6" i="9" s="1"/>
  <c r="B5" i="9"/>
  <c r="B9" i="9" s="1"/>
  <c r="B10" i="9" s="1"/>
  <c r="K23" i="8"/>
  <c r="J23" i="8"/>
  <c r="I23" i="8"/>
  <c r="I10" i="8"/>
  <c r="C9" i="9" l="1"/>
  <c r="C10" i="9" s="1"/>
  <c r="J41" i="8" s="1"/>
  <c r="D6" i="9"/>
  <c r="I27" i="8"/>
  <c r="J27" i="8"/>
  <c r="K27" i="8"/>
  <c r="J10" i="8"/>
  <c r="I16" i="8"/>
  <c r="I17" i="8" s="1"/>
  <c r="B6" i="9"/>
  <c r="I41" i="8" s="1"/>
  <c r="K41" i="8"/>
  <c r="F62" i="2"/>
  <c r="G62" i="2" s="1"/>
  <c r="F61" i="2"/>
  <c r="C60" i="2"/>
  <c r="F60" i="2" s="1"/>
  <c r="C57" i="2"/>
  <c r="F57" i="2" s="1"/>
  <c r="I57" i="2" s="1"/>
  <c r="F56" i="2"/>
  <c r="F55" i="2"/>
  <c r="L79" i="7"/>
  <c r="F76" i="7"/>
  <c r="R76" i="7" s="1"/>
  <c r="F75" i="7"/>
  <c r="I75" i="7" s="1"/>
  <c r="R74" i="7"/>
  <c r="L73" i="7"/>
  <c r="R72" i="7"/>
  <c r="F70" i="7"/>
  <c r="R70" i="7" s="1"/>
  <c r="F69" i="7"/>
  <c r="R69" i="7" s="1"/>
  <c r="F68" i="7"/>
  <c r="R68" i="7" s="1"/>
  <c r="R71" i="7" s="1"/>
  <c r="R66" i="7"/>
  <c r="F64" i="7"/>
  <c r="I64" i="7" s="1"/>
  <c r="F63" i="7"/>
  <c r="R63" i="7" s="1"/>
  <c r="R62" i="7"/>
  <c r="O62" i="7"/>
  <c r="L62" i="7"/>
  <c r="I62" i="7"/>
  <c r="R61" i="7"/>
  <c r="O61" i="7"/>
  <c r="L61" i="7"/>
  <c r="I61" i="7"/>
  <c r="R60" i="7"/>
  <c r="O60" i="7"/>
  <c r="L60" i="7"/>
  <c r="I60" i="7"/>
  <c r="R59" i="7"/>
  <c r="O59" i="7"/>
  <c r="L59" i="7"/>
  <c r="I59" i="7"/>
  <c r="R58" i="7"/>
  <c r="O58" i="7"/>
  <c r="L58" i="7"/>
  <c r="I58" i="7"/>
  <c r="R57" i="7"/>
  <c r="O57" i="7"/>
  <c r="L57" i="7"/>
  <c r="I57" i="7"/>
  <c r="B57" i="7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O56" i="7"/>
  <c r="R55" i="7"/>
  <c r="O54" i="7"/>
  <c r="R53" i="7"/>
  <c r="O52" i="7"/>
  <c r="R51" i="7"/>
  <c r="O50" i="7"/>
  <c r="R49" i="7"/>
  <c r="F47" i="7"/>
  <c r="F46" i="7"/>
  <c r="I46" i="7" s="1"/>
  <c r="F45" i="7"/>
  <c r="R45" i="7" s="1"/>
  <c r="R44" i="7"/>
  <c r="O44" i="7"/>
  <c r="L44" i="7"/>
  <c r="I44" i="7"/>
  <c r="R43" i="7"/>
  <c r="O43" i="7"/>
  <c r="L43" i="7"/>
  <c r="I43" i="7"/>
  <c r="F42" i="7"/>
  <c r="R42" i="7" s="1"/>
  <c r="F41" i="7"/>
  <c r="I41" i="7" s="1"/>
  <c r="R40" i="7"/>
  <c r="R39" i="7"/>
  <c r="R38" i="7"/>
  <c r="L37" i="7"/>
  <c r="R36" i="7"/>
  <c r="R35" i="7"/>
  <c r="R34" i="7"/>
  <c r="R33" i="7"/>
  <c r="R32" i="7"/>
  <c r="R31" i="7"/>
  <c r="R30" i="7"/>
  <c r="F28" i="7"/>
  <c r="R28" i="7" s="1"/>
  <c r="F27" i="7"/>
  <c r="R27" i="7" s="1"/>
  <c r="F26" i="7"/>
  <c r="O26" i="7" s="1"/>
  <c r="F25" i="7"/>
  <c r="R25" i="7" s="1"/>
  <c r="F24" i="7"/>
  <c r="R24" i="7" s="1"/>
  <c r="F23" i="7"/>
  <c r="R23" i="7" s="1"/>
  <c r="F22" i="7"/>
  <c r="O22" i="7" s="1"/>
  <c r="F21" i="7"/>
  <c r="R21" i="7" s="1"/>
  <c r="F20" i="7"/>
  <c r="R20" i="7" s="1"/>
  <c r="F19" i="7"/>
  <c r="R19" i="7" s="1"/>
  <c r="F18" i="7"/>
  <c r="O18" i="7" s="1"/>
  <c r="R17" i="7"/>
  <c r="R16" i="7"/>
  <c r="R15" i="7"/>
  <c r="F13" i="7"/>
  <c r="R13" i="7" s="1"/>
  <c r="F12" i="7"/>
  <c r="R12" i="7" s="1"/>
  <c r="F11" i="7"/>
  <c r="R11" i="7" s="1"/>
  <c r="R14" i="7" s="1"/>
  <c r="R10" i="7"/>
  <c r="O10" i="7"/>
  <c r="L10" i="7"/>
  <c r="I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R9" i="7"/>
  <c r="O9" i="7"/>
  <c r="L9" i="7"/>
  <c r="I9" i="7"/>
  <c r="R65" i="7" l="1"/>
  <c r="I20" i="7"/>
  <c r="L20" i="7"/>
  <c r="L15" i="7"/>
  <c r="I24" i="7"/>
  <c r="L32" i="7"/>
  <c r="L35" i="7"/>
  <c r="R37" i="7"/>
  <c r="L40" i="7"/>
  <c r="I45" i="7"/>
  <c r="O35" i="7"/>
  <c r="L45" i="7"/>
  <c r="O13" i="7"/>
  <c r="L28" i="7"/>
  <c r="L74" i="7"/>
  <c r="L66" i="7"/>
  <c r="L72" i="7"/>
  <c r="I13" i="7"/>
  <c r="I28" i="7"/>
  <c r="S59" i="7"/>
  <c r="O66" i="7"/>
  <c r="I39" i="8"/>
  <c r="I11" i="7"/>
  <c r="I19" i="7"/>
  <c r="I23" i="7"/>
  <c r="I25" i="7"/>
  <c r="I27" i="7"/>
  <c r="R50" i="7"/>
  <c r="O79" i="7"/>
  <c r="L17" i="7"/>
  <c r="O21" i="7"/>
  <c r="L25" i="7"/>
  <c r="R54" i="7"/>
  <c r="L64" i="7"/>
  <c r="O73" i="7"/>
  <c r="L75" i="7"/>
  <c r="O75" i="7"/>
  <c r="K10" i="8"/>
  <c r="J16" i="8"/>
  <c r="J17" i="8" s="1"/>
  <c r="J39" i="8" s="1"/>
  <c r="J43" i="8" s="1"/>
  <c r="G61" i="2"/>
  <c r="H61" i="2" s="1"/>
  <c r="L21" i="7"/>
  <c r="O37" i="7"/>
  <c r="O46" i="7"/>
  <c r="I12" i="7"/>
  <c r="O15" i="7"/>
  <c r="O25" i="7"/>
  <c r="L30" i="7"/>
  <c r="L33" i="7"/>
  <c r="L38" i="7"/>
  <c r="S43" i="7"/>
  <c r="L51" i="7"/>
  <c r="L55" i="7"/>
  <c r="I63" i="7"/>
  <c r="I65" i="7" s="1"/>
  <c r="I69" i="7"/>
  <c r="R73" i="7"/>
  <c r="L12" i="7"/>
  <c r="O33" i="7"/>
  <c r="L63" i="7"/>
  <c r="L65" i="7" s="1"/>
  <c r="I76" i="7"/>
  <c r="I77" i="7" s="1"/>
  <c r="L31" i="7"/>
  <c r="L36" i="7"/>
  <c r="L39" i="7"/>
  <c r="L41" i="7"/>
  <c r="R52" i="7"/>
  <c r="R56" i="7"/>
  <c r="I70" i="7"/>
  <c r="O31" i="7"/>
  <c r="O39" i="7"/>
  <c r="O41" i="7"/>
  <c r="S58" i="7"/>
  <c r="S60" i="7"/>
  <c r="S62" i="7"/>
  <c r="L70" i="7"/>
  <c r="L13" i="7"/>
  <c r="O17" i="7"/>
  <c r="I21" i="7"/>
  <c r="L24" i="7"/>
  <c r="L34" i="7"/>
  <c r="S44" i="7"/>
  <c r="L46" i="7"/>
  <c r="L49" i="7"/>
  <c r="L53" i="7"/>
  <c r="O64" i="7"/>
  <c r="H62" i="2"/>
  <c r="I62" i="2" s="1"/>
  <c r="G60" i="2"/>
  <c r="H60" i="2" s="1"/>
  <c r="G59" i="2"/>
  <c r="I58" i="2"/>
  <c r="I56" i="2"/>
  <c r="G55" i="2"/>
  <c r="H55" i="2" s="1"/>
  <c r="S10" i="7"/>
  <c r="R18" i="7"/>
  <c r="R22" i="7"/>
  <c r="R26" i="7"/>
  <c r="O47" i="7"/>
  <c r="L47" i="7"/>
  <c r="I47" i="7"/>
  <c r="L11" i="7"/>
  <c r="L14" i="7" s="1"/>
  <c r="O12" i="7"/>
  <c r="L16" i="7"/>
  <c r="I18" i="7"/>
  <c r="L19" i="7"/>
  <c r="O20" i="7"/>
  <c r="I22" i="7"/>
  <c r="L23" i="7"/>
  <c r="O24" i="7"/>
  <c r="I26" i="7"/>
  <c r="L27" i="7"/>
  <c r="O28" i="7"/>
  <c r="O30" i="7"/>
  <c r="O32" i="7"/>
  <c r="O34" i="7"/>
  <c r="O36" i="7"/>
  <c r="O38" i="7"/>
  <c r="O40" i="7"/>
  <c r="R47" i="7"/>
  <c r="S61" i="7"/>
  <c r="O68" i="7"/>
  <c r="O71" i="7" s="1"/>
  <c r="L68" i="7"/>
  <c r="L71" i="7" s="1"/>
  <c r="I68" i="7"/>
  <c r="R78" i="7"/>
  <c r="O78" i="7"/>
  <c r="L78" i="7"/>
  <c r="R80" i="7"/>
  <c r="O80" i="7"/>
  <c r="L80" i="7"/>
  <c r="O11" i="7"/>
  <c r="O14" i="7" s="1"/>
  <c r="O16" i="7"/>
  <c r="L18" i="7"/>
  <c r="O19" i="7"/>
  <c r="O29" i="7" s="1"/>
  <c r="L22" i="7"/>
  <c r="O23" i="7"/>
  <c r="L26" i="7"/>
  <c r="O27" i="7"/>
  <c r="S57" i="7"/>
  <c r="S9" i="7"/>
  <c r="O42" i="7"/>
  <c r="L42" i="7"/>
  <c r="I42" i="7"/>
  <c r="I48" i="7" s="1"/>
  <c r="R67" i="7"/>
  <c r="O67" i="7"/>
  <c r="L67" i="7"/>
  <c r="R41" i="7"/>
  <c r="R48" i="7" s="1"/>
  <c r="O45" i="7"/>
  <c r="R46" i="7"/>
  <c r="O49" i="7"/>
  <c r="O51" i="7"/>
  <c r="O53" i="7"/>
  <c r="O55" i="7"/>
  <c r="O63" i="7"/>
  <c r="O65" i="7" s="1"/>
  <c r="R64" i="7"/>
  <c r="L69" i="7"/>
  <c r="O70" i="7"/>
  <c r="O72" i="7"/>
  <c r="O74" i="7"/>
  <c r="R75" i="7"/>
  <c r="R77" i="7" s="1"/>
  <c r="L76" i="7"/>
  <c r="R79" i="7"/>
  <c r="L50" i="7"/>
  <c r="L52" i="7"/>
  <c r="L54" i="7"/>
  <c r="L56" i="7"/>
  <c r="O69" i="7"/>
  <c r="O76" i="7"/>
  <c r="H59" i="2" l="1"/>
  <c r="I59" i="2"/>
  <c r="I29" i="7"/>
  <c r="O48" i="7"/>
  <c r="O77" i="7"/>
  <c r="R29" i="7"/>
  <c r="L77" i="7"/>
  <c r="L29" i="7"/>
  <c r="I71" i="7"/>
  <c r="L48" i="7"/>
  <c r="I14" i="7"/>
  <c r="S55" i="7"/>
  <c r="S20" i="7"/>
  <c r="S79" i="7"/>
  <c r="S40" i="7"/>
  <c r="S54" i="7"/>
  <c r="C50" i="2"/>
  <c r="F50" i="2" s="1"/>
  <c r="G50" i="2" s="1"/>
  <c r="H50" i="2" s="1"/>
  <c r="S38" i="7"/>
  <c r="S52" i="7"/>
  <c r="S17" i="7"/>
  <c r="S49" i="7"/>
  <c r="S32" i="7"/>
  <c r="S21" i="7"/>
  <c r="S45" i="7"/>
  <c r="S51" i="7"/>
  <c r="S13" i="7"/>
  <c r="S15" i="7"/>
  <c r="S37" i="7"/>
  <c r="S66" i="7"/>
  <c r="S70" i="7"/>
  <c r="S73" i="7"/>
  <c r="S35" i="7"/>
  <c r="S74" i="7"/>
  <c r="S53" i="7"/>
  <c r="S42" i="7"/>
  <c r="S36" i="7"/>
  <c r="S28" i="7"/>
  <c r="S34" i="7"/>
  <c r="S69" i="7"/>
  <c r="S30" i="7"/>
  <c r="S24" i="7"/>
  <c r="S11" i="7"/>
  <c r="S50" i="7"/>
  <c r="S80" i="7"/>
  <c r="S26" i="7"/>
  <c r="S25" i="7"/>
  <c r="S41" i="7"/>
  <c r="K16" i="8"/>
  <c r="K17" i="8" s="1"/>
  <c r="K39" i="8" s="1"/>
  <c r="B3" i="17" s="1"/>
  <c r="I43" i="8"/>
  <c r="I61" i="2"/>
  <c r="C54" i="2"/>
  <c r="F54" i="2" s="1"/>
  <c r="G54" i="2" s="1"/>
  <c r="H54" i="2" s="1"/>
  <c r="I54" i="2" s="1"/>
  <c r="S46" i="7"/>
  <c r="S27" i="7"/>
  <c r="S33" i="7"/>
  <c r="S19" i="7"/>
  <c r="S23" i="7"/>
  <c r="S39" i="7"/>
  <c r="S56" i="7"/>
  <c r="S31" i="7"/>
  <c r="I60" i="2"/>
  <c r="I55" i="2"/>
  <c r="S67" i="7"/>
  <c r="S78" i="7"/>
  <c r="S68" i="7"/>
  <c r="S22" i="7"/>
  <c r="S16" i="7"/>
  <c r="S75" i="7"/>
  <c r="S72" i="7"/>
  <c r="S47" i="7"/>
  <c r="S12" i="7"/>
  <c r="S76" i="7"/>
  <c r="S64" i="7"/>
  <c r="S18" i="7"/>
  <c r="S63" i="7"/>
  <c r="I50" i="2" l="1"/>
  <c r="S65" i="7"/>
  <c r="S77" i="7"/>
  <c r="R81" i="7"/>
  <c r="S71" i="7"/>
  <c r="K43" i="8"/>
  <c r="L43" i="8" s="1"/>
  <c r="O81" i="7"/>
  <c r="S14" i="7"/>
  <c r="S29" i="7"/>
  <c r="I81" i="7"/>
  <c r="S48" i="7"/>
  <c r="L81" i="7"/>
  <c r="C51" i="2" l="1"/>
  <c r="F51" i="2" s="1"/>
  <c r="G51" i="2" s="1"/>
  <c r="H51" i="2" s="1"/>
  <c r="I51" i="2" s="1"/>
  <c r="C53" i="2"/>
  <c r="F53" i="2" s="1"/>
  <c r="G53" i="2" s="1"/>
  <c r="H53" i="2" s="1"/>
  <c r="S81" i="7"/>
  <c r="R83" i="7" s="1"/>
  <c r="C52" i="2"/>
  <c r="F52" i="2" s="1"/>
  <c r="I53" i="2" l="1"/>
  <c r="G52" i="2"/>
  <c r="H52" i="2" s="1"/>
  <c r="I52" i="2" l="1"/>
  <c r="D45" i="2"/>
  <c r="F45" i="2" s="1"/>
  <c r="H45" i="2" l="1"/>
  <c r="G45" i="2"/>
  <c r="F37" i="5"/>
  <c r="F36" i="5"/>
  <c r="G36" i="5" s="1"/>
  <c r="F35" i="5"/>
  <c r="F34" i="5"/>
  <c r="I34" i="5" s="1"/>
  <c r="F28" i="5"/>
  <c r="I28" i="5" s="1"/>
  <c r="E29" i="5"/>
  <c r="C29" i="5"/>
  <c r="G35" i="5" l="1"/>
  <c r="I35" i="5" s="1"/>
  <c r="I45" i="2"/>
  <c r="G37" i="5"/>
  <c r="I36" i="5"/>
  <c r="D23" i="2"/>
  <c r="F23" i="2" s="1"/>
  <c r="D22" i="2"/>
  <c r="F22" i="2" s="1"/>
  <c r="E15" i="5"/>
  <c r="F15" i="5" s="1"/>
  <c r="G15" i="5" s="1"/>
  <c r="F16" i="2"/>
  <c r="H16" i="2" s="1"/>
  <c r="E17" i="5"/>
  <c r="F17" i="5" s="1"/>
  <c r="I17" i="5" s="1"/>
  <c r="F24" i="5"/>
  <c r="G24" i="5" s="1"/>
  <c r="H24" i="5" s="1"/>
  <c r="F23" i="5"/>
  <c r="I23" i="5" s="1"/>
  <c r="F18" i="5"/>
  <c r="G18" i="5" s="1"/>
  <c r="I41" i="5" l="1"/>
  <c r="I37" i="5"/>
  <c r="H23" i="2"/>
  <c r="G23" i="2"/>
  <c r="G22" i="2"/>
  <c r="H22" i="2"/>
  <c r="G16" i="2"/>
  <c r="I24" i="5"/>
  <c r="I25" i="5" s="1"/>
  <c r="H18" i="5"/>
  <c r="I18" i="5" s="1"/>
  <c r="H15" i="5"/>
  <c r="I23" i="2" l="1"/>
  <c r="I22" i="2"/>
  <c r="I15" i="5"/>
  <c r="F29" i="5" l="1"/>
  <c r="F27" i="5"/>
  <c r="I27" i="5" s="1"/>
  <c r="F21" i="5"/>
  <c r="G21" i="5" s="1"/>
  <c r="F20" i="5"/>
  <c r="G20" i="5" s="1"/>
  <c r="F19" i="5"/>
  <c r="G19" i="5" s="1"/>
  <c r="H19" i="5" s="1"/>
  <c r="I19" i="5" s="1"/>
  <c r="F14" i="5"/>
  <c r="G14" i="5" s="1"/>
  <c r="D13" i="5"/>
  <c r="F13" i="5" s="1"/>
  <c r="D12" i="5"/>
  <c r="F12" i="5" s="1"/>
  <c r="H12" i="5" s="1"/>
  <c r="D11" i="5"/>
  <c r="F11" i="5" s="1"/>
  <c r="G11" i="5" s="1"/>
  <c r="D10" i="5"/>
  <c r="F10" i="5" s="1"/>
  <c r="E3" i="5"/>
  <c r="H3" i="5" s="1"/>
  <c r="D3" i="5"/>
  <c r="D5" i="5" s="1"/>
  <c r="C3" i="5"/>
  <c r="F3" i="5" s="1"/>
  <c r="G29" i="5" l="1"/>
  <c r="H29" i="5" s="1"/>
  <c r="F22" i="5"/>
  <c r="G3" i="5"/>
  <c r="E5" i="5"/>
  <c r="E4" i="5"/>
  <c r="D4" i="5"/>
  <c r="H21" i="5"/>
  <c r="I21" i="5" s="1"/>
  <c r="H20" i="5"/>
  <c r="I20" i="5" s="1"/>
  <c r="H14" i="5"/>
  <c r="I14" i="5" s="1"/>
  <c r="H10" i="5"/>
  <c r="G10" i="5"/>
  <c r="H13" i="5"/>
  <c r="C5" i="5"/>
  <c r="C4" i="5"/>
  <c r="G12" i="5"/>
  <c r="I12" i="5" s="1"/>
  <c r="G13" i="5"/>
  <c r="H11" i="5"/>
  <c r="I11" i="5" s="1"/>
  <c r="F3" i="4"/>
  <c r="I3" i="4" s="1"/>
  <c r="F2" i="4"/>
  <c r="I2" i="4" s="1"/>
  <c r="F6" i="3"/>
  <c r="I6" i="3" s="1"/>
  <c r="F5" i="3"/>
  <c r="I5" i="3" s="1"/>
  <c r="F4" i="3"/>
  <c r="I4" i="3" s="1"/>
  <c r="F3" i="3"/>
  <c r="I3" i="3" s="1"/>
  <c r="I7" i="3" l="1"/>
  <c r="I4" i="4"/>
  <c r="I38" i="5"/>
  <c r="I29" i="5"/>
  <c r="I30" i="5" s="1"/>
  <c r="H22" i="5"/>
  <c r="G22" i="5"/>
  <c r="I10" i="5"/>
  <c r="I13" i="5"/>
  <c r="F5" i="5"/>
  <c r="G5" i="5" s="1"/>
  <c r="F4" i="5"/>
  <c r="F94" i="2"/>
  <c r="F92" i="2"/>
  <c r="F93" i="2"/>
  <c r="I93" i="2" s="1"/>
  <c r="F85" i="2"/>
  <c r="G85" i="2" s="1"/>
  <c r="E84" i="2"/>
  <c r="F84" i="2" s="1"/>
  <c r="G84" i="2" s="1"/>
  <c r="F83" i="2"/>
  <c r="I83" i="2" s="1"/>
  <c r="F89" i="2"/>
  <c r="F88" i="2"/>
  <c r="F87" i="2"/>
  <c r="F86" i="2"/>
  <c r="D82" i="2"/>
  <c r="F82" i="2" s="1"/>
  <c r="G82" i="2" s="1"/>
  <c r="D81" i="2"/>
  <c r="F81" i="2" s="1"/>
  <c r="D80" i="2"/>
  <c r="F80" i="2" s="1"/>
  <c r="G80" i="2" s="1"/>
  <c r="D79" i="2"/>
  <c r="F79" i="2" s="1"/>
  <c r="F76" i="2"/>
  <c r="I76" i="2" s="1"/>
  <c r="F75" i="2"/>
  <c r="I75" i="2" s="1"/>
  <c r="F74" i="2"/>
  <c r="I74" i="2" s="1"/>
  <c r="C73" i="2"/>
  <c r="F73" i="2" s="1"/>
  <c r="I73" i="2" s="1"/>
  <c r="F72" i="2"/>
  <c r="I72" i="2" s="1"/>
  <c r="F71" i="2"/>
  <c r="I71" i="2" s="1"/>
  <c r="F70" i="2"/>
  <c r="I70" i="2" s="1"/>
  <c r="F69" i="2"/>
  <c r="I69" i="2" s="1"/>
  <c r="F49" i="2"/>
  <c r="F48" i="2"/>
  <c r="I48" i="2" s="1"/>
  <c r="E47" i="2"/>
  <c r="F47" i="2" s="1"/>
  <c r="G47" i="2" s="1"/>
  <c r="H47" i="2" s="1"/>
  <c r="F44" i="2"/>
  <c r="G44" i="2" s="1"/>
  <c r="F43" i="2"/>
  <c r="G43" i="2" s="1"/>
  <c r="H43" i="2" s="1"/>
  <c r="F42" i="2"/>
  <c r="F41" i="2"/>
  <c r="G41" i="2" s="1"/>
  <c r="H41" i="2" s="1"/>
  <c r="I41" i="2" s="1"/>
  <c r="D3" i="2"/>
  <c r="E3" i="2"/>
  <c r="C3" i="2"/>
  <c r="C39" i="2"/>
  <c r="F36" i="2"/>
  <c r="G36" i="2" s="1"/>
  <c r="E37" i="2"/>
  <c r="F37" i="2" s="1"/>
  <c r="G37" i="2" s="1"/>
  <c r="H37" i="2" s="1"/>
  <c r="F35" i="2"/>
  <c r="G35" i="2" s="1"/>
  <c r="H35" i="2" s="1"/>
  <c r="F34" i="2"/>
  <c r="F30" i="2"/>
  <c r="H27" i="2"/>
  <c r="H39" i="2" l="1"/>
  <c r="G39" i="2"/>
  <c r="F39" i="2"/>
  <c r="C5" i="2"/>
  <c r="F26" i="2" s="1"/>
  <c r="C4" i="2"/>
  <c r="J3" i="2"/>
  <c r="G92" i="2"/>
  <c r="H92" i="2" s="1"/>
  <c r="D5" i="2"/>
  <c r="G26" i="2" s="1"/>
  <c r="E4" i="2"/>
  <c r="F90" i="2"/>
  <c r="F3" i="2"/>
  <c r="I5" i="2"/>
  <c r="I22" i="5"/>
  <c r="B6" i="17" s="1"/>
  <c r="G30" i="2"/>
  <c r="F31" i="2"/>
  <c r="G94" i="2"/>
  <c r="H94" i="2" s="1"/>
  <c r="H85" i="2"/>
  <c r="I85" i="2" s="1"/>
  <c r="H84" i="2"/>
  <c r="H80" i="2"/>
  <c r="I80" i="2" s="1"/>
  <c r="H82" i="2"/>
  <c r="I82" i="2" s="1"/>
  <c r="H79" i="2"/>
  <c r="G79" i="2"/>
  <c r="G81" i="2"/>
  <c r="H81" i="2"/>
  <c r="G86" i="2"/>
  <c r="G87" i="2"/>
  <c r="H87" i="2" s="1"/>
  <c r="G88" i="2"/>
  <c r="G89" i="2"/>
  <c r="H86" i="2"/>
  <c r="H88" i="2"/>
  <c r="H89" i="2"/>
  <c r="I43" i="2"/>
  <c r="G27" i="2"/>
  <c r="I49" i="2"/>
  <c r="I47" i="2"/>
  <c r="H44" i="2"/>
  <c r="I44" i="2" s="1"/>
  <c r="G42" i="2"/>
  <c r="H42" i="2" s="1"/>
  <c r="E5" i="2"/>
  <c r="H26" i="2" s="1"/>
  <c r="G3" i="2"/>
  <c r="H3" i="2"/>
  <c r="D4" i="2"/>
  <c r="I35" i="2"/>
  <c r="G34" i="2"/>
  <c r="H34" i="2" s="1"/>
  <c r="H36" i="2"/>
  <c r="I36" i="2" s="1"/>
  <c r="I37" i="2"/>
  <c r="I39" i="2" l="1"/>
  <c r="I67" i="2"/>
  <c r="H103" i="2" s="1"/>
  <c r="B15" i="17" s="1"/>
  <c r="I44" i="5"/>
  <c r="I92" i="2"/>
  <c r="I94" i="2"/>
  <c r="I99" i="2"/>
  <c r="G90" i="2"/>
  <c r="I84" i="2"/>
  <c r="H90" i="2"/>
  <c r="I88" i="2"/>
  <c r="H30" i="2"/>
  <c r="H31" i="2" s="1"/>
  <c r="G31" i="2"/>
  <c r="I79" i="2"/>
  <c r="I86" i="2"/>
  <c r="I89" i="2"/>
  <c r="I81" i="2"/>
  <c r="I87" i="2"/>
  <c r="F5" i="2"/>
  <c r="G5" i="2" s="1"/>
  <c r="F4" i="2"/>
  <c r="H105" i="2"/>
  <c r="I42" i="2"/>
  <c r="I34" i="2"/>
  <c r="I96" i="2" l="1"/>
  <c r="I77" i="2"/>
  <c r="I30" i="2"/>
  <c r="I90" i="2"/>
  <c r="J90" i="2" s="1"/>
  <c r="I38" i="2"/>
  <c r="M103" i="2" l="1"/>
  <c r="I27" i="2"/>
  <c r="I31" i="2"/>
  <c r="F20" i="2"/>
  <c r="F19" i="2"/>
  <c r="F18" i="2"/>
  <c r="F17" i="2"/>
  <c r="G17" i="2" s="1"/>
  <c r="H17" i="2" s="1"/>
  <c r="I17" i="2" s="1"/>
  <c r="F15" i="2"/>
  <c r="G15" i="2" s="1"/>
  <c r="D14" i="2"/>
  <c r="F14" i="2" s="1"/>
  <c r="D13" i="2"/>
  <c r="F13" i="2" s="1"/>
  <c r="D12" i="2"/>
  <c r="F12" i="2" s="1"/>
  <c r="D11" i="2"/>
  <c r="F11" i="2" s="1"/>
  <c r="G11" i="2" s="1"/>
  <c r="D10" i="2"/>
  <c r="F10" i="2" s="1"/>
  <c r="D9" i="2"/>
  <c r="F9" i="2" s="1"/>
  <c r="F21" i="2" l="1"/>
  <c r="I26" i="2"/>
  <c r="I29" i="2" s="1"/>
  <c r="H104" i="2" s="1"/>
  <c r="B11" i="17" s="1"/>
  <c r="H15" i="2"/>
  <c r="I15" i="2" s="1"/>
  <c r="H12" i="2"/>
  <c r="G12" i="2"/>
  <c r="H13" i="2"/>
  <c r="G13" i="2"/>
  <c r="I16" i="2"/>
  <c r="H10" i="2"/>
  <c r="G10" i="2"/>
  <c r="G14" i="2"/>
  <c r="H14" i="2"/>
  <c r="G20" i="2"/>
  <c r="H20" i="2" s="1"/>
  <c r="G19" i="2"/>
  <c r="H19" i="2"/>
  <c r="G18" i="2"/>
  <c r="H18" i="2"/>
  <c r="H11" i="2"/>
  <c r="I11" i="2" s="1"/>
  <c r="G9" i="2"/>
  <c r="H9" i="2"/>
  <c r="H21" i="2" l="1"/>
  <c r="G21" i="2"/>
  <c r="I12" i="2"/>
  <c r="I13" i="2"/>
  <c r="I10" i="2"/>
  <c r="I18" i="2"/>
  <c r="I9" i="2"/>
  <c r="I19" i="2"/>
  <c r="I14" i="2"/>
  <c r="I20" i="2"/>
  <c r="I21" i="2" l="1"/>
  <c r="J21" i="2" l="1"/>
  <c r="H102" i="2" s="1"/>
  <c r="I102" i="2" s="1"/>
  <c r="J102" i="2" l="1"/>
  <c r="B5" i="17" s="1"/>
  <c r="B21" i="17" s="1"/>
  <c r="I105" i="2"/>
  <c r="B24" i="17" l="1"/>
  <c r="B25" i="17" s="1"/>
</calcChain>
</file>

<file path=xl/comments1.xml><?xml version="1.0" encoding="utf-8"?>
<comments xmlns="http://schemas.openxmlformats.org/spreadsheetml/2006/main">
  <authors>
    <author>Dinara Duishenova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Dinara Duishenova:</t>
        </r>
        <r>
          <rPr>
            <sz val="9"/>
            <color indexed="81"/>
            <rFont val="Tahoma"/>
            <family val="2"/>
            <charset val="204"/>
          </rPr>
          <t xml:space="preserve">
исправить на заработную плату</t>
        </r>
      </text>
    </comment>
  </commentList>
</comments>
</file>

<file path=xl/sharedStrings.xml><?xml version="1.0" encoding="utf-8"?>
<sst xmlns="http://schemas.openxmlformats.org/spreadsheetml/2006/main" count="2040" uniqueCount="1024">
  <si>
    <t>Модули</t>
  </si>
  <si>
    <t>Мероприятия</t>
  </si>
  <si>
    <r>
      <rPr>
        <b/>
        <sz val="14"/>
        <color theme="1"/>
        <rFont val="Arial"/>
        <family val="2"/>
        <charset val="204"/>
      </rPr>
      <t xml:space="preserve">Детализация мероприятий </t>
    </r>
    <r>
      <rPr>
        <b/>
        <sz val="14"/>
        <color rgb="FFFF0000"/>
        <rFont val="Arial"/>
        <family val="2"/>
        <charset val="204"/>
      </rPr>
      <t>(на все расходы по человеческим ресурсам включить отдельной строкой 17,25 %)</t>
    </r>
  </si>
  <si>
    <t>Кол-во</t>
  </si>
  <si>
    <t xml:space="preserve">Стоимость </t>
  </si>
  <si>
    <t>Общая сумма</t>
  </si>
  <si>
    <t>М 1</t>
  </si>
  <si>
    <t>RSSH: Планирование и управление сектором здравоохранения для интегрированных услуг, ориентированных на людей</t>
  </si>
  <si>
    <r>
      <rPr>
        <sz val="11"/>
        <color theme="1"/>
        <rFont val="Arial"/>
        <family val="2"/>
        <charset val="204"/>
      </rPr>
      <t>2.</t>
    </r>
    <r>
      <rPr>
        <sz val="7"/>
        <color theme="1"/>
        <rFont val="Arial"/>
        <family val="2"/>
        <charset val="204"/>
      </rPr>
      <t xml:space="preserve">     </t>
    </r>
    <r>
      <rPr>
        <sz val="11"/>
        <color theme="1"/>
        <rFont val="Arial"/>
        <family val="2"/>
        <charset val="204"/>
      </rPr>
      <t>Пересмотр программы оптимизации противотуберкулезной службы и разработка, реализация дорожной карты по переходу на амбулаторное лечение ТБ.</t>
    </r>
  </si>
  <si>
    <t>6. Разработка и утверждение национальных политик, механизмов оказания услуг в связи с вирусными гепатитами в интеграции с услугами в связи с ВИЧ.</t>
  </si>
  <si>
    <t>8. Расширение механизмов применения государственного социального заказа, включая сферу ТБ, пробации, ПМСП из республиканских и местных источников. В том числе разработка и утверждение нормативов оплаты труда, обеспечения непрерывности финансирования, повышение потенциала заказчиков услуг и НПО по механизмам ГСЗ</t>
  </si>
  <si>
    <t>М 2</t>
  </si>
  <si>
    <t>RSSH: Укрепление систем сообществ</t>
  </si>
  <si>
    <t>Мониторинг под руководством сообщества</t>
  </si>
  <si>
    <t>2. Представление результатов мониторинга на регулярной основе на площадках высокого уровня, включая СКК, заседания Кабинета Министров, межсекторальных платформах</t>
  </si>
  <si>
    <t>4. Повышение потенциала сообществ и лиц, принимающих решения, по  сбору данных, анализу и использованию результатов мониторинга для обоснования принятия программных решений и защиты интересов.</t>
  </si>
  <si>
    <r>
      <rPr>
        <sz val="11"/>
        <color theme="1"/>
        <rFont val="Arial"/>
        <family val="2"/>
        <charset val="204"/>
      </rPr>
      <t>проведение семинара 1 раз в год - 7000$х3 года = 21</t>
    </r>
    <r>
      <rPr>
        <b/>
        <sz val="11"/>
        <color theme="1"/>
        <rFont val="Arial"/>
        <family val="2"/>
        <charset val="204"/>
      </rPr>
      <t>000$</t>
    </r>
  </si>
  <si>
    <t>Исследования и защита интересов сообщества</t>
  </si>
  <si>
    <t>2. Проведение анализа законодательства и барьеров в НПА для расширения доступности услуг в связи с ВИЧ и ТБ.</t>
  </si>
  <si>
    <r>
      <rPr>
        <sz val="11"/>
        <color theme="1"/>
        <rFont val="Arial"/>
        <family val="2"/>
        <charset val="204"/>
      </rPr>
      <t xml:space="preserve">Поддержка экспертов 2 чел. Х 100$ х 15 дн. = </t>
    </r>
    <r>
      <rPr>
        <b/>
        <sz val="11"/>
        <color theme="1"/>
        <rFont val="Arial"/>
        <family val="2"/>
        <charset val="204"/>
      </rPr>
      <t>3000$</t>
    </r>
  </si>
  <si>
    <t>3. Регулярное проведение опросов среди затронутых групп по качеству, доступности услуг в связи с ВИЧ и ТБ.</t>
  </si>
  <si>
    <r>
      <rPr>
        <sz val="11"/>
        <color theme="1"/>
        <rFont val="Arial"/>
        <family val="2"/>
        <charset val="204"/>
      </rPr>
      <t xml:space="preserve">Опрос среди ЛЖВ, ТБ, ЛУИН, РС, ЛГБТ - по 50 человек от каждой группы один раз в год из расчета 10$ на человека - 50 чел. Х 5 групп х 10$ х 3 года = 7500 $. Подготовка отчета по результатам опроса - 5 экспертов по 700$ х 3 года = 10500$. Суммарно </t>
    </r>
    <r>
      <rPr>
        <b/>
        <sz val="11"/>
        <color theme="1"/>
        <rFont val="Arial"/>
        <family val="2"/>
        <charset val="204"/>
      </rPr>
      <t>10500 +7500 = 18000$</t>
    </r>
  </si>
  <si>
    <t>4. Подготовка теневых отчетов.</t>
  </si>
  <si>
    <r>
      <rPr>
        <sz val="11"/>
        <color theme="1"/>
        <rFont val="Arial"/>
        <family val="2"/>
        <charset val="204"/>
      </rPr>
      <t>2 отчета за весь период. Поддержка РГ и 3 экспертов для каждого отчета 3 эксп. Х 100$ х 10 дн. Х 2 отчета = 6</t>
    </r>
    <r>
      <rPr>
        <b/>
        <sz val="11"/>
        <color theme="1"/>
        <rFont val="Arial"/>
        <family val="2"/>
        <charset val="204"/>
      </rPr>
      <t>000$</t>
    </r>
  </si>
  <si>
    <t>5. Проведение исследований по барьерам для женщин/девочек при оказании услуг в связи с ВИЧ и ТБ.</t>
  </si>
  <si>
    <r>
      <rPr>
        <sz val="11"/>
        <color theme="1"/>
        <rFont val="Arial"/>
        <family val="2"/>
        <charset val="204"/>
      </rPr>
      <t xml:space="preserve">1 исследование за весь период. Поддержка РГ и 3 экспертов  3 эксп. Х 100$ х 10 дн.= </t>
    </r>
    <r>
      <rPr>
        <b/>
        <sz val="11"/>
        <color theme="1"/>
        <rFont val="Arial"/>
        <family val="2"/>
        <charset val="204"/>
      </rPr>
      <t>3000$</t>
    </r>
  </si>
  <si>
    <t>6. Проведение оценки влияния на доступность услуг в связи с ВИЧ и ТБ инициатив по изменению законодательства в отношении неправительственных организаций, которые могут привести к закрытию ряда НПО</t>
  </si>
  <si>
    <t>7. Оказание технической помощи неправительственным организациям в организационном развитии для адаптации к новым нормативным условиям деятельности.</t>
  </si>
  <si>
    <r>
      <rPr>
        <sz val="11"/>
        <color theme="1"/>
        <rFont val="Arial"/>
        <family val="2"/>
        <charset val="204"/>
      </rPr>
      <t xml:space="preserve">Привлечение организации в области орг.развития для оказания технической помощи НПО - </t>
    </r>
    <r>
      <rPr>
        <b/>
        <sz val="11"/>
        <color theme="1"/>
        <rFont val="Arial"/>
        <family val="2"/>
        <charset val="204"/>
      </rPr>
      <t>30000 $</t>
    </r>
  </si>
  <si>
    <t>9. Проведение адвокационных компаний, встреч высокого уровня, поддержки платформ с лицами, принимающими решения.</t>
  </si>
  <si>
    <t>Участие сообщества, связи и координация</t>
  </si>
  <si>
    <t>1. Повышение потенциала сообществ для проведения мониторинга, проведения исследований, подготовки теневых отчетов и последующей адвокации.</t>
  </si>
  <si>
    <t>Семинары для сообществ 2 раза в год, в том числе выездные по 6000$ на 1 семинар - 2 х 6000 $ х 3 года = 36000$</t>
  </si>
  <si>
    <t>2. Разработка национальных планов сообществ по расширению и внедрению инструментов CLM в механизмы предоставления услуг в связи с ВИЧ и ТБ.</t>
  </si>
  <si>
    <t>1. Повышение потенциала организаций сообществ, неправительственных организаций, оказывающих услуги в связи с ВИЧ и ТБ, сетей и ассоциаций, для укрепления лидерства, оказания услуг в связи с ВИЧ и ТБ.</t>
  </si>
  <si>
    <t>Семинары для сообществ - 4 семинара в год х 3000$ х 3 года = 36000$</t>
  </si>
  <si>
    <t>2. Укрепление материально-технической базы общественных организаций, сообществ, поддерживаемых из средств гранта ГФ.</t>
  </si>
  <si>
    <t>1. Обновление планов перехода на государственное финансирование программ в связи с ВИЧ и ТБ.</t>
  </si>
  <si>
    <r>
      <rPr>
        <sz val="11"/>
        <color theme="1"/>
        <rFont val="Arial"/>
        <family val="2"/>
        <charset val="204"/>
      </rPr>
      <t xml:space="preserve">Поддержка экспертов 4 чел. (ТБ, ВИЧ) Х 100$ х 20 дн. = </t>
    </r>
    <r>
      <rPr>
        <b/>
        <sz val="11"/>
        <color theme="1"/>
        <rFont val="Arial"/>
        <family val="2"/>
        <charset val="204"/>
      </rPr>
      <t>8000$</t>
    </r>
  </si>
  <si>
    <t>2. Проведение регулярной оценки прогресса в реализации плана перехода на государственное финансирование  программ в связи с ВИЧ и ТБ.</t>
  </si>
  <si>
    <r>
      <rPr>
        <sz val="11"/>
        <color theme="1"/>
        <rFont val="Arial"/>
        <family val="2"/>
        <charset val="204"/>
      </rPr>
      <t xml:space="preserve">Проведение анализа - 2 эксперта х 100$ х 15 дн. = </t>
    </r>
    <r>
      <rPr>
        <b/>
        <sz val="11"/>
        <color theme="1"/>
        <rFont val="Arial"/>
        <family val="2"/>
        <charset val="204"/>
      </rPr>
      <t>3000$</t>
    </r>
  </si>
  <si>
    <t>4. Внедрить механизмы закупок отсутствующих на национальном рынке либо дорогостоящих лекарств и ИМН через международные организации</t>
  </si>
  <si>
    <r>
      <rPr>
        <sz val="11"/>
        <color theme="1"/>
        <rFont val="Arial"/>
        <family val="2"/>
        <charset val="204"/>
      </rPr>
      <t xml:space="preserve">разработка и утверждение НПА, позволяющего закупать ЛС через международные платформы - </t>
    </r>
    <r>
      <rPr>
        <b/>
        <sz val="11"/>
        <color theme="1"/>
        <rFont val="Arial"/>
        <family val="2"/>
        <charset val="204"/>
      </rPr>
      <t>10000$</t>
    </r>
  </si>
  <si>
    <t>5. Содействовать своевременной регистрации необходимых лекарственных средств и ИМН для диагностики и лечения ВИЧ, ТБ, ПТАО, наркологических расстройств и лечения оппортунистических инфекций.</t>
  </si>
  <si>
    <r>
      <rPr>
        <sz val="11"/>
        <color theme="1"/>
        <rFont val="Arial"/>
        <family val="2"/>
        <charset val="204"/>
      </rPr>
      <t xml:space="preserve">проведение анализа отсутствующих на рынке ЛС и ИМН по 3-м заболеваниям и проведение встреч с фарм.компаниями для инициации регистрации - 2 эксп. Х 100$ х 20 дн. = 4000$, по 1 круглом стлу ежегодно -1400 х 3 года=5200$. Суммарно 4000+5200 = </t>
    </r>
    <r>
      <rPr>
        <b/>
        <sz val="11"/>
        <color theme="1"/>
        <rFont val="Arial"/>
        <family val="2"/>
        <charset val="204"/>
      </rPr>
      <t>9200$</t>
    </r>
  </si>
  <si>
    <t>М 4</t>
  </si>
  <si>
    <t>RSSH: Системы управления продуктами медицинского назначения</t>
  </si>
  <si>
    <t>3. Проведение анализа ПЖВЛС и рекомендаций ВОЗ для формирования списка ЛС и ИМН, которые должны быть включены в новый ПЖВЛС.</t>
  </si>
  <si>
    <r>
      <rPr>
        <sz val="11"/>
        <color theme="1"/>
        <rFont val="Arial"/>
        <family val="2"/>
        <charset val="204"/>
      </rPr>
      <t xml:space="preserve">проведение анализа - 2 эксп. Х 100$ х 20 дн. = 4000$, 1 круглый стол  -1400$. Суммарно 4000+1400 = </t>
    </r>
    <r>
      <rPr>
        <b/>
        <sz val="11"/>
        <color theme="1"/>
        <rFont val="Arial"/>
        <family val="2"/>
        <charset val="204"/>
      </rPr>
      <t>5400$</t>
    </r>
  </si>
  <si>
    <t>М 5</t>
  </si>
  <si>
    <t>RSSH/PP: Кадровые ресурсы для здравоохранения (HRH) и качество медицинской помощи</t>
  </si>
  <si>
    <t>Разработка УМК на базе организаций постдипломного образования по вопросам предоставления медицинских услуг для ЛЖВ на уровне ПМСП (оплата местным экспертам) для врачей, медсестер ОЗ</t>
  </si>
  <si>
    <t>Доплата труда преподавателей организаций постдипломного образования (15 учебных групп), 5 групп ежегодно (2 преподавателя по 50 долларов в день, длительность каждого курса 5 дней)</t>
  </si>
  <si>
    <t>Внести изменения в учебные программы для семейных врачей по вопросам ВИЧ, ВГ, ИППП (2 эксперта)</t>
  </si>
  <si>
    <t>М 6</t>
  </si>
  <si>
    <t>RSSH/PP: Лабораторные системы (включая национальные и периферийные)</t>
  </si>
  <si>
    <t>ПРООН</t>
  </si>
  <si>
    <t>На базе медицинских учреждений продолжится предоставление услуг  терапии агонистами опиоидов,  лечение наркозависимости, в том числе:</t>
  </si>
  <si>
    <t>Коммуникация по вопросам профилактики ВИЧ, информирование и создание спроса будет включать:</t>
  </si>
  <si>
    <t>Будут расширены права и возможности сообществ заключенных за счет:</t>
  </si>
  <si>
    <t>М 14</t>
  </si>
  <si>
    <t>Пакет профилактических мер для мигрантов</t>
  </si>
  <si>
    <t xml:space="preserve">Устранение барьеров, связанных с правами человека, на пути к профилактике среди мигрантов </t>
  </si>
  <si>
    <t>Снижение барьеров на пути к ВИЧ/ТБ, связанных с правами человека</t>
  </si>
  <si>
    <t>Юридическая грамотность</t>
  </si>
  <si>
    <t>Обеспечение недискриминации при оказании медицинской помощи</t>
  </si>
  <si>
    <t>Расширение доступа к справедливости</t>
  </si>
  <si>
    <t>Обеспечение правового законодательства-правоприменительная практика</t>
  </si>
  <si>
    <t>1. Обеспечить включение правовых вопросов по ВИЧ и ТБ в систему профессиональной подготовки сотрудников для проведения обучающих мероприятий, а также содействовать   проведению обучающих тренингов для личного состава ОВД, МЮ, МЗ.</t>
  </si>
  <si>
    <t>Сокращение связанных с ВИЧ дискриминация по полу, вредных гендерных норм и насилия против женщин/девушек</t>
  </si>
  <si>
    <t>3. Провести исследование по уровню гендерного насилия и гендерного неравенства по отношению к ЛЖВ и ключевым группам и их влиянию на доступ к программам профилактики и лечения ВИЧ</t>
  </si>
  <si>
    <t>Оффлайн охват</t>
  </si>
  <si>
    <t>Онлайн охват</t>
  </si>
  <si>
    <t>Охват ГСИН</t>
  </si>
  <si>
    <t>Координатор</t>
  </si>
  <si>
    <t>1 год</t>
  </si>
  <si>
    <t>2 год</t>
  </si>
  <si>
    <t>3 год</t>
  </si>
  <si>
    <t>Итого на 1 орг</t>
  </si>
  <si>
    <t>Бухгалтер</t>
  </si>
  <si>
    <t>Спец по МиО</t>
  </si>
  <si>
    <t>Соцработник</t>
  </si>
  <si>
    <t>Онлайн консултант</t>
  </si>
  <si>
    <t>Транспортные для соцсопровождения</t>
  </si>
  <si>
    <t>ЗП/стоимость</t>
  </si>
  <si>
    <t>Транспортные для вебаутрич</t>
  </si>
  <si>
    <t xml:space="preserve">Аренда </t>
  </si>
  <si>
    <t>Интернет</t>
  </si>
  <si>
    <t>Канцтовары</t>
  </si>
  <si>
    <t>Интернет и мобсвязь</t>
  </si>
  <si>
    <t>Вознаграждение по Индексному тестированию</t>
  </si>
  <si>
    <t>Итого на 3 года ИМН</t>
  </si>
  <si>
    <t>Итого</t>
  </si>
  <si>
    <t xml:space="preserve">1. Гинекология (осмотр врача гинеколога, лабораторная и УЗИ диагностика, общий мазок на флору, цитологическое исследование,общий анализ крови, назначение лечения) 15*30*12*3=16200$;                                                                                                                          </t>
  </si>
  <si>
    <t xml:space="preserve">       2. Урология (осмотр врача уролога, лабораторная и УЗИ диагоностика предстательной железы, назначение лечения) 15*30*12*3=16200$;                                                                                            </t>
  </si>
  <si>
    <t xml:space="preserve">   4. Оплата лечения (по назначению врача) 40*35*12*3=50400$;                                                </t>
  </si>
  <si>
    <t xml:space="preserve">9. Предоставление тестов на беременность 15*2*12*3=3600$   </t>
  </si>
  <si>
    <t>Охват ЛУН без ГСИН</t>
  </si>
  <si>
    <t xml:space="preserve"> </t>
  </si>
  <si>
    <t>Социальный аутрич/вебаутрич</t>
  </si>
  <si>
    <t>Закупка полиса ОМС</t>
  </si>
  <si>
    <t>Группы самопомощи для женщин на базе РЦПН</t>
  </si>
  <si>
    <t xml:space="preserve">Детокс </t>
  </si>
  <si>
    <t>Минисессии по ВИЧ, СРЗП, передозировка</t>
  </si>
  <si>
    <t>ТБ скрининг (рентген)</t>
  </si>
  <si>
    <t>Дистиляторы для изготовления дист воды (раствор метадона)</t>
  </si>
  <si>
    <t>ПТАО</t>
  </si>
  <si>
    <t>Разработка 2 приказов МЗКР совместно с ДЛО, СБНОН (рабгруппы)</t>
  </si>
  <si>
    <t>Лечение ВГС пациентов ПТАО</t>
  </si>
  <si>
    <t>Тренинги 3 дня для внедрения в КГИМПК вопросы ПТАО и СВ - 2 тренинга Бишкек  и Ош</t>
  </si>
  <si>
    <t>Разработка модуля 4 эксперта - 4 модуля</t>
  </si>
  <si>
    <t>М1</t>
  </si>
  <si>
    <t>М3</t>
  </si>
  <si>
    <t>Государственная Регистрация  бупренорфина (таблетки и пролонгированные инъекции) - по прейскуранту ДЛО</t>
  </si>
  <si>
    <t>Государственная Регистрация метадона  (таблетки разной дозировки) - по прейскуранту ДЛО</t>
  </si>
  <si>
    <t>2 КР/КП по скринингу на ПАВ в том числе НПВ, передозировки НПВ</t>
  </si>
  <si>
    <t xml:space="preserve">Рабочая встреча с сообществом для обсуждения онлайн информационных, образовательных материалов.  </t>
  </si>
  <si>
    <t xml:space="preserve">Разработку и распространение среди ЛУН оналйн информационных, образовательных материалов. </t>
  </si>
  <si>
    <t>Создать рабочую группу по пересмотру стандартов СВ</t>
  </si>
  <si>
    <t>Круглый стол пол дня по презентации стандартов с приезжими</t>
  </si>
  <si>
    <t xml:space="preserve">Провести оценку потребности потребителей НПВ - 200 чел, разработка инструмента, мотивац мобединицы 600 сом, </t>
  </si>
  <si>
    <t>Круглый стол по презентации оценки потребностей</t>
  </si>
  <si>
    <t>Разработать обучающий модуль по работе с клиентами ПАВ (новые) в соответствии с международными рекомендациями;</t>
  </si>
  <si>
    <t>Обучение сообщества и сотрудников НПО 3 дня 2 трененга Бишкек и Ош</t>
  </si>
  <si>
    <t>Закуп мебели и оборудования - стир машина, сушка, оргтехника 3 чел, кровати 10, посуда</t>
  </si>
  <si>
    <t>Питание</t>
  </si>
  <si>
    <t>Мыло-мойка, гигиенические прокладки/аптечка (вкл тесты на беременность)</t>
  </si>
  <si>
    <t>Круглый стол по представлению разработанного плана</t>
  </si>
  <si>
    <t>Выездная встреча сообщества для разработки плана по мобилизации и усиления сообщества ЛУН, 3 дня ИК, 20 чел и последующего мониторинга исполнения, повышение потенциала сообщества по разработанному плану</t>
  </si>
  <si>
    <t>Разработка гендерно-чувствительного опросника по потребностям клиентов, поведения, удовлетворенности предоставляемых услуг при вступлении и раз в полгода</t>
  </si>
  <si>
    <t>Тренинг по построению эффективного взаимодействия с ЛПР 2 дня в Бишкек и Ош</t>
  </si>
  <si>
    <t>НПО</t>
  </si>
  <si>
    <t>РЦПН</t>
  </si>
  <si>
    <t>НПО по работе в тюрьмах</t>
  </si>
  <si>
    <t>Равные навигаторы из числа осужденных (мотивационные пакеты)</t>
  </si>
  <si>
    <t xml:space="preserve">Разработать обучающий модуль для сотрудников тюремной системы, органов Пробации, представителей Гражданского сектора и др. с обязательным обучением по экспресс тестированию и созданию механизма сети перенарпавлений между структурами. </t>
  </si>
  <si>
    <t>Тренинги по модулю 3 дня 25 чел с 6 приезжими</t>
  </si>
  <si>
    <t>Обучение сотрудников ИУ на местах (кофе-брейки) - 15 чел в 13 ИУ</t>
  </si>
  <si>
    <t>Минисессии в тюрьмах (мотивационные пакеты)</t>
  </si>
  <si>
    <t>Дропин центры для ЛУИН/БЗ</t>
  </si>
  <si>
    <t>Социальный аутрич для остальных регионов Талас, ИК и Джалал</t>
  </si>
  <si>
    <t>Соцработник  для остальных регионов Талас, ИК и Джалал</t>
  </si>
  <si>
    <t>Итого на 1 НПО</t>
  </si>
  <si>
    <t xml:space="preserve">Разработку и распространение среди БЗ  информационных, образовательных материалов. </t>
  </si>
  <si>
    <t>Печать ИОМ - 3 вида</t>
  </si>
  <si>
    <t xml:space="preserve">Перевод </t>
  </si>
  <si>
    <t>Оплата за анкету</t>
  </si>
  <si>
    <t>Привлечение мониторинговой группы в постпенитенциарной  Пробации для проведения опросов клиентов ПОШ, ПТМ, ЛЖВ с целью выявления потребностей получателей услуг с ежеквартальным охватом 250 человек.  Разработка инструмента</t>
  </si>
  <si>
    <t>Эксперт по обработке данных и написанию отчета</t>
  </si>
  <si>
    <t>Мотивационные мобединицы для респондентов</t>
  </si>
  <si>
    <t>Презерватив</t>
  </si>
  <si>
    <t>Шприцы</t>
  </si>
  <si>
    <t>Хирургическая помощь в стационаре</t>
  </si>
  <si>
    <t>МиО визиты сотрудников проекта: Транспорт; Суточные; проживание ( в СИН)</t>
  </si>
  <si>
    <t>Приложение 3D</t>
  </si>
  <si>
    <t>к Соглашению №2 между Программой Развития Организации Объединенных Наций и Республиканским центром психиатрии и наркологии Министерства здравоохранения Кыргызской Республики для участия в реализации Проекта  №00119494  “Эффективный контроль за  ВИЧ и туберкулезом в Кыргызской Республике”</t>
  </si>
  <si>
    <t>в сомах</t>
  </si>
  <si>
    <t>Проект №</t>
  </si>
  <si>
    <t>#</t>
  </si>
  <si>
    <t>Бюджетная линия #</t>
  </si>
  <si>
    <t>Модуль</t>
  </si>
  <si>
    <t>Интервенция</t>
  </si>
  <si>
    <t>Статья расхода</t>
  </si>
  <si>
    <t>Цена за единицу (сом)</t>
  </si>
  <si>
    <t>Кол-во месяцев</t>
  </si>
  <si>
    <t>Январь-Март 2023</t>
  </si>
  <si>
    <t>Апрель-Июнь 2023</t>
  </si>
  <si>
    <t>Июль-Сентябрь 2023</t>
  </si>
  <si>
    <t>Октябрь- Декабрь 2023</t>
  </si>
  <si>
    <t>Итого Январь -Декабрь 2023</t>
  </si>
  <si>
    <t>119494</t>
  </si>
  <si>
    <t>5.11.84</t>
  </si>
  <si>
    <t>11.0 Косвенные и накладные расходы</t>
  </si>
  <si>
    <t>4.10.88</t>
  </si>
  <si>
    <t>1.0 Человеческие ресурсы (HR)</t>
  </si>
  <si>
    <t>13.0 Оплата за результат</t>
  </si>
  <si>
    <t>5.11.91</t>
  </si>
  <si>
    <t>4.9.97</t>
  </si>
  <si>
    <t>5.11.127</t>
  </si>
  <si>
    <t>3.0 Внешние профессиональные услуги (EPS)</t>
  </si>
  <si>
    <t>4.9.129</t>
  </si>
  <si>
    <t>7.15.132</t>
  </si>
  <si>
    <t>4.9.147</t>
  </si>
  <si>
    <t>2.0 Транспортные расходы (TRC)</t>
  </si>
  <si>
    <t>4.10.148</t>
  </si>
  <si>
    <t>ПРОМЕЖУТОЧНЫЙ ИТОГ ПО ПРОЕКТУ #119494</t>
  </si>
  <si>
    <t>ДЕТАЛИЗАЦИЯ БЮДЖЕТА</t>
  </si>
  <si>
    <t>Описание расхода</t>
  </si>
  <si>
    <t>Октябрь-Декабрь 2023</t>
  </si>
  <si>
    <t>ИтогоЯнварь  -Декабрь 2023</t>
  </si>
  <si>
    <t>МиО визиты сотрудников проекта: Транспорт; Суточные; проживание (в РЦН)</t>
  </si>
  <si>
    <t>мотивационные выплаты Специалист по работе с сообществом (работник ПОШ)  при охвате до 50 клиентов в СИН</t>
  </si>
  <si>
    <t>мотивационные выплаты Специалист по работе с сообществом (работник ПОШ) при охвате от 51 до 100 клиентов  в СИН</t>
  </si>
  <si>
    <t>мотивационные выплаты Специалист по работе с сообществом (работник ПОШ) при охвате от  101 клиента и более в СИН</t>
  </si>
  <si>
    <t>Социальный фонд 17,25%</t>
  </si>
  <si>
    <t xml:space="preserve">10% - финансирование, основанное на результате (ФОР) при достижении организацией программных индикаторов:  Специалист по работе с сообществом (работник ПОШ)  при охвате до 50 клиентов в СИН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</si>
  <si>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Специалист по работе с сообществом (работник ПОШ) при охвате от 51 до 100 клиентов  в СИН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</si>
  <si>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Специалист по работе с сообществом (работник ПОШ) при охвате от  101 клиента и более в СИН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</si>
  <si>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>Заработная плата: Специалист по работе с сообществом (социальные работники/равные консультанты (РЦН)) с охватом  до 25 клиентов</t>
  </si>
  <si>
    <t>Заработная плата: Специалист по работе с сообществом (социальные работники/равные консультанты (РЦН)) с охватом 26-30 клиентов</t>
  </si>
  <si>
    <t>Заработная плата: Специалист по работе с сообществом (социальные работники/равные консультанты (РЦН)) с охватом  31-35 клиентов</t>
  </si>
  <si>
    <t>Заработная плата: Специалист по работе с сообществом (социальные работники/равные консультанты (РЦН)) с охватом  36-40 клиентов</t>
  </si>
  <si>
    <t>Заработная плата: Специалист по работе с сообществом (социальные работники/равные консультанты (РЦН)) с охватом  41-45 клиентов</t>
  </si>
  <si>
    <t>Заработная плата: Специалист по работе с сообществом (социальные работники/равные консультанты (РЦН)) с охватом  46-50 клиентов</t>
  </si>
  <si>
    <t>Заработная плата: Специалист по работе с сообществом (социальные работники/равные консультанты (РЦН)) с охватом  51-55 клиентов</t>
  </si>
  <si>
    <t>Заработная плата: Специалист по работе с сообществом (социальные работники/равные консультанты (РЦН)) с охватом 56-60 клиентов</t>
  </si>
  <si>
    <t>Заработная плата: Специалист по работе с сообществом (социальные работники/равные консультанты (РЦН)) с охватом  61-65 клиентов</t>
  </si>
  <si>
    <t>Заработная плата: Специалист по работе с сообществом (социальные работники/равные консультанты (РЦН)) с охватом 66-70 клиентов</t>
  </si>
  <si>
    <t>Заработная плата: Специалист по работе с сообществом (социальные работники/равные консультанты (РЦН)) с охватом от 70 клиентов</t>
  </si>
  <si>
    <t xml:space="preserve">10% - финансирование, основанное на результате (ФОР) при достижении организацией программных индикаторов:  Специалист по работе с сообществом (социальные работники/равные консультанты (РЦН)) с охватом  до 25 клиентов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</si>
  <si>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Специалист по работе с сообществом (социальные работники/равные консультанты (РЦН)) с охватом 26-30 клиентов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</si>
  <si>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Специалист по работе с сообществом (социальные работники/равные консультанты (РЦН)) с охватом 31-35 клиентов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</si>
  <si>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Специалист по работе с сообществом (социальные работники/равные консультанты (РЦН)) с охватом 36-40 клиентов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</si>
  <si>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Специалист по работе с сообществом (социальные работники/равные консультанты (РЦН)) с охватом 41-45 клиентов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</si>
  <si>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Специалист по работе с сообществом (социальные работники/равные консультанты (РЦН)) с охватом 46-50 клиентов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</si>
  <si>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Специалист по работе с сообществом (социальные работники/равные консультанты (РЦН)) с охватом 51-55 клиентов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</si>
  <si>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Специалист по работе с сообществом (социальные работники/равные консультанты (РЦН)) с охватом 56-60 клиентов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</si>
  <si>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Специалист по работе с сообществом (социальные работники/равные консультанты (РЦН)) с охватом 61-65 клиентов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</si>
  <si>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Специалист по работе с сообществом (социальные работники/равные консультанты (РЦН)) с охватом 66-70 клиентов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</si>
  <si>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Специалист по работе с сообществом (социальные работники/равные консультанты (РЦН)) с охватом  более 70 клиентов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</si>
  <si>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>Надбавка к заработной плате: Бухгалтер</t>
  </si>
  <si>
    <t>Надбавка к заработной плате: Немедициснкий специалист - Специалист по управлению ИМН</t>
  </si>
  <si>
    <t>Заработная плата: Вспомогательный персонал - водители</t>
  </si>
  <si>
    <t>Заработная плата: Вспомогательный персонал - грузчики</t>
  </si>
  <si>
    <t xml:space="preserve">Оплата за ТП: Заместитель Координатора в СИН </t>
  </si>
  <si>
    <t>Оплата за ТП:  Заместитель  Координатора по программе ПТМ в СИН</t>
  </si>
  <si>
    <t>Оплата за ТП: Заместитель Координатораа  по южному региону</t>
  </si>
  <si>
    <t>10% - финансирование, основанное на результате (ФОР) при достижении организацией программных индикаторов:  Координатор . В том числе Социальный фонд 17,25%. К оплате в следующем квартале после отчетного периода. Бюджет на 4 квартал включает оплату за 3 и 4 квартал.</t>
  </si>
  <si>
    <t xml:space="preserve">10% - финансирование, основанное на результате (ФОР) при достижении организацией программных индикаторов:  Заместитель координатора по финансовым вопросам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</si>
  <si>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Бухгалтер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</si>
  <si>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Немедицинский специалист (Специалист по управлению ИМН)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</si>
  <si>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вспомогательный персонал (специалист по кадрам)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</si>
  <si>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Заместитель координатора в СИН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</si>
  <si>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Заместитель координатора по программе ПТМ в СИН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</si>
  <si>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заместитель координатора по южному региону.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</si>
  <si>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Расходы на связь и интернет </t>
  </si>
  <si>
    <t xml:space="preserve">Канцелярские и другие товары для офиса </t>
  </si>
  <si>
    <t>Оплата за ТП: заместител координатора по программе  ПОШ в СИН</t>
  </si>
  <si>
    <t>Оплата за ТП:  медицинский специалист (специалист по по  добровольному тестированию и консультированию на ВИЧ в СИН)</t>
  </si>
  <si>
    <t xml:space="preserve">10% - финансирование, основанное на результате (ФОР) при достижении организацией программных индикаторов:  Заместитель координатора по программе ПОШ в СИН.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</si>
  <si>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медицинский специалист (специалист по по  добровольному тестированию и консультированию на ВИЧ в СИН)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</si>
  <si>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>Оплата за ТП: немедицинский специаслист (специалист по информационным технологиям в РЦН)</t>
  </si>
  <si>
    <t>Оплата за ТП: заместитель координатора по программынм вопросам</t>
  </si>
  <si>
    <t>Оплата за ТП: Немедицинский специалист (социальный работник /равный консультант проекта) (50%)</t>
  </si>
  <si>
    <t xml:space="preserve">10% - финансирование, основанное на результате (ФОР) при достижении организацией программных индикаторов:  немедицинский специалист (специалист по информационным технологиям в РЦН)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</si>
  <si>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 заместитель координатора по программным вопросам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</si>
  <si>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Немедицинский специалист (социальный работник /равный консультант проекта)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</si>
  <si>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>Оплата за ТП: Специалист по МиО в РЦН</t>
  </si>
  <si>
    <t>Оплата за ТП:  немецинский специалист ( ассистент специалиста по МиО в СИН)</t>
  </si>
  <si>
    <t xml:space="preserve">10% - финансирование, основанное на результате (ФОР) при достижении организацией программных индикаторов: Н Специалист по МиО в РЦН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</si>
  <si>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немецинский специалист ( ассистент специалиста по МиО в РЦН)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</si>
  <si>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 xml:space="preserve">10% - финансирование, основанное на результате (ФОР) при достижении организацией программных индикаторов: немецинский специалист ( ассистент специалиста по МиО в СИН) . В том числе Социальный фонд 17,25%. К оплате в следующем квартале после отчетного периода. Бюджет на 4 квартал включает оплату за 3 и 4 квартал.
</t>
  </si>
  <si>
    <t>ИТОГО:</t>
  </si>
  <si>
    <t>От имени Суб-Получателя</t>
  </si>
  <si>
    <t>От имени ПРООН</t>
  </si>
  <si>
    <t>Подпись:</t>
  </si>
  <si>
    <t>ФИО:  Руслан Токубаев</t>
  </si>
  <si>
    <t xml:space="preserve">ФИО:  </t>
  </si>
  <si>
    <t xml:space="preserve">Должность: Директор 
</t>
  </si>
  <si>
    <t xml:space="preserve">Должность:  </t>
  </si>
  <si>
    <t>Место: г.Бишкек, Кыргызская Республика</t>
  </si>
  <si>
    <t xml:space="preserve">Дата: </t>
  </si>
  <si>
    <t xml:space="preserve">мотивационные выплаты Специалист по работе с сообществом (работник ПОШ)  </t>
  </si>
  <si>
    <t>Оплата соцработникам и равным сайтов ПТМ</t>
  </si>
  <si>
    <t>Административный штат для реализации программ РЦН и СИН</t>
  </si>
  <si>
    <t>Связь и интернет</t>
  </si>
  <si>
    <t>Бупренорфин на 50 чел</t>
  </si>
  <si>
    <t>Диспенсер для разлива метадона</t>
  </si>
  <si>
    <t>Тесты на бензодиазипины (наборы по 50 шт)</t>
  </si>
  <si>
    <t>Тесты на морфины (наборы по 50 шт)</t>
  </si>
  <si>
    <t>Перчатки (набор по 100 шт)</t>
  </si>
  <si>
    <t>Контейнеры безопасной утилизации (набор по 25 штук)</t>
  </si>
  <si>
    <t>Тренинги для РЦПН 1 тренинг для врачей и 4 для медсестер, 25 чел, 2 в Оше, 3 дня</t>
  </si>
  <si>
    <t>БЮДЖЕТ ГФ 2024-2026гг. Группы ГБ/МСМ</t>
  </si>
  <si>
    <t>Статья бюджета</t>
  </si>
  <si>
    <t>Вид расходов по статье</t>
  </si>
  <si>
    <t>2024г.</t>
  </si>
  <si>
    <t>2025г.</t>
  </si>
  <si>
    <t>2026г.</t>
  </si>
  <si>
    <t xml:space="preserve">1. Заработная плата </t>
  </si>
  <si>
    <t xml:space="preserve"> Заработная плата</t>
  </si>
  <si>
    <t>Бухгалтер Проекта, 50% занятости, 300$*3</t>
  </si>
  <si>
    <t>Заработная плата</t>
  </si>
  <si>
    <t>Оплата услуг медицинских специалистов</t>
  </si>
  <si>
    <t>Оплата психологу,30% занятости*150$*3</t>
  </si>
  <si>
    <t>Оплата дерматовенерологу</t>
  </si>
  <si>
    <t>Оплата проктологу</t>
  </si>
  <si>
    <t>страховые взносы 17%</t>
  </si>
  <si>
    <t>Итого ЗАРАБОТНАЯ ПЛАТА:</t>
  </si>
  <si>
    <t>Административные расходы на 2024-2026 гг.</t>
  </si>
  <si>
    <t>2. Административные расходы</t>
  </si>
  <si>
    <t>Арендная плата офиса</t>
  </si>
  <si>
    <t>Арендная плата шелтера</t>
  </si>
  <si>
    <t>Поддержка жизнедеятельности шелтеров</t>
  </si>
  <si>
    <t>Поддержка оплаты интернета в организациях 30$*5офисов*12мес</t>
  </si>
  <si>
    <t>Транспортные расходы</t>
  </si>
  <si>
    <t>Офисные расходы, канцелярские товары</t>
  </si>
  <si>
    <t>3. Разработка медиа продуктов, кампании</t>
  </si>
  <si>
    <t>Блок Преодоления Правовых барьеров</t>
  </si>
  <si>
    <t>5. Техническая поддержка и оборудование</t>
  </si>
  <si>
    <t>Техника и оборудование</t>
  </si>
  <si>
    <t xml:space="preserve">Поддержка покупки организационных подписок на CANVA для разработки онлайн аутричами и аутрич сотрудниками мотивационных постов для социальных сетей для большего привлечения клиентов в программы по профилактики ВИЧ </t>
  </si>
  <si>
    <t xml:space="preserve">Оплата организационной подписки CANVA в год стоит 110$. В подписку можно подключить 5 человек. Соответсвенно для охвата МСМ организаций и ИГ одной орг.подписки на данный инструмент достаточно. </t>
  </si>
  <si>
    <t>ИТОГО БЮДЖЕТ:</t>
  </si>
  <si>
    <t>Охват МПУ</t>
  </si>
  <si>
    <t>Стандартные презервативы</t>
  </si>
  <si>
    <t>Для расчет берется 2,1 презерватива на 1 клиента в месяц - это среднее количество с учетом разной регулярности получения услуг и реальной потребности</t>
  </si>
  <si>
    <t>Арамотизированные презервативы</t>
  </si>
  <si>
    <t>Для расчет берется 1 арома презерватив на 1 клиента в квартал - это среднее количество с учетом разной регулярности получения услуг и реальной потребности</t>
  </si>
  <si>
    <t>Любриканты</t>
  </si>
  <si>
    <t>Для расчет берется 1 тюбик (20мл) на 4 стандартных презерватива - это среднее количество с учетом разной регулярности получения услуг и реальной потребности</t>
  </si>
  <si>
    <t>Тест на ВИЧ</t>
  </si>
  <si>
    <t>Общих охват тестированием (включая 10% повторное тестирование)</t>
  </si>
  <si>
    <t>Охват ЭТ</t>
  </si>
  <si>
    <t>количество для закупки</t>
  </si>
  <si>
    <t>Охват СТ</t>
  </si>
  <si>
    <t>ИМН</t>
  </si>
  <si>
    <t>БЮДЖЕТ ГФ 2024-2026 гг. ТГ сообщество</t>
  </si>
  <si>
    <t>2024 г.</t>
  </si>
  <si>
    <t>2025 г.</t>
  </si>
  <si>
    <t>2026 г.</t>
  </si>
  <si>
    <t>Оплата узкого специалиста в организации (эндокринолог), 30% занятости*200$*36мес</t>
  </si>
  <si>
    <t>Мероприятия на 2024-2026 гг.</t>
  </si>
  <si>
    <t>2. Аренда офиса</t>
  </si>
  <si>
    <t>Аренда офисного помещения: в г. Бишкек по 700$</t>
  </si>
  <si>
    <t>5. Медицинские услуги</t>
  </si>
  <si>
    <t>Комплексное обследование на гормоны</t>
  </si>
  <si>
    <t>Рассчет 2400$*36мес. (80 клиентов по 30 долл)</t>
  </si>
  <si>
    <t>6. Техническая поддержка и оборудование</t>
  </si>
  <si>
    <t>Мобильные единицы для аутрич сотрудника</t>
  </si>
  <si>
    <t>7. Транспортные расходы</t>
  </si>
  <si>
    <t>Возмещение транспортных расходов</t>
  </si>
  <si>
    <t>Возмещение транспортных расходов исходя из рассчета 12$ в месяц на аутрич сотрудника</t>
  </si>
  <si>
    <t>Итого Заработная плата + МЕРОПРИЯТИЯ:</t>
  </si>
  <si>
    <t xml:space="preserve">Офисные расходы </t>
  </si>
  <si>
    <t>Офисные принадложености, канцелярские товары</t>
  </si>
  <si>
    <t>Транслагерь на 3 дня на ИК, на 20 чел</t>
  </si>
  <si>
    <t>Ежеквартальные встречи на 25 чел на 1 день</t>
  </si>
  <si>
    <t>Охват</t>
  </si>
  <si>
    <t>8 станд през, 2 арома през, 2 тюбика любриканта в мес</t>
  </si>
  <si>
    <t>Итого на 3 года</t>
  </si>
  <si>
    <t>1. Проведение исследования по оценке риска заражения ВИЧ и ТБ среди мигрантов.</t>
  </si>
  <si>
    <r>
      <t xml:space="preserve">1.Исследование среди 500 мигрантов  в больших городах скопления : Москва, Питер, Екатеринбург, Новосибирск  по оценке рисков заражения ВИЧ и ТБ    - разработка протокола исследования, проведение опроса, тренинг для интервьюеров-  оплата экспертам 2 чел.х100$х45 дней=9000$, интервьеры- 4 человека 15 долларов за анкету х 500= 7500$, транспортные расходы интервьюров 4* 50$=200$, мотивационные выплаты респондентам 10$*500 = 5000$.  </t>
    </r>
    <r>
      <rPr>
        <b/>
        <sz val="11"/>
        <color theme="1"/>
        <rFont val="Arial"/>
        <family val="2"/>
        <charset val="204"/>
      </rPr>
      <t xml:space="preserve">Итого - 21700$  </t>
    </r>
    <r>
      <rPr>
        <sz val="11"/>
        <color theme="1"/>
        <rFont val="Arial"/>
        <family val="2"/>
        <charset val="204"/>
      </rPr>
      <t xml:space="preserve"> </t>
    </r>
  </si>
  <si>
    <t>2. Проведение адвокационной деятельности по изменению межправительственных соглашений для обеспечения прав мигрантов по вопросам здоровья.</t>
  </si>
  <si>
    <t>3. Мобилизация сообществ мигрантов для расширения адвокационных активностей по обеспечению прав на здоровье.</t>
  </si>
  <si>
    <t>4. Расширение межстранового взаимодействия общественных организаций мигрантов.</t>
  </si>
  <si>
    <r>
      <t>1. Проведение круглого стола  среди департамента трудовой и социальной защиты ЕАЭК, профильных ведомств, министерств, ЖК КР,  НПО, диаспор по улучшению положения  здоровья мигрантов. Проведение -1500 $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color theme="1"/>
        <rFont val="Arial"/>
        <family val="2"/>
        <charset val="204"/>
      </rPr>
      <t xml:space="preserve">,2. Создание  рабочей группы из представителей  из профильных комитетов по мониторингу ситуации и выполнению мероприятий по профилактике ВИЧ/ ТБ.   Разработка ТЗ для РГ. 2 эксперта*100$ *20 дней= 4000 $,   Работа РГ 2 встречи*3 года* 30 $*10 чел= 1800 $  </t>
    </r>
    <r>
      <rPr>
        <b/>
        <sz val="11"/>
        <color theme="1"/>
        <rFont val="Arial"/>
        <family val="2"/>
        <charset val="204"/>
      </rPr>
      <t>Итого 7300</t>
    </r>
  </si>
  <si>
    <t>Без ИМН</t>
  </si>
  <si>
    <t>Охват ЛЖВ</t>
  </si>
  <si>
    <t>Охват индексов ЛЖВ</t>
  </si>
  <si>
    <t>Онлайн консултант приложение "Здоровье Плюс"</t>
  </si>
  <si>
    <t>Специалист по работе с ЛЖВ (равные консультанты)</t>
  </si>
  <si>
    <t>Медицинский специалист для работы с ЛЖВ (гинекологи для назначения ВПЧ, рака шейки матки, ИППП и т.д. и один врач для мобильной бригады)</t>
  </si>
  <si>
    <t>Кофе брейк для групп взаимопомощи</t>
  </si>
  <si>
    <t>Диагностика "Денсиометрия"</t>
  </si>
  <si>
    <t>Определение уровня кальция в крови</t>
  </si>
  <si>
    <t>ПЦР на ВПЧ 16 и 18 типов</t>
  </si>
  <si>
    <t>диагностика ИППП, аутсорсинг</t>
  </si>
  <si>
    <t xml:space="preserve">Вознаграждение за выполненный результат каскада и сопровождения (Выявление и Постановака на "Д" учет + подключение на АРТ+ вирусная супрессия+выявление и сопровождение на ВГ +выявление и сопровождение на ИППП) </t>
  </si>
  <si>
    <t xml:space="preserve">по вопросам СРЗ для сотрудников НПО совместно с медработниками (2 тренинга в год на 25 человек).  </t>
  </si>
  <si>
    <t>тренинги для медперсонала и сотрудникам НПО по клиническим протоколам, алгоритмам взаимодействия с использованием клиент-ориентированных подходов (2 тренинга в год на 25 человек, один на Севере один на Юге), включая кризисное и мотивационное консультирование</t>
  </si>
  <si>
    <t>Школа лидерства и активизма</t>
  </si>
  <si>
    <t>тренинги для женщин живущих с ВИЧ</t>
  </si>
  <si>
    <t>Тренинги для врачей и сотрудников НПО по навыкам оказания первичной/базовой псилогической помощи</t>
  </si>
  <si>
    <t>Оплата услуг обр. центра - курсы анг и IT грамотности, подготовка к ЕГЭ</t>
  </si>
  <si>
    <t>Бюджет РЦПКГВГи ВИЧ</t>
  </si>
  <si>
    <t>Координатор проекта</t>
  </si>
  <si>
    <t>Заместитель координатора по административным вопросам и закукам, в рамках проекта  (включая ведение программы 1C)</t>
  </si>
  <si>
    <t xml:space="preserve">Немедицинский Специалист (IT специалист) </t>
  </si>
  <si>
    <t xml:space="preserve">Связь /Интернет  </t>
  </si>
  <si>
    <t>Офисные принадлежности и канцтовары</t>
  </si>
  <si>
    <t xml:space="preserve">Расходы на менторские и мониторинговые визиты </t>
  </si>
  <si>
    <t>?</t>
  </si>
  <si>
    <t>Медицинский специалист (врач ИК с количеством ЛЖВ 16-30)</t>
  </si>
  <si>
    <t xml:space="preserve">Медицинский специалист (врач ИК с количеством ЛЖВ &gt;30)
</t>
  </si>
  <si>
    <t>Медицинский специалист в ГСИН (Координатор в ГСИН)</t>
  </si>
  <si>
    <t>Медицинский специалист - врачи Республиканского и областных центров КГКГ и ВИЧ//ЦСМ т.е. сайтов не покрытых проектом ICAP соотвесвии со стратегией на 2022 -2023 г.</t>
  </si>
  <si>
    <t>Медицинский специалист - м/с Республиканского и областных центров КГКГ и ВИЧ//ЦСМ т.е. сайтов не покрытых проектом ICAP соотвесвии со стратегией на 2022 -2023 г.</t>
  </si>
  <si>
    <t>Заместитель координатора по лечению и уходу (ЛиУ)</t>
  </si>
  <si>
    <t>СМС уведомления 3000 ЛЖВ по 12 СМС в год</t>
  </si>
  <si>
    <t>Таргетирование реклама приложения в интернет ресурсах</t>
  </si>
  <si>
    <t>м-17</t>
  </si>
  <si>
    <t xml:space="preserve">Расходы на проведение мониторинговых и менторских визитов (специалистам по ЭТ в ОЗ) </t>
  </si>
  <si>
    <t>Транспортные расходы для 4 МДК</t>
  </si>
  <si>
    <t>НПО без ИМН</t>
  </si>
  <si>
    <t>ЛУН</t>
  </si>
  <si>
    <t>СР</t>
  </si>
  <si>
    <t>ТГ</t>
  </si>
  <si>
    <t>ЛЖВ</t>
  </si>
  <si>
    <t>Все 50% занятости</t>
  </si>
  <si>
    <t>БЗ</t>
  </si>
  <si>
    <t>Оборудование</t>
  </si>
  <si>
    <t>Салф</t>
  </si>
  <si>
    <t>Без налоксона</t>
  </si>
  <si>
    <t>Налоксон</t>
  </si>
  <si>
    <t>Координатор шелтера, 50% занятости, 350$</t>
  </si>
  <si>
    <t>Социальный работник шелтера 3, 100% занятости, 400$*3*36мес</t>
  </si>
  <si>
    <t>Видеоролик – 2000*2</t>
  </si>
  <si>
    <t>$50*20чел*3 года</t>
  </si>
  <si>
    <t>2 круглых стола в 2024, 2025</t>
  </si>
  <si>
    <t xml:space="preserve">Гендерная экспертиза Программы Кабинета Министров, Законодательства 2 эксперта $100 * 10 дн.  </t>
  </si>
  <si>
    <t>Координатор/Специалист по МиО (50%)</t>
  </si>
  <si>
    <t>Бухгалтер (25%)</t>
  </si>
  <si>
    <t>аренда офиса, вкл коммунальные</t>
  </si>
  <si>
    <t>транспортные расходы</t>
  </si>
  <si>
    <t>мини-сессии для клиентов 1м/с на 10 чел</t>
  </si>
  <si>
    <t>Канц товары и офисные расходы</t>
  </si>
  <si>
    <t>Социальная поддержка клиентов</t>
  </si>
  <si>
    <t xml:space="preserve">продуктовые и гигенические пакеты </t>
  </si>
  <si>
    <t>банковские расходы</t>
  </si>
  <si>
    <t>круглый стол 25 чел на 1 день без приезжих</t>
  </si>
  <si>
    <t xml:space="preserve"> 1 круглый стол с приезжими 5 чел</t>
  </si>
  <si>
    <t xml:space="preserve">Поддержка встреч совета - 2 раза в год х 500$ х 3 года = 3000$. </t>
  </si>
  <si>
    <t>Круглый стол на 25 чел на 1 день без приезжих</t>
  </si>
  <si>
    <t xml:space="preserve">ТОТ 5 дней 1 раз 20 участников  с выездом с приезжими ($ 7000); </t>
  </si>
  <si>
    <t xml:space="preserve">ТОТ для преподавателей и лиц, принимающих решения МЗ, МВД, МТСОиМ, ГСИН: 5 дней 1 раз 20 участников ($ 7000); </t>
  </si>
  <si>
    <t>Координатор проекта , 50% занятости, 3*450$</t>
  </si>
  <si>
    <t>МиО специалист+специалист по движению ИМН, 50% занятости, 320$*3</t>
  </si>
  <si>
    <t>Специалист по работе с БД МИС, 50% занятости, 250$*3</t>
  </si>
  <si>
    <t>Оплата дерматовенерологу,30% занятости*60$ (базовый оклад)+6$ (за пролеченный случай 90 в год). Диагностика 1 случая (180 в год) 12$, за каждый пролеченный случай+лекарственные препараты = 24$*90случаев в год</t>
  </si>
  <si>
    <t>Оплата проктологу, 30% занятости*60$ (базовый оклад)</t>
  </si>
  <si>
    <t>Бухгалтер шелтера, 30% занятости, 150$</t>
  </si>
  <si>
    <t>Возмещение транспортных расходов исходя из рассчета 15$ в месяц на 1го аутрич сотрудника</t>
  </si>
  <si>
    <t>Тренинг по СРЗП для аутрич сотрудников</t>
  </si>
  <si>
    <t>Закуп техники для осуществления программных процедур. Обновлять технику (1000$ для 3х организаций*5шт. и 1го шелтера*1шт). Закуп лицензированного ПО (программное обеспечение) = 12,5$*17*12мес</t>
  </si>
  <si>
    <t>Банковские расходы</t>
  </si>
  <si>
    <t>8$*3организации*12мес</t>
  </si>
  <si>
    <t>Лечение ИППП</t>
  </si>
  <si>
    <t>Доплата юристу ГГЮП за кейс в пенитенциарной системе</t>
  </si>
  <si>
    <t>Транспортные для юристов ГГЮП</t>
  </si>
  <si>
    <t>Прецедентные дела</t>
  </si>
  <si>
    <t>Устранение стигмы и дискриминация в рамках программ по ВИЧ и ТБ</t>
  </si>
  <si>
    <t>1. Разработка, утверждение и реализация странового плана по присоединению к Глобальному Партнерству по ликвидации стигмы и дискриминации в связи с ВИЧ и ТБ, с приоритетом на медицинские организации, правоохранительные органы и домохозяйства</t>
  </si>
  <si>
    <t>Тренинг по построению эффективного взаимодействия с ЛПР 2 дня в Бишкек и Ош, 25 участников</t>
  </si>
  <si>
    <t>адвокация утверждения плана - 1 эксперт х100$ х 15 = 1500$</t>
  </si>
  <si>
    <t>3 круглых стола без приезжих на 25 чел., 1 день</t>
  </si>
  <si>
    <t>Проведение обзора на местах по исполнению инструкций с участием сообществ.         Транспортные 3 человека в одном регионе на 2 дня -2 региона в год х 1200$ х 3 года =3600$</t>
  </si>
  <si>
    <t>Адвокация внедрения предложенного механизма в пилотных министерствах, местных учреждениях. Эксперт, исследователь, $100*4*10 дн.</t>
  </si>
  <si>
    <t>Проводить конкурсы по лучшему освещению тем, связанные с ВИЧ в электронных и печатных СМИ ($3000 в год)</t>
  </si>
  <si>
    <t>Проводить семинары в 3-х регионах по 2 дня для МСУ и религиозных лидеров на 25 чел х 3000$х 2 года с приезжими</t>
  </si>
  <si>
    <t>Совершенствование законов, правил и политики в отношении ВИЧ, ТБ и КГН</t>
  </si>
  <si>
    <t>1. Проведение мониторинга за вновь разрабатываемыми законопроектами, участие в их общественном обсуждении и, при необходимости организация адвокационных действий, направленных на предупреждение включения дискриминирующих ЛЖВ, людей, живущих с ТБ и КГН положений</t>
  </si>
  <si>
    <t>3. Адвокация декриминализации потребителей наркотиков, включая исключение норм наркологического учета, отмены принудительного лечения, расширения возможностей лечения наркологических расстройств и ПТАО</t>
  </si>
  <si>
    <t xml:space="preserve"> Проведение 2 трехдневных тренинга на 25 человек, Бишкек и Ош</t>
  </si>
  <si>
    <t>3 тренинга (Север, юг и Бишкек) *3500 по 25 чел 2 дня с приезжими</t>
  </si>
  <si>
    <t>1. Обеспечить документирование всех случаев нарушения прав, проявления стигмы и дискриминации, отказа в предоставлении услуг для ЛЖВб людей, живущих с ТБ, и КГН с использованием электронных платформ REAct, pereboi.kg и др.</t>
  </si>
  <si>
    <t xml:space="preserve"> 2-дн. семинар *25 чел* 2 раза в 2024 г.</t>
  </si>
  <si>
    <t xml:space="preserve">5 кр. столов по $700 = 3500; по полдня на 30 чел. Всего: 3500$ </t>
  </si>
  <si>
    <t xml:space="preserve">1. Внести дополнения в план действий по гендеру в соответствии  с рекомендациям комитета CEDAW </t>
  </si>
  <si>
    <t xml:space="preserve">разработать план действий по рекомендациям комитета CEDAW (2 эксперта* 5 дней*$100); </t>
  </si>
  <si>
    <t>Тренинг по проведению гендерного планирования/мониторингу и оценке гендерной чувствительности программ. 3 дня, 25 чел с приезжими в Бишкек</t>
  </si>
  <si>
    <t>5. Проведение гендерной экспертизы разрабатываемых законов и подзаконных актов, по ВИЧ, ТБ и смежным проблемам с последующей адвокацией соблюдения норм гендерного равенства</t>
  </si>
  <si>
    <r>
      <t>1.</t>
    </r>
    <r>
      <rPr>
        <sz val="7"/>
        <color theme="1"/>
        <rFont val="Arial"/>
        <family val="2"/>
        <charset val="204"/>
      </rPr>
      <t xml:space="preserve">     </t>
    </r>
    <r>
      <rPr>
        <sz val="11"/>
        <color theme="1"/>
        <rFont val="Arial"/>
        <family val="2"/>
        <charset val="204"/>
      </rPr>
      <t xml:space="preserve"> Разработка и продвижение утверждения подзаконных нормативно-правовых актов, включая пересмотр </t>
    </r>
    <r>
      <rPr>
        <sz val="11"/>
        <color rgb="FFFF0000"/>
        <rFont val="Arial"/>
        <family val="2"/>
        <charset val="204"/>
      </rPr>
      <t xml:space="preserve">программы государственных гарантий, </t>
    </r>
    <r>
      <rPr>
        <sz val="11"/>
        <color theme="1"/>
        <rFont val="Arial"/>
        <family val="2"/>
        <charset val="204"/>
      </rPr>
      <t>ПЖВЛС, механизмов закупок через международные платформы и другие, для вступления в силу новых законов в сфере здравоохранения.</t>
    </r>
  </si>
  <si>
    <t>Можно перенести в правовые баьеры, но можно и здесь оставить</t>
  </si>
  <si>
    <t>УСЗ</t>
  </si>
  <si>
    <t>УСС</t>
  </si>
  <si>
    <t>правовые барьеры - уже включено, но следует разобраться по количеству (у нас всего 25). Наберут ли они 25 ЛУН НПВ?</t>
  </si>
  <si>
    <t>Координатор (40%)</t>
  </si>
  <si>
    <t>Бухгалтер (50%)</t>
  </si>
  <si>
    <t>Программный специалист</t>
  </si>
  <si>
    <t xml:space="preserve">Специалист по сообществу </t>
  </si>
  <si>
    <t>Юрист</t>
  </si>
  <si>
    <t>Аренда помещения/офиса</t>
  </si>
  <si>
    <t>Канцелярские товары и прочие офисные расходы</t>
  </si>
  <si>
    <t xml:space="preserve">$10000 исследование + </t>
  </si>
  <si>
    <t>Категория расходов</t>
  </si>
  <si>
    <t>Количество месяцев</t>
  </si>
  <si>
    <t>январь-декабрь 2024</t>
  </si>
  <si>
    <t>январь-декабрь 2025</t>
  </si>
  <si>
    <t>январь-декабрь 2026</t>
  </si>
  <si>
    <t>Всего за период январь 2024-декабрь 2026</t>
  </si>
  <si>
    <t>курс доллара</t>
  </si>
  <si>
    <t>Описание активности</t>
  </si>
  <si>
    <t>Количество</t>
  </si>
  <si>
    <t>Оплата социального фонда 17,25%</t>
  </si>
  <si>
    <t>Офисные расходы:Обслуживание оргтехники, канцтовары, закупка картириджей, банковские расходы, почтовые расходы и т.д.</t>
  </si>
  <si>
    <t xml:space="preserve">МЗ КР расходы на управление: МиО визиты сотрудников </t>
  </si>
  <si>
    <t>кол-во дней</t>
  </si>
  <si>
    <t xml:space="preserve">Лекарственному менеджменту и диагностике </t>
  </si>
  <si>
    <t>Координатора по вопросам МиО и стратегической информации</t>
  </si>
  <si>
    <r>
      <t>Специалист по работе с сообществом (равный консультант МДК) (60%)), (г. Бишкек, г. Ош и Ошская обл., г. Жалалабад и Жалалабадская обл. и Чуйской область)
(</t>
    </r>
    <r>
      <rPr>
        <b/>
        <sz val="12"/>
        <rFont val="Calibri"/>
        <family val="2"/>
        <charset val="204"/>
        <scheme val="major"/>
      </rPr>
      <t>сотрудник НПО, проекта ПРООН/ГФ)</t>
    </r>
  </si>
  <si>
    <t xml:space="preserve">
Поолиативная помощь пациентам в стадии СПИДа</t>
  </si>
  <si>
    <t>Открытие дружественных кабинетов кабинетов на базе государственных ОЗ для КГН по вопросам ИППП и СРЗ в г Бишкек, Ош, Жалал-Абад (З/п для врача, медицинской сестры)</t>
  </si>
  <si>
    <t>Поддержка  1 специалиста из РЦДВ координирующего вопросы продвижение профилактики, диагностики ВИЧ в сообществе врачей дерматовенерологов не зависимо от форм собственности (занятость 50%)</t>
  </si>
  <si>
    <t>Командировочные для специалиста из РЦДВ для оказания практической помощи и мониторинга кабинетов оказывающих услуги в связи с ИППП не зависимо от форм собственности (по 1 поездке в 7 регионов по 2 рабочих дня в течение года)</t>
  </si>
  <si>
    <t>M-17,18,19</t>
  </si>
  <si>
    <t>M6</t>
  </si>
  <si>
    <t>M4</t>
  </si>
  <si>
    <t>M5</t>
  </si>
  <si>
    <t>Денежные вознаграждения детям ЛЖВ в соответсвии со стратегией по приверженности к АРТ</t>
  </si>
  <si>
    <t>Ремонт ЛДВ в рамках подготовки к аккредитации  ISO15189</t>
  </si>
  <si>
    <t>Эксперт по доработке, адаптаптации ЛИС ЦЭЗ для ЛДВ</t>
  </si>
  <si>
    <t>Обучение пользователей (34 лаборатории) - 2 тренинга по 25 человек (Бишкек, Ош)</t>
  </si>
  <si>
    <t>Оплата услуг комиссии по стандарту ISO (Ош, Каракол, Нарын, ЖА, Бишкек, РЦС)</t>
  </si>
  <si>
    <t>Сервисное обслуживание лабораторных оборудований.</t>
  </si>
  <si>
    <t>Разработка учебной программы по интерктивному курсу результатов внедрения системы менеджмента качества согласно ИСО 15189 "Медицинские лаборатории. Специальные требования к качеству и компетентности"</t>
  </si>
  <si>
    <t>Проведение интерактивного курса (продолжение курса «Организация и внедрение системы менеджмента качества в лаборатории диагностики ВИЧ») по результатам недрения системы менеджмента качества согласно ИСО 15189 "Медицинские лаборатории. Специальные требования к качеству и компетентности" (гонорар 2 тренеров по 2 тренинга по 5 дней)</t>
  </si>
  <si>
    <t>Два тренинга по 5 дней в двух местах  Южный регион (участников 17, в том числе 13 иногородние). Северный регион (участников 26, в том числе 15 иногородние)</t>
  </si>
  <si>
    <t>Закупка 2 среднеразмерных грузовых автомобилей (грузоподъемность 3 тонны) для транспортировки ЛС и ИМН, с соблюдением температурного режима, для севера и юга</t>
  </si>
  <si>
    <t>Закупка программы 1 С склад/Аптека для 9 сайтов</t>
  </si>
  <si>
    <t>Оборудование для ЛДВ</t>
  </si>
  <si>
    <t>Оптимизация ЭРЗПТ метадоном</t>
  </si>
  <si>
    <t>Транспортные расходы МиО</t>
  </si>
  <si>
    <t>Бюджет общий</t>
  </si>
  <si>
    <t>ГБ/МСМ</t>
  </si>
  <si>
    <t>Вкл. Одно общежитие</t>
  </si>
  <si>
    <t>Сводный бюджет, компонет Программы по ВИЧ с секс-работниками</t>
  </si>
  <si>
    <t>на 2024-2026</t>
  </si>
  <si>
    <t>Версия: 01.02.2023</t>
  </si>
  <si>
    <t>Направление</t>
  </si>
  <si>
    <t>Модуль/Интервенция</t>
  </si>
  <si>
    <t>Аутрич-проекты и ОС</t>
  </si>
  <si>
    <t>2.2.1.</t>
  </si>
  <si>
    <t>Заработные платы сотрудников 5 проектов</t>
  </si>
  <si>
    <t>Профилактика/изменение поведения</t>
  </si>
  <si>
    <t>HR</t>
  </si>
  <si>
    <t>Акциии и тематические встречи с секс-работниками</t>
  </si>
  <si>
    <t>Профилактика/Расширение прав и возможностей сообщества</t>
  </si>
  <si>
    <t>TR</t>
  </si>
  <si>
    <t xml:space="preserve">Канц.товары и транспортные расходы для 7 аутрич-проектов СР.  </t>
  </si>
  <si>
    <t>PA</t>
  </si>
  <si>
    <t xml:space="preserve">Расходы на аренду, связь и интернет для 7 аутрич-проектов СР. </t>
  </si>
  <si>
    <t>OVER</t>
  </si>
  <si>
    <t>Подитог: аутрич-проекты на базе НПО</t>
  </si>
  <si>
    <t>Разработка информационных видеоматериалов и в твердом виде: цена - 1 мин 800 долл, каждый ролик по 3 минуты</t>
  </si>
  <si>
    <t>COM</t>
  </si>
  <si>
    <t>Презервативы: мужские и женские из расчета 11 шт в неделю</t>
  </si>
  <si>
    <t>Профилактика / Презервативы и любриканты</t>
  </si>
  <si>
    <t>HP</t>
  </si>
  <si>
    <t>Любриканты,сошеты</t>
  </si>
  <si>
    <t>Подитог: материалы и презервативы</t>
  </si>
  <si>
    <t>ИППП-сервис: заработная плата</t>
  </si>
  <si>
    <t xml:space="preserve">Профилактика / ИППП и СРЗП </t>
  </si>
  <si>
    <t>ИППП-сервис:  диагностика</t>
  </si>
  <si>
    <t>ИППП-сервис:  медикаменты для лечения ИППП</t>
  </si>
  <si>
    <t>MED</t>
  </si>
  <si>
    <t>Подитог ИППП-сервис</t>
  </si>
  <si>
    <t xml:space="preserve">Итого: </t>
  </si>
  <si>
    <t>Проведение исследования по ДКП с секс-работниками</t>
  </si>
  <si>
    <t>УСС/ Исследования и адвокация силами сообщества</t>
  </si>
  <si>
    <t>M&amp;E</t>
  </si>
  <si>
    <t xml:space="preserve">Национальный тренинг: </t>
  </si>
  <si>
    <t>УСС/ Повышение потенциала, планирования  и развития лидерства</t>
  </si>
  <si>
    <t>Национальный тренинг</t>
  </si>
  <si>
    <t>Поитог</t>
  </si>
  <si>
    <t>общий итог</t>
  </si>
  <si>
    <t>Описание</t>
  </si>
  <si>
    <t>Категория ГФ</t>
  </si>
  <si>
    <t>Аутрич проекты</t>
  </si>
  <si>
    <t xml:space="preserve">   Итого по Аутрич проектам</t>
  </si>
  <si>
    <t>г. Бишкек и Чуй</t>
  </si>
  <si>
    <t>г. Ош</t>
  </si>
  <si>
    <t>г. Джалалабад</t>
  </si>
  <si>
    <t>г. Каракол</t>
  </si>
  <si>
    <t>г. Кызыл Кия</t>
  </si>
  <si>
    <t>г. Нарын</t>
  </si>
  <si>
    <t>г. Талас</t>
  </si>
  <si>
    <t>Затраты (на ед)</t>
  </si>
  <si>
    <t>Всего</t>
  </si>
  <si>
    <t>Координатор/программный менеджер</t>
  </si>
  <si>
    <t>Специалист по МиО /старший аутрич работник/ИМН</t>
  </si>
  <si>
    <t>Оператор МИС</t>
  </si>
  <si>
    <t>Аутрич работник</t>
  </si>
  <si>
    <t>Соц.фонд (17%)</t>
  </si>
  <si>
    <t>Всего в месяц</t>
  </si>
  <si>
    <t>Всего 2021</t>
  </si>
  <si>
    <t>Всего 2022</t>
  </si>
  <si>
    <t>Всего 2023</t>
  </si>
  <si>
    <t>Канцелярские товары</t>
  </si>
  <si>
    <t>Бензин</t>
  </si>
  <si>
    <r>
      <t>Транспортные расходы для аутрич-работников и сотрудников</t>
    </r>
    <r>
      <rPr>
        <b/>
        <sz val="11"/>
        <rFont val="Tahoma"/>
        <family val="2"/>
        <charset val="204"/>
      </rPr>
      <t xml:space="preserve"> (расчет - число визитов + нюансы с милицией)</t>
    </r>
  </si>
  <si>
    <t>Подитог за 3 года</t>
  </si>
  <si>
    <t>Аренда офиса</t>
  </si>
  <si>
    <t>Связь (интернет, тел. офисный)</t>
  </si>
  <si>
    <t>Связь мобильная</t>
  </si>
  <si>
    <t>Коммунальные услуги</t>
  </si>
  <si>
    <t>Тематические и активистские встречи</t>
  </si>
  <si>
    <t>Акции к значимым датам</t>
  </si>
  <si>
    <t>Итого по СР</t>
  </si>
  <si>
    <t>Всего 2024</t>
  </si>
  <si>
    <t>Всего 2025</t>
  </si>
  <si>
    <t>Всего  2026</t>
  </si>
  <si>
    <t>Презервативы: мужские и женские, соотношение 75/25</t>
  </si>
  <si>
    <t>Prevention: Condom distribution</t>
  </si>
  <si>
    <t>Любриканты, 50 мл (1 тюбик или эквивалент в пакетах  на 1 мес х 60% от потребности)</t>
  </si>
  <si>
    <t>Testing and Counseling</t>
  </si>
  <si>
    <t>Сумма</t>
  </si>
  <si>
    <r>
      <rPr>
        <b/>
        <sz val="11"/>
        <color theme="1"/>
        <rFont val="Calibri"/>
        <family val="2"/>
        <charset val="204"/>
        <scheme val="minor"/>
      </rPr>
      <t>Места проведения исследования</t>
    </r>
    <r>
      <rPr>
        <sz val="11"/>
        <color theme="1"/>
        <rFont val="Calibri"/>
        <family val="2"/>
        <charset val="204"/>
        <scheme val="minor"/>
      </rPr>
      <t xml:space="preserve"> - Бишкек+Чуй, Токмок, Балыкчы, Каракол, Нарын, Ош, Жалалабат, Кызыл-Кия + 1 новый сайт - всего 10 точек</t>
    </r>
  </si>
  <si>
    <t>Сроки:</t>
  </si>
  <si>
    <t>Оплата координатору исследования</t>
  </si>
  <si>
    <t>Оплата супервайзерам: 3 человека Х 270 долл (Бишкек, Юг и Север)</t>
  </si>
  <si>
    <t>Оплата за  ввод данных - 2 человека</t>
  </si>
  <si>
    <t>Оплата составителю отчета: 1 чел х 1500 долл</t>
  </si>
  <si>
    <t>Соц фонд, 17%</t>
  </si>
  <si>
    <t>Транспортные расходы для проведения исследования внутри точек и на оплату визитов супервайзеров</t>
  </si>
  <si>
    <t>Расходы по копированию анкет</t>
  </si>
  <si>
    <t>Расходы на мобильную связь на местах</t>
  </si>
  <si>
    <t>Расчет презервативов исходя из общего количества секс-работников, которые контактируют с организациями</t>
  </si>
  <si>
    <t>Расчет</t>
  </si>
  <si>
    <t>План на 2024</t>
  </si>
  <si>
    <t>План на 2025</t>
  </si>
  <si>
    <t>План на 2026</t>
  </si>
  <si>
    <t>Предполагаемый охват минимальным пакетом</t>
  </si>
  <si>
    <t>Количество платных контактов в неделю (данные иследования 2018)</t>
  </si>
  <si>
    <t>Расчетное количество презервативов (60% от потребности)</t>
  </si>
  <si>
    <t>Расчетное количество презервативов с учетом регулярности охвата</t>
  </si>
  <si>
    <t xml:space="preserve">Потребность в мужских презервативах </t>
  </si>
  <si>
    <t>Цена мужского презерватива</t>
  </si>
  <si>
    <t>Итого, сумма</t>
  </si>
  <si>
    <t>Особо прочные, 5% от общей потребности</t>
  </si>
  <si>
    <t>Цена особо прочного мужского презерватива</t>
  </si>
  <si>
    <t>Презервативы арома, 10% от общей потребности</t>
  </si>
  <si>
    <t>Цена арома презерватива</t>
  </si>
  <si>
    <t xml:space="preserve">Женские презервативы, </t>
  </si>
  <si>
    <t>Цена женского презерватива</t>
  </si>
  <si>
    <t>Цена любриканта (сошет)</t>
  </si>
  <si>
    <t xml:space="preserve">любриканты необходимо закупать в сошктах 20% и тюбиках 80% </t>
  </si>
  <si>
    <t>Цена любриканта (тюбик)</t>
  </si>
  <si>
    <t>ИППП-сервис</t>
  </si>
  <si>
    <t xml:space="preserve">30% секс-работников диагностика, </t>
  </si>
  <si>
    <t>из них 40% лечение</t>
  </si>
  <si>
    <t>5 городов: Бишкек, Ош, ЖА, Каракол, Талас</t>
  </si>
  <si>
    <t>% занятости</t>
  </si>
  <si>
    <t>Кол-во единиц или единица времени</t>
  </si>
  <si>
    <t>Стоимость ед. за 1 месяц</t>
  </si>
  <si>
    <t>в год</t>
  </si>
  <si>
    <t>Трудовые ресурсы</t>
  </si>
  <si>
    <t>Врач Бишкек, ОШ</t>
  </si>
  <si>
    <t>Врач, Джалалабад, Каракол, Талас</t>
  </si>
  <si>
    <t>всего</t>
  </si>
  <si>
    <t>Услуги диагностики (лаборатория)</t>
  </si>
  <si>
    <t>диагностика для 30%</t>
  </si>
  <si>
    <t>Медикаменты</t>
  </si>
  <si>
    <t>Лечение из расчета: в лечени нуждаются 40% обратившихся от общего числа обращаюхся (65% от охвата)</t>
  </si>
  <si>
    <t>Заявка на оборудования для ЛДВ (получены из ЦПБС по вотвап)</t>
  </si>
  <si>
    <t>№</t>
  </si>
  <si>
    <t>Наименование</t>
  </si>
  <si>
    <t>РЦ СПИД</t>
  </si>
  <si>
    <t>Ош ОЦПБС</t>
  </si>
  <si>
    <t>Жалалабат ОЦПБС</t>
  </si>
  <si>
    <t>Баткен ОЦПБС</t>
  </si>
  <si>
    <t>Чуй ОЦПБС</t>
  </si>
  <si>
    <t>Нарын ОЦПБС</t>
  </si>
  <si>
    <t>Иссык-Куль ОЦПБС</t>
  </si>
  <si>
    <t>Талас ОЦПБС</t>
  </si>
  <si>
    <t>ГЦПБС г. Бишкек</t>
  </si>
  <si>
    <t>РЦК</t>
  </si>
  <si>
    <t>Цена за ед. (сом)</t>
  </si>
  <si>
    <t>Общ. цена</t>
  </si>
  <si>
    <t>arith check by Meerim</t>
  </si>
  <si>
    <t>prices by RAC converted to USD currency</t>
  </si>
  <si>
    <t>unit price</t>
  </si>
  <si>
    <t>total</t>
  </si>
  <si>
    <t>reference</t>
  </si>
  <si>
    <t>q-ty</t>
  </si>
  <si>
    <t>Arith check</t>
  </si>
  <si>
    <t>Модули для ПЦР-  анализатора GeneXpert</t>
  </si>
  <si>
    <t>Аппарат для неинвазивного определения степени фиброза печени (Фиброскан)</t>
  </si>
  <si>
    <t>Erba Mannheim H360 Lyse – лизирующий раствор</t>
  </si>
  <si>
    <r>
      <t>Erba Mannheim H360 Elite H Clean</t>
    </r>
    <r>
      <rPr>
        <sz val="12"/>
        <color theme="1"/>
        <rFont val="Times New Roman"/>
        <family val="1"/>
        <charset val="204"/>
      </rPr>
      <t xml:space="preserve">  – очищающий раствор</t>
    </r>
  </si>
  <si>
    <t>Erba Mannheim H360 DIL  –  дилюент разбавитель</t>
  </si>
  <si>
    <t xml:space="preserve">Erba Mannheim H360 Elite HCAL, Erba H3 CON (L, N, H)  – калибратор и контрольная кровь низкий, нормальный, высокий) </t>
  </si>
  <si>
    <t>to be entered to HPMT</t>
  </si>
  <si>
    <t>GP420815-2 item 2, CE prices vary from 2000 to 15000 USD</t>
  </si>
  <si>
    <t>Промывочный аппарат (вошер) для ИФА анализов</t>
  </si>
  <si>
    <t>GP420815-2 item 3, CE prices vary from 2000 to 10000 USD</t>
  </si>
  <si>
    <t>Биохимический анализатор для проведения биохимических исследований</t>
  </si>
  <si>
    <r>
      <t>Система очистки воды</t>
    </r>
    <r>
      <rPr>
        <b/>
        <sz val="12"/>
        <color theme="1"/>
        <rFont val="Times New Roman"/>
        <family val="1"/>
        <charset val="204"/>
      </rPr>
      <t>/</t>
    </r>
    <r>
      <rPr>
        <sz val="12"/>
        <color theme="1"/>
        <rFont val="Times New Roman"/>
        <family val="1"/>
        <charset val="204"/>
      </rPr>
      <t>Би дистиллятор</t>
    </r>
  </si>
  <si>
    <t>GP420815-4 item 1</t>
  </si>
  <si>
    <t>Дистиллятор/очиститель воды</t>
  </si>
  <si>
    <t>GP420815-6</t>
  </si>
  <si>
    <t>Автоклав вертикальный</t>
  </si>
  <si>
    <t>GP420815-4 prices vary from 1400 to 6000 USD</t>
  </si>
  <si>
    <t>Кондиционер "Зима-лоето"</t>
  </si>
  <si>
    <t>Canvas_Technosmart LLC_ 2021</t>
  </si>
  <si>
    <t>Источник бесперебойного питания/УПС</t>
  </si>
  <si>
    <t xml:space="preserve">QTE70028 PLANSON’s offer ,  </t>
  </si>
  <si>
    <t>Холодильник для хранения тест систем и биообразцов (фармацефтический)</t>
  </si>
  <si>
    <t>1 (16 мод.)</t>
  </si>
  <si>
    <t>1 (4х)</t>
  </si>
  <si>
    <t>Ламинарный бокс (ПЦР-бокс для стерильных работ с УФ- рециркулятором)</t>
  </si>
  <si>
    <t>Лабораторная центрифуга (12 гнездов) (4100 об/мин)</t>
  </si>
  <si>
    <t>Термошейкер для инкубации</t>
  </si>
  <si>
    <t>Компютер комплект+ принтер</t>
  </si>
  <si>
    <t>QTE70028 PLANSON’s offer, 1447 USD  for one set and printer Epson 150 USD</t>
  </si>
  <si>
    <t>Лабораторный стол</t>
  </si>
  <si>
    <t>Лабораторный стул</t>
  </si>
  <si>
    <t>Set of upholstery furniture, 3+1+1, PO GF21038</t>
  </si>
  <si>
    <t>Шкаф с замком</t>
  </si>
  <si>
    <t>GP420815-1 (item 13), unit price is 350,776 USD (EUR UNORE Dec 22)</t>
  </si>
  <si>
    <t>Ноутбук</t>
  </si>
  <si>
    <t xml:space="preserve">QTE70028 PLANSON’s offer </t>
  </si>
  <si>
    <t>Дозатор 8 канальный -30-300</t>
  </si>
  <si>
    <t>Дозатор 8 канальный -5-50</t>
  </si>
  <si>
    <t>Дозатор 1 канальный -100-1000</t>
  </si>
  <si>
    <t>Дозатор 1 канальный -50-200</t>
  </si>
  <si>
    <t>Дозатор 1 канальный -10-100</t>
  </si>
  <si>
    <t>Стиральная машина</t>
  </si>
  <si>
    <t>LG, 9 kg, PO GF21032</t>
  </si>
  <si>
    <t>Элкетронные весы</t>
  </si>
  <si>
    <t>https://zavod-pt.kg/catalog/vesy_torgovye/vesy_elektronnye_unifitsirovannogo_konstruktirovannogo_ryada_tves_veu_200s_50_100_i_st_u/</t>
  </si>
  <si>
    <t>Водонагреватель-аристон 10 литр</t>
  </si>
  <si>
    <t>https://cityclimate.kg/product/ariston-abs-pro-10-or/</t>
  </si>
  <si>
    <t>Гигрометры + термометр цифровой</t>
  </si>
  <si>
    <t>Сканер+принтер</t>
  </si>
  <si>
    <t xml:space="preserve">Кресло офисное на колесиках </t>
  </si>
  <si>
    <t>GF21037, unit price is 41 USD</t>
  </si>
  <si>
    <t>Шкаф железный для хранения ИМН</t>
  </si>
  <si>
    <t>СД счетцик (Факспресто)</t>
  </si>
  <si>
    <t>Генератор (50 кВт)</t>
  </si>
  <si>
    <t>GF21009, unit price 5298 USD</t>
  </si>
  <si>
    <t>Душевая кабина для ПЦР лаб. (С установкой)</t>
  </si>
  <si>
    <t>leave end user price</t>
  </si>
  <si>
    <t>Аварийный душ (с установкой)</t>
  </si>
  <si>
    <t>Электронный таймер</t>
  </si>
  <si>
    <t>ИТОГО (сом)</t>
  </si>
  <si>
    <t>АРВ-препараты</t>
  </si>
  <si>
    <t>Прогноз ЛЖВ на 31.12.2023</t>
  </si>
  <si>
    <t>Стоимость в $ БЖ</t>
  </si>
  <si>
    <t>Стоимость в $ ПРООН</t>
  </si>
  <si>
    <t>Прогноз ЛЖВ  на 31.12.2024</t>
  </si>
  <si>
    <t>Гос. Бюджет количество ЛВЖ</t>
  </si>
  <si>
    <t>Сумма за счет Гос.бюджета в $</t>
  </si>
  <si>
    <t>Глобальный фонд</t>
  </si>
  <si>
    <t>Сумма за счет ГФ  в $</t>
  </si>
  <si>
    <t>Общая сумма в $</t>
  </si>
  <si>
    <t>Прогноз ЛЖВ на 31.12.2025</t>
  </si>
  <si>
    <t>Сумма за счет ГФ в $</t>
  </si>
  <si>
    <t>Прогноз ЛЖВ на 31.12.2026</t>
  </si>
  <si>
    <t>Буфер на 30.06.2027 год</t>
  </si>
  <si>
    <t>FDC (TDF/3TC/DTG)</t>
  </si>
  <si>
    <t>FDC (TDF/FTC/EFV)</t>
  </si>
  <si>
    <t xml:space="preserve">(ABC/3TC)600/300 мг </t>
  </si>
  <si>
    <t xml:space="preserve">DTG 50 мг </t>
  </si>
  <si>
    <t>(ABC/3TC/DTG)</t>
  </si>
  <si>
    <t>(TDF+FTC)</t>
  </si>
  <si>
    <t>(AZT+3TC) 300/150 мг</t>
  </si>
  <si>
    <t>ATV/RTV</t>
  </si>
  <si>
    <t>FDC (TAF/3TC/DTG)</t>
  </si>
  <si>
    <t>DTG 10</t>
  </si>
  <si>
    <t>EFV 200 мг</t>
  </si>
  <si>
    <t>RAL 100 мг (жевательная таб.)</t>
  </si>
  <si>
    <t>(ABC+3TC) 120/60 мг</t>
  </si>
  <si>
    <t>(AZT+3TC)60/30 мг</t>
  </si>
  <si>
    <t xml:space="preserve">RAL  100 мг (1-5лет) 
гранулированная форма в пакетиках </t>
  </si>
  <si>
    <t>(TDF+FTC) ДКП</t>
  </si>
  <si>
    <t>AZT 100 мл сироп</t>
  </si>
  <si>
    <t>NVP 100 мл сироп</t>
  </si>
  <si>
    <t xml:space="preserve">Рифампентин/изониазид </t>
  </si>
  <si>
    <t>Итого:</t>
  </si>
  <si>
    <t>АРТ ГФ</t>
  </si>
  <si>
    <t>Диагностика</t>
  </si>
  <si>
    <t>ИТОГО</t>
  </si>
  <si>
    <t>АРТ БЖ</t>
  </si>
  <si>
    <t>Наименование тестов</t>
  </si>
  <si>
    <t>Стоимость в $</t>
  </si>
  <si>
    <t>Прогноз  на 31.12.2024</t>
  </si>
  <si>
    <t xml:space="preserve">Всего исследований </t>
  </si>
  <si>
    <t>Прогноз на 31.12.2025</t>
  </si>
  <si>
    <t>Прогноз на 31.12.2026</t>
  </si>
  <si>
    <t>Прогноз на буфер 6 мес.30.06.2027</t>
  </si>
  <si>
    <t>Вирусна нагрузка  "Xpert HIV-1 Viral Load"</t>
  </si>
  <si>
    <t>Тесты по слюне на ВИЧ "Oral Quick HIV-1/2" втом числе самотетсты</t>
  </si>
  <si>
    <t>ДНК ПЦР для ППМР "Xpert HIV-1 Qual"</t>
  </si>
  <si>
    <t>ДНК ПЦР для подтверждения "Xpert HIV-1 Qual"</t>
  </si>
  <si>
    <t>СД 4 "BD FACSPresto Near-Patient CD4 Counter"</t>
  </si>
  <si>
    <t>Тест на резистентность АРВП</t>
  </si>
  <si>
    <t>Тест на давность заражения "Maxim HIV-1 limiting Antigen-Avidity Incidence EIA Kit"</t>
  </si>
  <si>
    <t>Экспресс тесты на ВИЧ/ВГС/ВГВ</t>
  </si>
  <si>
    <t>ЭТ TB-LAM в моче</t>
  </si>
  <si>
    <t>ЭТ на криптококковый антиген</t>
  </si>
  <si>
    <t>ЭТ по капиллярной крови на ВИЧ</t>
  </si>
  <si>
    <t>ДТС ГФ</t>
  </si>
  <si>
    <t>Для самотестирования 20% от КГН: 13450</t>
  </si>
  <si>
    <t>ЭТ на ВИЧ для КГН</t>
  </si>
  <si>
    <t>Мигранты</t>
  </si>
  <si>
    <t>ЦРЗ</t>
  </si>
  <si>
    <t>Правовые барьеры</t>
  </si>
  <si>
    <t>ИМН для КГН вкл Налоксон</t>
  </si>
  <si>
    <t>Аренда офисного помещения: в г. Бишкек (2) по 800$, Ош(1) - 600$, Джалал-Абад (1) и Талас (1) - 300$</t>
  </si>
  <si>
    <t>Аренда  жилых помещений по 800$</t>
  </si>
  <si>
    <t>Продукты питания, принадлежности личной гигиены и мыломоющие средства (250$) из рассчета на 8 человек в месяц</t>
  </si>
  <si>
    <t>Специалист по работе с сообществом, 50% занятости,180$*50</t>
  </si>
  <si>
    <t>Рассчет 40$*5офисов</t>
  </si>
  <si>
    <t>2 тренинга в год (1 на Севере, 1 на Юге)*25человек+2тренера*60$*3+логистика - $3800 (транспортные, проживание, аренда зала, питание, канцелярские товары и тд)</t>
  </si>
  <si>
    <t xml:space="preserve">Разработка 2 видео-курсов по темам ВИЧ, СРЗП, профилактика гендерного насилия, новых ПАВ, интерграция услуг. Поддержка хостинга в приложении "Кексик", разработанного в рамках проекта UNFPA. </t>
  </si>
  <si>
    <t>1. Поддержка приложения $400 в год*3года; 2.Гонорары экспертам по разработке материалов для 2 видео-курсов; 3. Дизайн и техническая поддержка видео-курсов</t>
  </si>
  <si>
    <t>Экспресс-тесты (5000 ед в год х 4 USD)</t>
  </si>
  <si>
    <t>2 Аутрич сотрудник, 50% занятости, 180$*36мес.</t>
  </si>
  <si>
    <t>Поддержка оплаты интернета в организации 30$*36мес</t>
  </si>
  <si>
    <t>Расчет 6$*36мес</t>
  </si>
  <si>
    <t>Рассчет 30$*36мес</t>
  </si>
  <si>
    <t>PSM</t>
  </si>
  <si>
    <r>
      <t xml:space="preserve">1.Мониторинг и анализ НПА КР по обеспечению законодательства и правоприменительной практики относительно мигрантов по ВИЧ, ТБ, ИППП  и др. 2 эксперта* 15 дней*100$= 3000$             2. Круглый стол по результатам анализа НПА 1  день,  30 человек-1500 $, 3 Создание  рабочей группы из представителей   профильных комитетов (МТСОМ, Цетр трудоустройства, Совет по вопросам миграции при Торага ЖК КР, Мид КР,  МЗ КР, НПО, руководители диапор по мониторингу ситуации и выполнению мероприятий по профилактике ВИЧ, ИППП и ТБ   Разработка ТЗ для РГ. 2 эксперта*100$ *10 дней= 2000 $,   Работа РГ 2 встречи*2 года* 30 $*10 чел= 1200 $  </t>
    </r>
    <r>
      <rPr>
        <b/>
        <sz val="11"/>
        <color theme="1"/>
        <rFont val="Arial"/>
        <family val="2"/>
        <charset val="204"/>
      </rPr>
      <t>Итого 7700</t>
    </r>
  </si>
  <si>
    <r>
      <t xml:space="preserve">  1.Онлайн тренинги  для руководителей диспоральных организаций в РФ  (134 диаспор ) по информированию о распространении и лечению ВИЧ, о возможности дистанционного учета на ВИЧ и получения АРВТ, о ТБ  и ИППП с последующей имплеминтацией в мигрантское сообщество.  2 тренера* 60 $*3 дня * 2 года (изменения НПА КР, РФ,</t>
    </r>
    <r>
      <rPr>
        <sz val="11"/>
        <color rgb="FFFF0000"/>
        <rFont val="Arial"/>
        <family val="2"/>
        <charset val="204"/>
      </rPr>
      <t xml:space="preserve"> протокола лечения</t>
    </r>
    <r>
      <rPr>
        <sz val="11"/>
        <color theme="1"/>
        <rFont val="Arial"/>
        <family val="2"/>
        <charset val="204"/>
      </rPr>
      <t>) = 720 $  2.Тренинги для сотрудников государственных   и неправительственных организаций работающих с мигрантами, профильных министерств и ведомств по миграции по повышению потенциала в области ВИЧ и ТБ в КР  25 человек , ежегодна по 1 тренингу в год на юге и севере страны. 6 тренингов * 3000 $= 18000 $,</t>
    </r>
    <r>
      <rPr>
        <sz val="11"/>
        <rFont val="Arial"/>
        <family val="2"/>
        <charset val="204"/>
      </rPr>
      <t xml:space="preserve">  3.Информирование мигрантские сообщества через социальные сети(ватсап, одноклассники, вайбер, телеграмм, фейсбук, инстаграмм,сайты и социальные сети партнёрских организаций в КР и РФ. Координатор информационного пула 200$ * 36 месяцев=7200$  </t>
    </r>
    <r>
      <rPr>
        <b/>
        <sz val="11"/>
        <rFont val="Arial"/>
        <family val="2"/>
        <charset val="204"/>
      </rPr>
      <t>Итого 25920</t>
    </r>
  </si>
  <si>
    <t>Итого на 1 НПО/ 6 НПО</t>
  </si>
  <si>
    <t>по результату</t>
  </si>
  <si>
    <t xml:space="preserve">Медицинский специалист (Врач для ДКП на базе НПО г. Бишкек НПО МСМ) 2 раза в неделю по 0,5 дней
</t>
  </si>
  <si>
    <t xml:space="preserve">Медицинский специалист (Врач/м/с для ДКП на базе НПО г. Бишкек НПО МСМ)  (для проведения диагностики) 2 раза в неделю по 0,5 дней
</t>
  </si>
  <si>
    <t xml:space="preserve">Медицинский специалист (Врач/м/с для ДКП на базе НПО г. Ош НПО МСМ (для проведения диагностики))
1 раз в неделю по 0,5 дней
</t>
  </si>
  <si>
    <t>Медицинский специалист (Врач для ДКП на базе НПО г. Ош НПО МСМ)
1 раз в неделю по 0,5 дней</t>
  </si>
  <si>
    <t>Услуги 3 экспертов по разработке и внедрению механизмов доплат для специалистов ПМСП, оказывающих услуги в связи с ВИЧ на основании достигнутых результатов за счет государственных средств (ситуационный анализ, обсуждение с партнерами, разработка механизма, бюджетная адвокация)</t>
  </si>
  <si>
    <t>Цена тестов ниже на самотесты заложить на все ЭТ</t>
  </si>
  <si>
    <t>100% потребность в презервативах ( 14 штук в неделю)</t>
  </si>
  <si>
    <t>Метадон (30 кг в год)</t>
  </si>
  <si>
    <t>М17,18,19,6,4,5</t>
  </si>
  <si>
    <t>$ (83,4 сом)</t>
  </si>
  <si>
    <t xml:space="preserve">Микропланшетный автоматический фотометр (ридер) с принтером </t>
  </si>
  <si>
    <t>Фильтры для воды в лабораторию</t>
  </si>
  <si>
    <t>ПЦР-  анализатор</t>
  </si>
  <si>
    <t>Бактерицидная лампа на колесах/переносной</t>
  </si>
  <si>
    <t>Медицинский специалист - за выявленный случай врамках внедрения ЭТ по каппиллярной крови</t>
  </si>
  <si>
    <t>2 Медицинских специалиста (по расширению экспресс-тестирования в организациях здравоохранения (ОЗ) по Южному и Северному Регионам)</t>
  </si>
  <si>
    <t>Бюджет ОЦКГВГи ВИЧ</t>
  </si>
  <si>
    <t>Техническая помощь для 6 ЛДВ для подготовки и внедрения стандартов ISO15189 (Услуги эксперта )</t>
  </si>
  <si>
    <t>Командировочные расходы эксперта в регионы (3 поездки в год по 5 дней в каждый регион)</t>
  </si>
  <si>
    <t>Мониторинг внедрения  СМК в 33 ЛДВГВ КР по 2 дня на лабораторию командировочные расходы</t>
  </si>
  <si>
    <t>Мониторинг внедрения у СМК в 33 ЛДВГВ КР - гонорар экспертов</t>
  </si>
  <si>
    <t xml:space="preserve">Один международный эксперт. Провести обучение сотрудников ЦКГВГ и ВИЧ, НЦФ, ЦПБТ по вопросам управления запасами ЛС и ИМН. -7000$, Один трехдневный семинар - 5000$ </t>
  </si>
  <si>
    <t>Один местный эксперт. Провести ситуационный анализ, в том числе поездки по регионам Предоставить отчет. Разработать и согласовать с национальной стороной и партнерами план по расширению и оптимизации системы транспортировки и хранения ЛС и ИМН. -5000$.  Создание рабочей группы (в количестве 5 местных экспертов) по разработке НПА в области транспортировки, хранения, распределения ЛС и ИМН, в том числе разработать механизм оплаты транспортных услуг и услуг по хранению ЛС, ИМН из бюджета ОЗ - 5000$</t>
  </si>
  <si>
    <t>Расширение и ремонт имеющихся складских помещений (или переоборудование имеющихся помещений) в 7 регионах кроме Республиканского и Ошского Центров 5х10000$=50000$</t>
  </si>
  <si>
    <t>Обучение эпидемиологов, клинических и лабораторных специалистов  РЦКГВГ и ВИЧ по вопросам прогнозирования и планирования потребности в товарах медицинского назначения (1 международный эксперт)</t>
  </si>
  <si>
    <t>Обучение специалистов по закупкам по механизму закупок  с использованием международных платформ (10 специалистов из ОЗ)</t>
  </si>
  <si>
    <t>Проведение выездной тренинг для медицинских работников по выявлению и устранению связанного с работой стресса, по 25 человек, по 3 дня (И-К)</t>
  </si>
  <si>
    <t xml:space="preserve">2. Повышение потенциала медицинских работников, предоставляющих услуги в связи с ВИЧ, по медицинской этике, направленные на устранение стигмы и дискриминации в медицинских учреждениях и направленные на популяризацию ухода, ориентированного на пациента. 2 семинара </t>
  </si>
  <si>
    <t>Вендинговые машины (Тестоматы, шприцематы, кондоматы)</t>
  </si>
  <si>
    <t>Комплек лаб. мебели  3 комплектов</t>
  </si>
  <si>
    <t>Медицинский специалист (врач МДК на 60% занятости) (г. Бишкек, г. Ош и Ошская обл)</t>
  </si>
  <si>
    <t>Отсос медицинский</t>
  </si>
  <si>
    <t>Оборудование для транспортировки грузов</t>
  </si>
  <si>
    <t>стоимость</t>
  </si>
  <si>
    <t>Для РЦПН</t>
  </si>
  <si>
    <t>Стоимость</t>
  </si>
  <si>
    <t>Для РЦС</t>
  </si>
  <si>
    <t>Вакцина для ЛЖВ клиентов на рак шейки матки</t>
  </si>
  <si>
    <t>Показать в бюджете как лечение ИППП в закупку не включать по медикаментам</t>
  </si>
  <si>
    <t>Социальный фонд 17%</t>
  </si>
  <si>
    <t xml:space="preserve">Итого на 1 </t>
  </si>
  <si>
    <t>RSSH Модуль 1</t>
  </si>
  <si>
    <t>RSSH Модуль 2</t>
  </si>
  <si>
    <r>
      <t>Поддержка РГ и экспертов по пересмотру НПА - 4 чел.х100$х15 дн.=6000$, 2.Проведение рабочих встреч 2х500$=1000$, 3. Проведение круглого стола 1х1400$= 1400$, Суммарно 6000+1000+1400=</t>
    </r>
    <r>
      <rPr>
        <b/>
        <sz val="11"/>
        <color theme="1"/>
        <rFont val="Arial"/>
        <family val="2"/>
        <charset val="204"/>
      </rPr>
      <t xml:space="preserve"> 8400$</t>
    </r>
  </si>
  <si>
    <r>
      <t>7.</t>
    </r>
    <r>
      <rPr>
        <sz val="7"/>
        <color theme="1"/>
        <rFont val="Arial"/>
        <family val="2"/>
        <charset val="204"/>
      </rPr>
      <t xml:space="preserve">     </t>
    </r>
    <r>
      <rPr>
        <sz val="11"/>
        <color theme="1"/>
        <rFont val="Arial"/>
        <family val="2"/>
        <charset val="204"/>
      </rPr>
      <t>Пересмотр национальных клинических протоколов по диагностике и лечению ВИЧ, ПТАО в соответствии с актуальными рекомендациями ВОЗ.</t>
    </r>
  </si>
  <si>
    <t>6. Провести среднесрочную оценку Программы КМ в сфере ВИЧ</t>
  </si>
  <si>
    <r>
      <t xml:space="preserve">1.Поддержка экспертов для анализа, в том числе международного эксперта - 17500$, 2. Проведение рабочих встреч  - 3 х500$=1500$, 3. Проведение круглых столов 1х1400$= 2800$, . Суммарно  </t>
    </r>
    <r>
      <rPr>
        <b/>
        <sz val="11"/>
        <color theme="1"/>
        <rFont val="Arial"/>
        <family val="2"/>
        <charset val="204"/>
      </rPr>
      <t>21800$</t>
    </r>
  </si>
  <si>
    <t>внесено в план закупок</t>
  </si>
  <si>
    <t>Комментарии от отдела зкупок</t>
  </si>
  <si>
    <t xml:space="preserve">внесено в план закупок </t>
  </si>
  <si>
    <t>Нужно включить в детальный бюджет</t>
  </si>
  <si>
    <t>внесено в план закупок только на 2024 и 2026 по 40 кг</t>
  </si>
  <si>
    <t>Комментарии от отдела закупок</t>
  </si>
  <si>
    <t>Erba Mannheim H360 Elite H Clean  – очищающий раствор</t>
  </si>
  <si>
    <t>Система очистки воды/Би дистиллятор</t>
  </si>
  <si>
    <t>s5 NP</t>
  </si>
  <si>
    <t>s6 NP</t>
  </si>
  <si>
    <t>s4 NP</t>
  </si>
  <si>
    <t>удалено сумма по нулям</t>
  </si>
  <si>
    <t>Просим внести в детальный бюджет</t>
  </si>
  <si>
    <t xml:space="preserve">внесено в план закупок одной линией </t>
  </si>
  <si>
    <t>Стоимость за единицу (KGS)</t>
  </si>
  <si>
    <t>Оплата персоналу: Координатор (2024 - 50%, 2025-75%, 2026 - 100%)</t>
  </si>
  <si>
    <t>Оплата персоналу: Финансовый менеджер (2024 - 50%, 2025-75%, 2026 - 100%)</t>
  </si>
  <si>
    <t>Оплата персоналу: Закупщик (2024 - 25%, 2025-50%, 2026 - 75%)</t>
  </si>
  <si>
    <t>Оплата персоналу:  программные специалисты (2024 - 1 программный специалист на 50%, 1 МиО специалист на 50%, 2025 - 2 программных специалиста на 50%, 2 МиО специалиста на 50%, 2026 - 2 программных специалиста в сумме 150%, 2 МиО специалиста в сумме 150%)</t>
  </si>
  <si>
    <t>IT специалист (2024-25%, 2025-2026 - 50%)</t>
  </si>
  <si>
    <t>Оплата персоналу: Административный ассистент\переводчик  (50%)</t>
  </si>
  <si>
    <t>Расчет ИМН (включены в план закупок)</t>
  </si>
  <si>
    <t>Включено в план закупок</t>
  </si>
  <si>
    <t>Вкл в план закупок</t>
  </si>
  <si>
    <t>Координатор проекта , 50% занятости, 500$*36мес</t>
  </si>
  <si>
    <t>Бухгалтер Проекта, 50% занятости, 350$*36мес</t>
  </si>
  <si>
    <t>Специалист по развитию сообщества, 50% занятости, 400$*36мес.</t>
  </si>
  <si>
    <t>Закуп техники для осуществления программных процедур. Обновлять технику = 3000$ (2 ноутбука+принтер 3 в 1)</t>
  </si>
  <si>
    <t>Итого на 1 НПО/ 3 НПО</t>
  </si>
  <si>
    <r>
      <t>ИМН 12 шпр в мес, презерв 2 в мес, 12 салф</t>
    </r>
    <r>
      <rPr>
        <sz val="11"/>
        <color rgb="FFFF0000"/>
        <rFont val="Calibri"/>
        <family val="2"/>
        <charset val="204"/>
        <scheme val="minor"/>
      </rPr>
      <t xml:space="preserve"> (вкл в план закупок)</t>
    </r>
  </si>
  <si>
    <r>
      <t>Минимизация передозировок (налоксон) на охват всех соцаутрич</t>
    </r>
    <r>
      <rPr>
        <sz val="11"/>
        <color rgb="FFFF0000"/>
        <rFont val="Calibri"/>
        <family val="2"/>
        <charset val="204"/>
        <scheme val="minor"/>
      </rPr>
      <t xml:space="preserve"> (вкл в план закупок)</t>
    </r>
  </si>
  <si>
    <r>
      <t>Вакцина для ЛЖВ клиентов</t>
    </r>
    <r>
      <rPr>
        <sz val="11"/>
        <color rgb="FFFF0000"/>
        <rFont val="Calibri"/>
        <family val="2"/>
        <charset val="204"/>
        <scheme val="minor"/>
      </rPr>
      <t xml:space="preserve"> (в плане закупок)</t>
    </r>
  </si>
  <si>
    <t>Итого сом</t>
  </si>
  <si>
    <t>Долл</t>
  </si>
  <si>
    <t>Итого долл</t>
  </si>
  <si>
    <t>Внесен в план закупок</t>
  </si>
  <si>
    <t xml:space="preserve">Наименование тестов </t>
  </si>
  <si>
    <t>Все кроме выделенных желтым включены в план закупок</t>
  </si>
  <si>
    <t>Общие данные для тренингов, встреч и круглых столов</t>
  </si>
  <si>
    <t>Конференц-услуги</t>
  </si>
  <si>
    <t>Тренинг 1 день в г. Бишкек</t>
  </si>
  <si>
    <t>ст-ть за единицу в сомах</t>
  </si>
  <si>
    <t>кол-во участников</t>
  </si>
  <si>
    <t>Тренинг 1 день в г. Ош/Джалал-Абад</t>
  </si>
  <si>
    <t>Тренинг 1 день на Иссык-куле</t>
  </si>
  <si>
    <t>участники с Юга</t>
  </si>
  <si>
    <t>участники с Севера</t>
  </si>
  <si>
    <t>участники с регионов</t>
  </si>
  <si>
    <t>аренда зала (средняя ст-ть)</t>
  </si>
  <si>
    <t>кофе-брейк на человека</t>
  </si>
  <si>
    <t>вода</t>
  </si>
  <si>
    <t>обед на человека</t>
  </si>
  <si>
    <t>ужин на человека</t>
  </si>
  <si>
    <t>канцтовары</t>
  </si>
  <si>
    <t>раздатки</t>
  </si>
  <si>
    <t xml:space="preserve">проживание </t>
  </si>
  <si>
    <t>авиабилет в обе стороны</t>
  </si>
  <si>
    <t>наземные транспортные расходы</t>
  </si>
  <si>
    <t xml:space="preserve">суточные </t>
  </si>
  <si>
    <t>Итоговая стоимость мероприятия</t>
  </si>
  <si>
    <t>средняя стоимость на человека в день</t>
  </si>
  <si>
    <t>Курс ГФ</t>
  </si>
  <si>
    <t>Стоимость на участника в день в $</t>
  </si>
  <si>
    <t xml:space="preserve">Средняя стоимость на 1 участника на 1 день по регионам </t>
  </si>
  <si>
    <t>Средняя стоимость на 1 участника на 1 день по всем регионам в Бишкек</t>
  </si>
  <si>
    <t>Средняя стоимость на 1 участника для севера в Бишкек</t>
  </si>
  <si>
    <r>
      <t xml:space="preserve">1.Поддержка экспертов для анализа и разработки НПА (ПГГ, ПЖВЛС, международные закупки, программа ГСЗ в здравоохранении и пробации)- 3 чел.х 5 НПАх100$х15дн.=22500$, 2. Проведение рабочих встреч по 2 на каждое НПА - 2 х5 НПА х500$=5000$, 3. Проведение круглых столов 5 НПАх1400$= 7000$, 4. Медиа-сопровождение в социальных сетях - 1 штатная единица в составе сети - 3600 $ в год х2= 7200. </t>
    </r>
    <r>
      <rPr>
        <b/>
        <sz val="11"/>
        <color theme="1"/>
        <rFont val="Arial"/>
        <family val="2"/>
        <charset val="204"/>
      </rPr>
      <t>Суммарно 22500$+5000+7000+ 7200 = 41700$</t>
    </r>
  </si>
  <si>
    <r>
      <t xml:space="preserve">1.Поддержка РГ и экспертов по пересмотру Программы - 2 чел.х100$х15 дн.=3000$, 2.Проведение рабочих встреч 2х500$=1000$, 3. Проведение круглого стола 1х1400$= 1400$, 4. Мониторинг исполнения дорожной карты (кабинетный анализ, выезды на места, представление результатов)- 2 эксперта х 10 дн.х 100$= 2000$ + выезды по регионам - 1500$ = 3500$  </t>
    </r>
    <r>
      <rPr>
        <b/>
        <sz val="11"/>
        <color theme="1"/>
        <rFont val="Arial"/>
        <family val="2"/>
        <charset val="204"/>
      </rPr>
      <t>Суммарно 3000+1000+1400+3500= 8900$</t>
    </r>
  </si>
  <si>
    <r>
      <t xml:space="preserve">Поддержка рабочих групп, экспертов для пересмотра клинических протоколов по ВИЧ, ВГ, ПТАО - 3 эксперта для каждого протокола 3х100$х30 дн.=9000 $, проведение рабочих встреч, круглых столов по обсуждению протоколов - 2 встречи х 500$ х 4 протокола = 4000$, 3 круглых стола х 1400$ = 4200$. </t>
    </r>
    <r>
      <rPr>
        <b/>
        <sz val="11"/>
        <color theme="1"/>
        <rFont val="Arial"/>
        <family val="2"/>
        <charset val="204"/>
      </rPr>
      <t>Суммарно - 17200 $</t>
    </r>
  </si>
  <si>
    <r>
      <t xml:space="preserve">Анализ законодательства и разработка рекомендаций для устранения нормативных барьеров в реализации ГСЗ, включая анализ бюджетного кодекса, механизмов непрерывности предоставления услуг, обеспечения конфиденциальности клиентов - 2 эксперта х 100$ х 20 дн.=4000$, разработка и утверждение стандартов, стиомости услуг в ГСЗ - 2 эксп. х 100$ х 20 дн.=4000$, проведение семинаров для служб СПИДа, ТБ, пробации - 1 семинар в год х 2 службы х 7000$ х 2 года = 42000$. </t>
    </r>
    <r>
      <rPr>
        <b/>
        <sz val="11"/>
        <color theme="1"/>
        <rFont val="Arial"/>
        <family val="2"/>
        <charset val="204"/>
      </rPr>
      <t>Суммарно 4000+4000+28000 = 36000$</t>
    </r>
  </si>
  <si>
    <r>
      <t xml:space="preserve">1. Проведение круглых столов - 2 раза в год, 2 х 3 года х 1400$ = </t>
    </r>
    <r>
      <rPr>
        <b/>
        <sz val="11"/>
        <color theme="1"/>
        <rFont val="Arial"/>
        <family val="2"/>
        <charset val="204"/>
      </rPr>
      <t>8400$</t>
    </r>
  </si>
  <si>
    <r>
      <rPr>
        <b/>
        <sz val="11"/>
        <color theme="1"/>
        <rFont val="Arial"/>
        <family val="2"/>
        <charset val="204"/>
      </rPr>
      <t>10000$</t>
    </r>
    <r>
      <rPr>
        <sz val="11"/>
        <color theme="1"/>
        <rFont val="Arial"/>
        <family val="2"/>
        <charset val="204"/>
      </rPr>
      <t xml:space="preserve"> в год, включая поездки на конференции лиц, принимающих решения, проведение встреч высокого уровня, выездных заседаний </t>
    </r>
  </si>
  <si>
    <r>
      <t xml:space="preserve">Поддержка разработки плана CLM , включая поддержку по 1-у эксперту от сообществ -5 эксп. Х 100$ х 10 дн = 5000$, проведение обсуждений с сообществами - 5 встреч х 2000$ = 10000$, представление планов на страновых площадках - круглый столы -1400$, адвокация внедрения планов в национальные механизмы мониторинга и оценки будет осуществляться через сети. </t>
    </r>
    <r>
      <rPr>
        <b/>
        <sz val="11"/>
        <color theme="1"/>
        <rFont val="Arial"/>
        <family val="2"/>
        <charset val="204"/>
      </rPr>
      <t>Суммарно 5000+10000+1400=16400$</t>
    </r>
  </si>
  <si>
    <r>
      <t>Закупка орг.техники, мебели и др.оборудования по 3000$ на одну организацию х 10 НПО = 30</t>
    </r>
    <r>
      <rPr>
        <b/>
        <sz val="11"/>
        <color theme="1"/>
        <rFont val="Arial"/>
        <family val="2"/>
        <charset val="204"/>
      </rPr>
      <t>000$</t>
    </r>
  </si>
  <si>
    <t>В составе сети/НПО проект по внедрению он-лайн тестирования и перенаправлению в программы</t>
  </si>
  <si>
    <t>Он-лайн консультант по каждому сообществу (1 человек по СР, ЛУН, МСМ)</t>
  </si>
  <si>
    <t>Он лайн врач (оплата за предоставленные консультации)</t>
  </si>
  <si>
    <t>Он лайн психолог (оплата за предоставленные консультации)</t>
  </si>
  <si>
    <t>Он лайн юрист (оплата за предоставленные консультации)</t>
  </si>
  <si>
    <t>Интернет/мобильная связь</t>
  </si>
  <si>
    <t xml:space="preserve">Поддержка РГ из 3-х экспертов х 100$ х 10 дн. = 3000$, </t>
  </si>
  <si>
    <t>2. Продолжение реализации межведомственного плана по снижению правовых барьеров, утвержденного тремя министерствами (МЗ, МВД, МЮ/СИН). Поддержка межведомственной мониторинговой группы</t>
  </si>
  <si>
    <t xml:space="preserve">Поддержка секретариата в виде 2-х консультантов ( 1 гос.+1 гражданский) х 250$ в месяц х 4 месяца в год х 3 года </t>
  </si>
  <si>
    <t xml:space="preserve">Поддержка работы межведомственной мониторинговой группы - 2 встречи в год - 2 х 3 года х 500$ = 3000$ </t>
  </si>
  <si>
    <t xml:space="preserve">Проведение сводного анализа по нарушениям прав - 2 эксперта х 100$ х 10 дней х 3 года  </t>
  </si>
  <si>
    <t>Проведение выездного заседания и обучения членов мониторинговой группы  (3 дня без приезжих 25 чел. в 2024 г.</t>
  </si>
  <si>
    <t xml:space="preserve">3. Проведение регулярного мониторинга исполнения планов, инструкций, связанных с КГН; с людьми, живущими с ВИЧ и ТБ </t>
  </si>
  <si>
    <t>4. Разработать и внедрить механизмы мониторинга оценки стигмы, дискриминации на уровне учреждений, предоставляющих услуги в связи с ВИЧ и ТБ</t>
  </si>
  <si>
    <t>Разработать национальные механизмы МиО стигмы и дискриминации с привлечением международного эксперта и поддержкой 2-х местных экспертов Предлагаю международного эксперта он-лайн 10 000; трех местных по 20 дней *100$ (2*20*100= 4000)</t>
  </si>
  <si>
    <t>Я ставила 7 тыс на международного эксперта из расчета на 7 дней он-лайн. Национальные 2 эксперта по 10 дней  Предлагаю сократить оставить 14 тыс (мах. 16) +17% = 16380. Итоговую сумму не меняла. Тем более еще и внедрение. Можно также включить 4 по 10 дней, включая строку 13 внедрение, которую удалить</t>
  </si>
  <si>
    <t>5. Провести национальные исследования: «Индекс стигмы людей, живущих с ВИЧ и с ТБ, а также ключевых групп населения» в 2025 году</t>
  </si>
  <si>
    <r>
      <t xml:space="preserve">Проведение оценки стигмы по ВИЧ и по ТБ 1 раз за весь период по 25000$ х 2 = </t>
    </r>
    <r>
      <rPr>
        <b/>
        <sz val="11"/>
        <color rgb="FF000000"/>
        <rFont val="Calibri"/>
        <family val="2"/>
        <charset val="204"/>
        <scheme val="minor"/>
      </rPr>
      <t xml:space="preserve">50000 $ </t>
    </r>
    <r>
      <rPr>
        <b/>
        <sz val="11"/>
        <color rgb="FFFF0000"/>
        <rFont val="Calibri"/>
        <family val="2"/>
        <charset val="204"/>
        <scheme val="minor"/>
      </rPr>
      <t xml:space="preserve">Попросить у Динары или Юли бюджет </t>
    </r>
  </si>
  <si>
    <t>6. Обеспечить работу совета по защите прав людей, живущих с ВИЧ и с ТБ, а также ключевых групп населения при Акыйкатчы Кыргызской Республики</t>
  </si>
  <si>
    <t xml:space="preserve">Вы удалили, а мы вернули этот блок. На нем настаивают НПО (строка 16-17. Сумма небольшая </t>
  </si>
  <si>
    <t xml:space="preserve">Провести выездную 2-х дневную встречу совета для разработки плана работы совета - 3500$. Все с Бишкека </t>
  </si>
  <si>
    <t>7. Разработать/обновить целевые информационные материалы, включая печатные, видеоматериалы; онлайн инструменты для каждой КГН, ЛЖВ, людей, живущих с ТБ</t>
  </si>
  <si>
    <t>3 эксперта по15 дней*100=$1500</t>
  </si>
  <si>
    <t>8. Организовать и регулярно проводить национальные информационные кампании среди КГН и общего населения по профилактике ВИЧ-инфекции, борьбе с неравенством, по противодействию насилию, снижению стигмы и дискриминации в отношении ЛЖВ и КГН силами сообществ</t>
  </si>
  <si>
    <r>
      <t xml:space="preserve"> 21 НПО по 500 х 3 года =</t>
    </r>
    <r>
      <rPr>
        <b/>
        <sz val="11"/>
        <color rgb="FF000000"/>
        <rFont val="Calibri"/>
        <family val="2"/>
        <charset val="204"/>
        <scheme val="minor"/>
      </rPr>
      <t>31500$</t>
    </r>
  </si>
  <si>
    <t>Это можно в сообщества перенести</t>
  </si>
  <si>
    <t>9.  Обучить представителей ОМСУ и религиозных лидеров по вопросам ВИЧ и дискриминации, силами сообществ, включая подготовку и распространение информационных материалов с участием сообществ</t>
  </si>
  <si>
    <t xml:space="preserve">Если Вы считаете, что нужно добавить мероприятия сообществ, можно оставить только на первый годд, а 2-3 год сделать силами сообществ по аналогии со строкой </t>
  </si>
  <si>
    <t xml:space="preserve">Проведение 1 мониторингового анализа в год - 3 эксперта х 100$ х 10 дн. Х 2 года = 10530$. </t>
  </si>
  <si>
    <t xml:space="preserve">Проведение общественных обсуждений - 1 раз в год х 1400$ х2=2800$. Без приезжих на 25 чел. </t>
  </si>
  <si>
    <t>2. Разработка и утверждение НПА на основании рассматриваемых законопроектов качающихся ВИЧ и ТБ, в которых исключен ряд дискриминационных норм</t>
  </si>
  <si>
    <t xml:space="preserve">На основании имеющихся анализов норм НПА, включающих дискриминацию, разработка НПА и последующая адвокация их принятия. 4 эксперта х 100$ х 30 дн.= 14040$ </t>
  </si>
  <si>
    <t>Адвокационные мероприятия - 9600$ круглые столы 3 с приезжими на 25 чел на 1 день.</t>
  </si>
  <si>
    <t xml:space="preserve">Пересмотр инструкций по наркологическому учету и норм принудительного лечения (поддержка 2 РГ по 5 чел. на 20 дней,  включая журналиста </t>
  </si>
  <si>
    <t>1. Подготовить тренеров из числа КГН и ЛЖВ и людей, живущих с ТБ, включая параюристов для дальнейшего обучения представителей НПО и государственных учреждений о недискриминационных подходах в рамках выполнения программ по ВИЧ и ТБ</t>
  </si>
  <si>
    <t xml:space="preserve">Разработка пособия 2 эксперта по 10 дней = по 1000 долларов </t>
  </si>
  <si>
    <t xml:space="preserve">Мастер классы однодневные в последующие 2 года ($ 1600*2 =3200). </t>
  </si>
  <si>
    <t>Каждой организации предоставить средства на проведение акций – 1 раз в год</t>
  </si>
  <si>
    <t>8 регионов по 1-й акции</t>
  </si>
  <si>
    <t>Указано выше строка 20. Если считаете, что это нужно перенести сюда - мы перенесем</t>
  </si>
  <si>
    <t>2. Организовать форумы ЛЖВ, больных ТБ, ключевых групп и национальных форумов НПО (ЛУН, СР, МСМ и ТГ) с целью обзора прогресса реализации программ по ВИЧ, анализа возможностей и препятствий для участия НПО и сообществ</t>
  </si>
  <si>
    <t>4 по 6000 долл, 1  по 25000долл в 2024 и 2026</t>
  </si>
  <si>
    <t>3. Проведение тренингов для представителей сообщества (БЗ, ЛУН, СР, ЛГБТ) по повышению потенцила в сфере правовых вопросов, мониторинга силами сообщества и адвокации</t>
  </si>
  <si>
    <t xml:space="preserve"> Тренинги по 3 дня на 25 чел с приезжими 1 раз в год</t>
  </si>
  <si>
    <t>можно сделать 2-хдневные</t>
  </si>
  <si>
    <t>1. В целях снижения стигматизации и дискриминации ЛЖВ в медицинских учреждениях обучение специалистов и руководителей ОЗ ПМСП по обеспечению прав ЛЖВ на получение медицинских услуг, стигме и дискриминации с участием сообществ</t>
  </si>
  <si>
    <t>В 8 регионах провести по 1 семинару в год силами сообщества - всего 8 семинаров в год</t>
  </si>
  <si>
    <t>2. Провести анализ обучающих программ в медицинских вузах и КГМИПК на предмет содержания этики и консультирования в отношении прав пациентов</t>
  </si>
  <si>
    <t xml:space="preserve">Проведение анализа: 3 эксперта 10 дней по $100 </t>
  </si>
  <si>
    <t>Включить в каждый сайт, оказывающих услуги для КГН, ЛЖВ, ТБ по одному параюристу/специалисту по правовым вопросам. всего 21 чел.</t>
  </si>
  <si>
    <t>2. Создать рабочую группу по разработке механизма сертификации параюристов, прошедших обучение в МУК со стороны МЮ КР</t>
  </si>
  <si>
    <t>Рабочая группа 3 чел. $100* 20 дней. = $2000* 1 чел.</t>
  </si>
  <si>
    <t>3. Обеспечить доступ потребителей новых ПАВ к юридической помощи, включая консультирование</t>
  </si>
  <si>
    <t>Подготовить параюристов из представителей сообществ, для оказания параюридической помощи в социальных сетях: 25 чел, 3 дня с приезжими в Бишкек</t>
  </si>
  <si>
    <t>4. Подготовка перехода функций правовой защиты от профессиональных в сервисные организации</t>
  </si>
  <si>
    <t>1 координатор 75% занятости (720*12);             1 адвокат (750*12);        1 юрист по адвокации (600*12);                               2 ментора (500*12*2)</t>
  </si>
  <si>
    <t xml:space="preserve">Обсудить возможность продолжение работы во 2ии 3 годы </t>
  </si>
  <si>
    <t>5. Поддержка не менее 60 дней в год консультанта для ОП по правовым вопросам</t>
  </si>
  <si>
    <t>60 дней в год по $100 в день на 3 года</t>
  </si>
  <si>
    <t>6. Проведение обучения специалистов по правовым барьерах в организациях и руководителей организаций ведению кейсов и работе с базой REAct</t>
  </si>
  <si>
    <t>2 3-хдневных семинара в 1-й год</t>
  </si>
  <si>
    <t>7. Оказание помощи КГН, включая БЗ с использованием положений ГГЮП</t>
  </si>
  <si>
    <t>8. Оказать помощь людям, живущим с ВИЧ и с ТБ, и КГН по восстановлению документов для официального документирования личности (паспорт; свидетельство о рождении и др.)</t>
  </si>
  <si>
    <t>9. Внесение предложений для разработки проекта НПА/межведомственного документа, направленного на решение проблем с документированием</t>
  </si>
  <si>
    <t>Рабочая группа 5 чел. $100* 10 дней. = $5000</t>
  </si>
  <si>
    <t>1 круглый стол без приезжих на 25 чел. $ 1400</t>
  </si>
  <si>
    <t>10. Сети</t>
  </si>
  <si>
    <t xml:space="preserve">Рефреш тренинги однодневные 2 ($ 2300*2 = 4600). </t>
  </si>
  <si>
    <t>2. Провести анализ и внести дополнения в механизмы ГГЮП для их адаптации к особенностям и потребностям КГН для преодоления стигматизации и дискриминации, связанных с ВИЧ и ТБ</t>
  </si>
  <si>
    <t xml:space="preserve">Пригласить 3 экспертов на 10 дней </t>
  </si>
  <si>
    <t>Провести круглый стол без призжих 1 день</t>
  </si>
  <si>
    <t>3. Провести обучение адвокатов, в том числе вовлеченных в оказание ГГЮП, по правовым вопросам ВИЧ и ТБ</t>
  </si>
  <si>
    <t xml:space="preserve">1 раз в год 2 2-х дн. тренинга 25 чел. групп $3500*2*2 года </t>
  </si>
  <si>
    <t>4. Проведение тренингов для тюремного персонала, органов пробации,  представителей гражданского сектора по вопросам стигмы и дискриминации, обеспечения конфиденциальности статуса ВИЧ у заключенных и клиентов органов пробации.</t>
  </si>
  <si>
    <t>5. Обновить ведомственные и межведомственные планы, инструкции, руководства, пособия по работе с людьми, живущими с ВИЧ, КГН, заключенными, с учетом специфики правоохранительных органов, пенитенциарной службы, органов пробации, системы здравоохранения, в соответствии с законодательством КР</t>
  </si>
  <si>
    <t>5 рабочих групп по 3 чел. по $100* 5 дн. = 8775</t>
  </si>
  <si>
    <t>мало дней</t>
  </si>
  <si>
    <t xml:space="preserve">6. Разработать руководство и провести обучение специалистов органов досудебной пробации\психологов органов пробации, задействованных в подготовке пробационных докладов по поведенческим особенностям группы людей, живущих с ВИЧ и с ТБ, и КГН </t>
  </si>
  <si>
    <t>Рабочая группа 5 чел. $100* 10 дней</t>
  </si>
  <si>
    <t>Повтор, см. строку 75 там обучение сотрудников тюрем и пробации</t>
  </si>
  <si>
    <t>7. Разработать модули для краткосрочных курсов обучения для специалистов среднего и младшего состава правоохранительных органов на базе базе утвержденного специального курса, связанного с ВИЧ, ТБ и смежными проблемами Академии МВД</t>
  </si>
  <si>
    <t>5 эксперитов по 10 дней с участием представителей сообществ</t>
  </si>
  <si>
    <t>Круглый стол 1 день без приезжих</t>
  </si>
  <si>
    <t>8. Проведение совещаний, круглых столов с правоохранительными органами на национальном уровне и на местах по вопросам стигмы и дискриминации</t>
  </si>
  <si>
    <t>3 совещания каждый год - однодневный круглый столв Бишкеке и в областях (на севере и юге страны)</t>
  </si>
  <si>
    <t>9. Провести семинары для сотрудников наркоконтроля с участием сообществ</t>
  </si>
  <si>
    <t>1 раз в год 3 дня 25 человек с приезжими</t>
  </si>
  <si>
    <t>10. Проведение 1-го семинара в год для милиции/администрации района/здравоохранения на местах сервисными организациями в 8-и регионах</t>
  </si>
  <si>
    <t>8 регионов по 1 семинару в год</t>
  </si>
  <si>
    <t>11. Проведение сервисными организациями 1-го круглого стола в год в 8-и регионах для местных администраций и местных отделов ОВД, пробвации, здравоохранения</t>
  </si>
  <si>
    <t>8 регионов по 1у круглому столу в год</t>
  </si>
  <si>
    <t>круглый стол 1 день 25 чел., с приезжими</t>
  </si>
  <si>
    <t>2. Участие в подготовке альтернативных отчетов Кыргызской Республики по исполнению обязательств страны по соблюдению прав человека (в части, касающейся ВИЧ, ТБ и ключевых групп населения)</t>
  </si>
  <si>
    <t xml:space="preserve">3 рабочие групп по 4 чел. по $100 * 5 дней  </t>
  </si>
  <si>
    <t>Нужен рассчет</t>
  </si>
  <si>
    <t>4. Поддержка организации женщин/девочек, институционального развития, их участия в национальных платформах, в том числе кризисного центра на базе данной организации</t>
  </si>
  <si>
    <t>Социальный работник (50%)</t>
  </si>
  <si>
    <t>Психолог/равный (25%)</t>
  </si>
  <si>
    <t>6. Разработать руководство по проведению гендерного планирования/мониторинга и оценки гендерной чувствительности программ по ВИЧ и ТБ</t>
  </si>
  <si>
    <t>2 эксперта по 10 дней*$100</t>
  </si>
  <si>
    <t>Провести ТоТ по гендерному планированию/мониторингу и оценке гендерной чувствительности программ по ВИЧ и ТБ 5 дней 25 человек с приезжими</t>
  </si>
  <si>
    <t>7. Провести оценку гендерной чувствительности программы для ЛУН</t>
  </si>
  <si>
    <t>1 эксперта на 10 дней*$100</t>
  </si>
  <si>
    <t>убрала 1 млн, ккоторый идет  с правов барьеров и ТБ</t>
  </si>
  <si>
    <t>РЦС вкл медикаменты, оборудование</t>
  </si>
  <si>
    <t>РЦПН вкл ПТАО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</si>
</sst>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\ _₽_-;\-* #,##0.00\ _₽_-;_-* &quot;-&quot;??\ _₽_-;_-@_-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_-* #,##0.00\ _с_о_м_-;\-* #,##0.00\ _с_о_м_-;_-* &quot;-&quot;??\ _с_о_м_-;_-@_-"/>
    <numFmt numFmtId="167" formatCode="#,##0.00\ _₽"/>
    <numFmt numFmtId="168" formatCode="_-* #,##0.00_р_._-;\-* #,##0.00_р_._-;_-* &quot;-&quot;??_р_._-;_-@_-"/>
    <numFmt numFmtId="169" formatCode="_-* #,##0.00&quot;р.&quot;_-;\-* #,##0.00&quot;р.&quot;_-;_-* &quot;-&quot;??&quot;р.&quot;_-;_-@_-"/>
    <numFmt numFmtId="170" formatCode="_-[$$-409]* #,##0.00_ ;_-[$$-409]* \-#,##0.00\ ;_-[$$-409]* &quot;-&quot;??_ ;_-@_ "/>
    <numFmt numFmtId="171" formatCode="#,##0.00_ ;\-#,##0.00\ "/>
    <numFmt numFmtId="172" formatCode="[$р.-419]#,##0.00"/>
    <numFmt numFmtId="173" formatCode="[$$-409]#,##0.00"/>
    <numFmt numFmtId="174" formatCode="#,##0.0"/>
    <numFmt numFmtId="175" formatCode="0.0"/>
    <numFmt numFmtId="176" formatCode="_-* #,##0_р_._-;\-* #,##0_р_._-;_-* &quot;-&quot;??_р_._-;_-@_-"/>
    <numFmt numFmtId="177" formatCode="#,##0.000"/>
    <numFmt numFmtId="178" formatCode="#,##0.000_ ;\-#,##0.000\ "/>
    <numFmt numFmtId="179" formatCode="_(* #,##0.00_);_(* \(#,##0.00\);_(* &quot;-&quot;??_);_(@_)"/>
    <numFmt numFmtId="180" formatCode="_(* #,##0.000000_);_(* \(#,##0.000000\);_(* &quot;-&quot;??_);_(@_)"/>
  </numFmts>
  <fonts count="14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7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Calibri"/>
      <family val="2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C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CC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CC"/>
      <name val="Times New Roman"/>
      <family val="1"/>
      <charset val="204"/>
    </font>
    <font>
      <b/>
      <sz val="11"/>
      <color theme="1"/>
      <name val="Times"/>
    </font>
    <font>
      <sz val="11"/>
      <color rgb="FFFF000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Calibri"/>
      <family val="2"/>
      <charset val="204"/>
      <scheme val="maj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aj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10"/>
      <name val="Tahoma"/>
      <family val="2"/>
      <charset val="204"/>
    </font>
    <font>
      <b/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8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11"/>
      <color indexed="8"/>
      <name val="Tahoma"/>
      <family val="2"/>
      <charset val="204"/>
    </font>
    <font>
      <sz val="11"/>
      <name val="Tahoma"/>
      <family val="2"/>
      <charset val="204"/>
    </font>
    <font>
      <b/>
      <i/>
      <sz val="9"/>
      <name val="Tahoma"/>
      <family val="2"/>
      <charset val="204"/>
    </font>
    <font>
      <b/>
      <i/>
      <sz val="9"/>
      <color indexed="8"/>
      <name val="Tahoma"/>
      <family val="2"/>
      <charset val="204"/>
    </font>
    <font>
      <sz val="11"/>
      <name val="Charcoal CY"/>
      <family val="2"/>
      <charset val="204"/>
    </font>
    <font>
      <sz val="11"/>
      <name val="Arial"/>
      <family val="2"/>
    </font>
    <font>
      <b/>
      <i/>
      <sz val="8"/>
      <name val="Tahoma"/>
      <family val="2"/>
      <charset val="204"/>
    </font>
    <font>
      <b/>
      <i/>
      <sz val="8"/>
      <color indexed="8"/>
      <name val="Tahoma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</font>
    <font>
      <b/>
      <i/>
      <sz val="11"/>
      <name val="Tahoma"/>
      <family val="2"/>
      <charset val="204"/>
    </font>
    <font>
      <sz val="11"/>
      <color theme="1"/>
      <name val="Tahoma"/>
      <family val="2"/>
    </font>
    <font>
      <sz val="10"/>
      <name val="Arial Cyr"/>
    </font>
    <font>
      <sz val="11"/>
      <color theme="1"/>
      <name val="Corbe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u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sz val="11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7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FCE5CD"/>
        <bgColor rgb="FFFCE5CD"/>
      </patternFill>
    </fill>
    <fill>
      <patternFill patternType="solid">
        <fgColor rgb="FFA4C2F4"/>
        <bgColor rgb="FFA4C2F4"/>
      </patternFill>
    </fill>
    <fill>
      <patternFill patternType="solid">
        <fgColor rgb="FFF6B26B"/>
        <bgColor rgb="FFF6B26B"/>
      </patternFill>
    </fill>
    <fill>
      <patternFill patternType="solid">
        <fgColor rgb="FF93C47D"/>
        <bgColor rgb="FF93C47D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0"/>
        <bgColor rgb="FFDAEEF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6E3BC"/>
      </patternFill>
    </fill>
    <fill>
      <patternFill patternType="solid">
        <fgColor theme="0"/>
        <bgColor rgb="FFCCC0D9"/>
      </patternFill>
    </fill>
    <fill>
      <patternFill patternType="solid">
        <fgColor theme="0"/>
        <bgColor rgb="FFD8D8D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049">
    <xf numFmtId="0" fontId="0" fillId="0" borderId="0"/>
    <xf numFmtId="0" fontId="18" fillId="0" borderId="2"/>
    <xf numFmtId="43" fontId="18" fillId="0" borderId="2" applyFont="0" applyFill="0" applyBorder="0" applyAlignment="0" applyProtection="0"/>
    <xf numFmtId="0" fontId="36" fillId="0" borderId="2"/>
    <xf numFmtId="168" fontId="18" fillId="0" borderId="2" applyFont="0" applyFill="0" applyBorder="0" applyAlignment="0" applyProtection="0"/>
    <xf numFmtId="0" fontId="36" fillId="0" borderId="2"/>
    <xf numFmtId="0" fontId="39" fillId="0" borderId="2"/>
    <xf numFmtId="166" fontId="40" fillId="0" borderId="2" applyFont="0" applyFill="0" applyBorder="0" applyAlignment="0" applyProtection="0"/>
    <xf numFmtId="43" fontId="36" fillId="0" borderId="2" applyFont="0" applyFill="0" applyBorder="0" applyAlignment="0" applyProtection="0"/>
    <xf numFmtId="0" fontId="45" fillId="0" borderId="2"/>
    <xf numFmtId="0" fontId="18" fillId="0" borderId="2"/>
    <xf numFmtId="43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0" fontId="46" fillId="0" borderId="2">
      <alignment horizontal="left"/>
    </xf>
    <xf numFmtId="43" fontId="45" fillId="0" borderId="2" applyFont="0" applyFill="0" applyBorder="0" applyAlignment="0" applyProtection="0"/>
    <xf numFmtId="0" fontId="36" fillId="0" borderId="2"/>
    <xf numFmtId="0" fontId="45" fillId="0" borderId="2"/>
    <xf numFmtId="43" fontId="36" fillId="0" borderId="2" applyFont="0" applyFill="0" applyBorder="0" applyAlignment="0" applyProtection="0"/>
    <xf numFmtId="0" fontId="36" fillId="0" borderId="2"/>
    <xf numFmtId="169" fontId="45" fillId="0" borderId="2" applyFont="0" applyFill="0" applyBorder="0" applyAlignment="0" applyProtection="0"/>
    <xf numFmtId="168" fontId="39" fillId="0" borderId="2" applyFont="0" applyFill="0" applyBorder="0" applyAlignment="0" applyProtection="0"/>
    <xf numFmtId="0" fontId="36" fillId="0" borderId="2"/>
    <xf numFmtId="43" fontId="40" fillId="0" borderId="2" applyFont="0" applyFill="0" applyBorder="0" applyAlignment="0" applyProtection="0"/>
    <xf numFmtId="0" fontId="40" fillId="0" borderId="2"/>
    <xf numFmtId="43" fontId="40" fillId="0" borderId="2" applyFont="0" applyFill="0" applyBorder="0" applyAlignment="0" applyProtection="0"/>
    <xf numFmtId="0" fontId="18" fillId="0" borderId="2"/>
    <xf numFmtId="168" fontId="39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168" fontId="45" fillId="0" borderId="2" applyFont="0" applyFill="0" applyBorder="0" applyAlignment="0" applyProtection="0"/>
    <xf numFmtId="168" fontId="36" fillId="0" borderId="2" applyFont="0" applyFill="0" applyBorder="0" applyAlignment="0" applyProtection="0"/>
    <xf numFmtId="169" fontId="45" fillId="0" borderId="2" applyFont="0" applyFill="0" applyBorder="0" applyAlignment="0" applyProtection="0"/>
    <xf numFmtId="168" fontId="39" fillId="0" borderId="2" applyFont="0" applyFill="0" applyBorder="0" applyAlignment="0" applyProtection="0"/>
    <xf numFmtId="168" fontId="40" fillId="0" borderId="2" applyFont="0" applyFill="0" applyBorder="0" applyAlignment="0" applyProtection="0"/>
    <xf numFmtId="168" fontId="40" fillId="0" borderId="2" applyFont="0" applyFill="0" applyBorder="0" applyAlignment="0" applyProtection="0"/>
    <xf numFmtId="0" fontId="18" fillId="0" borderId="2"/>
    <xf numFmtId="168" fontId="39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47" fillId="10" borderId="2" applyNumberFormat="0" applyBorder="0" applyAlignment="0" applyProtection="0"/>
    <xf numFmtId="0" fontId="47" fillId="10" borderId="2" applyNumberFormat="0" applyBorder="0" applyAlignment="0" applyProtection="0"/>
    <xf numFmtId="0" fontId="47" fillId="11" borderId="2" applyNumberFormat="0" applyBorder="0" applyAlignment="0" applyProtection="0"/>
    <xf numFmtId="0" fontId="47" fillId="11" borderId="2" applyNumberFormat="0" applyBorder="0" applyAlignment="0" applyProtection="0"/>
    <xf numFmtId="0" fontId="47" fillId="12" borderId="2" applyNumberFormat="0" applyBorder="0" applyAlignment="0" applyProtection="0"/>
    <xf numFmtId="0" fontId="47" fillId="12" borderId="2" applyNumberFormat="0" applyBorder="0" applyAlignment="0" applyProtection="0"/>
    <xf numFmtId="0" fontId="47" fillId="13" borderId="2" applyNumberFormat="0" applyBorder="0" applyAlignment="0" applyProtection="0"/>
    <xf numFmtId="0" fontId="47" fillId="13" borderId="2" applyNumberFormat="0" applyBorder="0" applyAlignment="0" applyProtection="0"/>
    <xf numFmtId="0" fontId="47" fillId="14" borderId="2" applyNumberFormat="0" applyBorder="0" applyAlignment="0" applyProtection="0"/>
    <xf numFmtId="0" fontId="47" fillId="14" borderId="2" applyNumberFormat="0" applyBorder="0" applyAlignment="0" applyProtection="0"/>
    <xf numFmtId="0" fontId="47" fillId="15" borderId="2" applyNumberFormat="0" applyBorder="0" applyAlignment="0" applyProtection="0"/>
    <xf numFmtId="0" fontId="47" fillId="15" borderId="2" applyNumberFormat="0" applyBorder="0" applyAlignment="0" applyProtection="0"/>
    <xf numFmtId="0" fontId="47" fillId="17" borderId="2" applyNumberFormat="0" applyBorder="0" applyAlignment="0" applyProtection="0"/>
    <xf numFmtId="0" fontId="47" fillId="17" borderId="2" applyNumberFormat="0" applyBorder="0" applyAlignment="0" applyProtection="0"/>
    <xf numFmtId="0" fontId="47" fillId="18" borderId="2" applyNumberFormat="0" applyBorder="0" applyAlignment="0" applyProtection="0"/>
    <xf numFmtId="0" fontId="47" fillId="18" borderId="2" applyNumberFormat="0" applyBorder="0" applyAlignment="0" applyProtection="0"/>
    <xf numFmtId="0" fontId="47" fillId="19" borderId="2" applyNumberFormat="0" applyBorder="0" applyAlignment="0" applyProtection="0"/>
    <xf numFmtId="0" fontId="47" fillId="19" borderId="2" applyNumberFormat="0" applyBorder="0" applyAlignment="0" applyProtection="0"/>
    <xf numFmtId="0" fontId="47" fillId="13" borderId="2" applyNumberFormat="0" applyBorder="0" applyAlignment="0" applyProtection="0"/>
    <xf numFmtId="0" fontId="47" fillId="13" borderId="2" applyNumberFormat="0" applyBorder="0" applyAlignment="0" applyProtection="0"/>
    <xf numFmtId="0" fontId="47" fillId="17" borderId="2" applyNumberFormat="0" applyBorder="0" applyAlignment="0" applyProtection="0"/>
    <xf numFmtId="0" fontId="47" fillId="17" borderId="2" applyNumberFormat="0" applyBorder="0" applyAlignment="0" applyProtection="0"/>
    <xf numFmtId="0" fontId="47" fillId="20" borderId="2" applyNumberFormat="0" applyBorder="0" applyAlignment="0" applyProtection="0"/>
    <xf numFmtId="0" fontId="47" fillId="20" borderId="2" applyNumberFormat="0" applyBorder="0" applyAlignment="0" applyProtection="0"/>
    <xf numFmtId="0" fontId="48" fillId="23" borderId="2" applyNumberFormat="0" applyBorder="0" applyAlignment="0" applyProtection="0"/>
    <xf numFmtId="0" fontId="48" fillId="18" borderId="2" applyNumberFormat="0" applyBorder="0" applyAlignment="0" applyProtection="0"/>
    <xf numFmtId="0" fontId="48" fillId="19" borderId="2" applyNumberFormat="0" applyBorder="0" applyAlignment="0" applyProtection="0"/>
    <xf numFmtId="0" fontId="48" fillId="24" borderId="2" applyNumberFormat="0" applyBorder="0" applyAlignment="0" applyProtection="0"/>
    <xf numFmtId="0" fontId="48" fillId="25" borderId="2" applyNumberFormat="0" applyBorder="0" applyAlignment="0" applyProtection="0"/>
    <xf numFmtId="0" fontId="48" fillId="26" borderId="2" applyNumberFormat="0" applyBorder="0" applyAlignment="0" applyProtection="0"/>
    <xf numFmtId="0" fontId="48" fillId="28" borderId="2" applyNumberFormat="0" applyBorder="0" applyAlignment="0" applyProtection="0"/>
    <xf numFmtId="0" fontId="48" fillId="29" borderId="2" applyNumberFormat="0" applyBorder="0" applyAlignment="0" applyProtection="0"/>
    <xf numFmtId="0" fontId="48" fillId="27" borderId="2" applyNumberFormat="0" applyBorder="0" applyAlignment="0" applyProtection="0"/>
    <xf numFmtId="0" fontId="48" fillId="24" borderId="2" applyNumberFormat="0" applyBorder="0" applyAlignment="0" applyProtection="0"/>
    <xf numFmtId="0" fontId="48" fillId="25" borderId="2" applyNumberFormat="0" applyBorder="0" applyAlignment="0" applyProtection="0"/>
    <xf numFmtId="0" fontId="48" fillId="30" borderId="2" applyNumberFormat="0" applyBorder="0" applyAlignment="0" applyProtection="0"/>
    <xf numFmtId="0" fontId="49" fillId="11" borderId="2" applyNumberFormat="0" applyBorder="0" applyAlignment="0" applyProtection="0"/>
    <xf numFmtId="0" fontId="50" fillId="21" borderId="13" applyNumberFormat="0" applyAlignment="0" applyProtection="0"/>
    <xf numFmtId="0" fontId="51" fillId="31" borderId="14" applyNumberFormat="0" applyAlignment="0" applyProtection="0"/>
    <xf numFmtId="166" fontId="45" fillId="0" borderId="2" applyFont="0" applyFill="0" applyBorder="0" applyAlignment="0" applyProtection="0"/>
    <xf numFmtId="166" fontId="45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45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45" fillId="0" borderId="2" applyFont="0" applyFill="0" applyBorder="0" applyAlignment="0" applyProtection="0"/>
    <xf numFmtId="166" fontId="36" fillId="0" borderId="2" applyFont="0" applyFill="0" applyBorder="0" applyAlignment="0" applyProtection="0"/>
    <xf numFmtId="166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168" fontId="40" fillId="0" borderId="2" applyFont="0" applyFill="0" applyBorder="0" applyAlignment="0" applyProtection="0"/>
    <xf numFmtId="168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166" fontId="40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40" fillId="0" borderId="2" applyFont="0" applyFill="0" applyBorder="0" applyAlignment="0" applyProtection="0"/>
    <xf numFmtId="168" fontId="36" fillId="0" borderId="2" applyFont="0" applyFill="0" applyBorder="0" applyAlignment="0" applyProtection="0"/>
    <xf numFmtId="168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166" fontId="36" fillId="0" borderId="2" applyFont="0" applyFill="0" applyBorder="0" applyAlignment="0" applyProtection="0"/>
    <xf numFmtId="166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168" fontId="40" fillId="0" borderId="2" applyFont="0" applyFill="0" applyBorder="0" applyAlignment="0" applyProtection="0"/>
    <xf numFmtId="168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166" fontId="40" fillId="0" borderId="2" applyFont="0" applyFill="0" applyBorder="0" applyAlignment="0" applyProtection="0"/>
    <xf numFmtId="169" fontId="45" fillId="0" borderId="2" applyFont="0" applyFill="0" applyBorder="0" applyAlignment="0" applyProtection="0"/>
    <xf numFmtId="0" fontId="52" fillId="0" borderId="2" applyNumberFormat="0" applyFill="0" applyBorder="0" applyAlignment="0" applyProtection="0"/>
    <xf numFmtId="0" fontId="53" fillId="12" borderId="2" applyNumberFormat="0" applyBorder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6" fillId="0" borderId="17" applyNumberFormat="0" applyFill="0" applyAlignment="0" applyProtection="0"/>
    <xf numFmtId="0" fontId="56" fillId="0" borderId="2" applyNumberFormat="0" applyFill="0" applyBorder="0" applyAlignment="0" applyProtection="0"/>
    <xf numFmtId="0" fontId="57" fillId="15" borderId="13" applyNumberFormat="0" applyAlignment="0" applyProtection="0"/>
    <xf numFmtId="0" fontId="58" fillId="0" borderId="18" applyNumberFormat="0" applyFill="0" applyAlignment="0" applyProtection="0"/>
    <xf numFmtId="0" fontId="59" fillId="22" borderId="2" applyNumberFormat="0" applyBorder="0" applyAlignment="0" applyProtection="0"/>
    <xf numFmtId="0" fontId="45" fillId="0" borderId="2"/>
    <xf numFmtId="0" fontId="36" fillId="0" borderId="2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1" fillId="0" borderId="2" applyNumberFormat="0" applyFill="0" applyBorder="0" applyAlignment="0" applyProtection="0"/>
    <xf numFmtId="0" fontId="62" fillId="0" borderId="21" applyNumberFormat="0" applyFill="0" applyAlignment="0" applyProtection="0"/>
    <xf numFmtId="0" fontId="63" fillId="0" borderId="2" applyNumberFormat="0" applyFill="0" applyBorder="0" applyAlignment="0" applyProtection="0"/>
    <xf numFmtId="165" fontId="18" fillId="0" borderId="2" applyFont="0" applyFill="0" applyBorder="0" applyAlignment="0" applyProtection="0"/>
    <xf numFmtId="165" fontId="18" fillId="0" borderId="2" applyFont="0" applyFill="0" applyBorder="0" applyAlignment="0" applyProtection="0"/>
    <xf numFmtId="0" fontId="39" fillId="0" borderId="2"/>
    <xf numFmtId="0" fontId="18" fillId="0" borderId="2"/>
    <xf numFmtId="0" fontId="18" fillId="0" borderId="2"/>
    <xf numFmtId="0" fontId="18" fillId="0" borderId="2"/>
    <xf numFmtId="0" fontId="65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64" fillId="0" borderId="2"/>
    <xf numFmtId="0" fontId="18" fillId="0" borderId="2"/>
    <xf numFmtId="0" fontId="18" fillId="0" borderId="2"/>
    <xf numFmtId="0" fontId="18" fillId="0" borderId="2"/>
    <xf numFmtId="0" fontId="39" fillId="0" borderId="2"/>
    <xf numFmtId="0" fontId="18" fillId="0" borderId="2"/>
    <xf numFmtId="0" fontId="46" fillId="0" borderId="2">
      <alignment horizontal="left"/>
    </xf>
    <xf numFmtId="0" fontId="46" fillId="0" borderId="2">
      <alignment horizontal="left"/>
    </xf>
    <xf numFmtId="0" fontId="36" fillId="0" borderId="2"/>
    <xf numFmtId="0" fontId="18" fillId="0" borderId="2"/>
    <xf numFmtId="0" fontId="18" fillId="0" borderId="2"/>
    <xf numFmtId="0" fontId="46" fillId="0" borderId="2">
      <alignment horizontal="left"/>
    </xf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45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39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39" fillId="0" borderId="2"/>
    <xf numFmtId="0" fontId="18" fillId="0" borderId="2"/>
    <xf numFmtId="0" fontId="18" fillId="0" borderId="2"/>
    <xf numFmtId="0" fontId="18" fillId="0" borderId="2"/>
    <xf numFmtId="0" fontId="45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45" fillId="0" borderId="2"/>
    <xf numFmtId="0" fontId="45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45" fillId="0" borderId="2"/>
    <xf numFmtId="0" fontId="36" fillId="0" borderId="2"/>
    <xf numFmtId="0" fontId="36" fillId="0" borderId="2"/>
    <xf numFmtId="0" fontId="36" fillId="0" borderId="2"/>
    <xf numFmtId="0" fontId="39" fillId="0" borderId="2"/>
    <xf numFmtId="0" fontId="36" fillId="0" borderId="2"/>
    <xf numFmtId="0" fontId="39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45" fillId="0" borderId="2"/>
    <xf numFmtId="170" fontId="18" fillId="0" borderId="2"/>
    <xf numFmtId="17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45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47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9" fontId="46" fillId="0" borderId="2" applyFont="0" applyFill="0" applyBorder="0" applyAlignment="0" applyProtection="0"/>
    <xf numFmtId="9" fontId="39" fillId="0" borderId="2" applyFont="0" applyFill="0" applyBorder="0" applyAlignment="0" applyProtection="0"/>
    <xf numFmtId="166" fontId="45" fillId="0" borderId="2" applyFont="0" applyFill="0" applyBorder="0" applyAlignment="0" applyProtection="0"/>
    <xf numFmtId="168" fontId="45" fillId="0" borderId="2" applyFont="0" applyFill="0" applyBorder="0" applyAlignment="0" applyProtection="0"/>
    <xf numFmtId="43" fontId="39" fillId="0" borderId="2" applyFont="0" applyFill="0" applyBorder="0" applyAlignment="0" applyProtection="0"/>
    <xf numFmtId="43" fontId="39" fillId="0" borderId="2" applyFont="0" applyFill="0" applyBorder="0" applyAlignment="0" applyProtection="0"/>
    <xf numFmtId="166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47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6" fillId="0" borderId="2" applyFont="0" applyFill="0" applyBorder="0" applyAlignment="0" applyProtection="0"/>
    <xf numFmtId="168" fontId="36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47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47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47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45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50" fillId="21" borderId="13" applyNumberFormat="0" applyAlignment="0" applyProtection="0"/>
    <xf numFmtId="166" fontId="45" fillId="0" borderId="2" applyFont="0" applyFill="0" applyBorder="0" applyAlignment="0" applyProtection="0"/>
    <xf numFmtId="166" fontId="45" fillId="0" borderId="2" applyFont="0" applyFill="0" applyBorder="0" applyAlignment="0" applyProtection="0"/>
    <xf numFmtId="166" fontId="36" fillId="0" borderId="2" applyFont="0" applyFill="0" applyBorder="0" applyAlignment="0" applyProtection="0"/>
    <xf numFmtId="166" fontId="40" fillId="0" borderId="2" applyFont="0" applyFill="0" applyBorder="0" applyAlignment="0" applyProtection="0"/>
    <xf numFmtId="166" fontId="40" fillId="0" borderId="2" applyFont="0" applyFill="0" applyBorder="0" applyAlignment="0" applyProtection="0"/>
    <xf numFmtId="166" fontId="36" fillId="0" borderId="2" applyFont="0" applyFill="0" applyBorder="0" applyAlignment="0" applyProtection="0"/>
    <xf numFmtId="166" fontId="40" fillId="0" borderId="2" applyFont="0" applyFill="0" applyBorder="0" applyAlignment="0" applyProtection="0"/>
    <xf numFmtId="166" fontId="40" fillId="0" borderId="2" applyFont="0" applyFill="0" applyBorder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165" fontId="18" fillId="0" borderId="2" applyFont="0" applyFill="0" applyBorder="0" applyAlignment="0" applyProtection="0"/>
    <xf numFmtId="165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166" fontId="45" fillId="0" borderId="2" applyFont="0" applyFill="0" applyBorder="0" applyAlignment="0" applyProtection="0"/>
    <xf numFmtId="166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166" fontId="45" fillId="0" borderId="2" applyFont="0" applyFill="0" applyBorder="0" applyAlignment="0" applyProtection="0"/>
    <xf numFmtId="166" fontId="45" fillId="0" borderId="2" applyFont="0" applyFill="0" applyBorder="0" applyAlignment="0" applyProtection="0"/>
    <xf numFmtId="166" fontId="36" fillId="0" borderId="2" applyFont="0" applyFill="0" applyBorder="0" applyAlignment="0" applyProtection="0"/>
    <xf numFmtId="166" fontId="40" fillId="0" borderId="2" applyFont="0" applyFill="0" applyBorder="0" applyAlignment="0" applyProtection="0"/>
    <xf numFmtId="0" fontId="50" fillId="21" borderId="13" applyNumberFormat="0" applyAlignment="0" applyProtection="0"/>
    <xf numFmtId="166" fontId="40" fillId="0" borderId="2" applyFont="0" applyFill="0" applyBorder="0" applyAlignment="0" applyProtection="0"/>
    <xf numFmtId="166" fontId="36" fillId="0" borderId="2" applyFont="0" applyFill="0" applyBorder="0" applyAlignment="0" applyProtection="0"/>
    <xf numFmtId="166" fontId="40" fillId="0" borderId="2" applyFont="0" applyFill="0" applyBorder="0" applyAlignment="0" applyProtection="0"/>
    <xf numFmtId="166" fontId="40" fillId="0" borderId="2" applyFont="0" applyFill="0" applyBorder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165" fontId="18" fillId="0" borderId="2" applyFont="0" applyFill="0" applyBorder="0" applyAlignment="0" applyProtection="0"/>
    <xf numFmtId="165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166" fontId="45" fillId="0" borderId="2" applyFont="0" applyFill="0" applyBorder="0" applyAlignment="0" applyProtection="0"/>
    <xf numFmtId="166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50" fillId="21" borderId="13" applyNumberFormat="0" applyAlignment="0" applyProtection="0"/>
    <xf numFmtId="166" fontId="45" fillId="0" borderId="2" applyFont="0" applyFill="0" applyBorder="0" applyAlignment="0" applyProtection="0"/>
    <xf numFmtId="166" fontId="45" fillId="0" borderId="2" applyFont="0" applyFill="0" applyBorder="0" applyAlignment="0" applyProtection="0"/>
    <xf numFmtId="166" fontId="36" fillId="0" borderId="2" applyFont="0" applyFill="0" applyBorder="0" applyAlignment="0" applyProtection="0"/>
    <xf numFmtId="166" fontId="40" fillId="0" borderId="2" applyFont="0" applyFill="0" applyBorder="0" applyAlignment="0" applyProtection="0"/>
    <xf numFmtId="166" fontId="40" fillId="0" borderId="2" applyFont="0" applyFill="0" applyBorder="0" applyAlignment="0" applyProtection="0"/>
    <xf numFmtId="166" fontId="36" fillId="0" borderId="2" applyFont="0" applyFill="0" applyBorder="0" applyAlignment="0" applyProtection="0"/>
    <xf numFmtId="166" fontId="40" fillId="0" borderId="2" applyFont="0" applyFill="0" applyBorder="0" applyAlignment="0" applyProtection="0"/>
    <xf numFmtId="166" fontId="40" fillId="0" borderId="2" applyFont="0" applyFill="0" applyBorder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165" fontId="18" fillId="0" borderId="2" applyFont="0" applyFill="0" applyBorder="0" applyAlignment="0" applyProtection="0"/>
    <xf numFmtId="165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166" fontId="45" fillId="0" borderId="2" applyFont="0" applyFill="0" applyBorder="0" applyAlignment="0" applyProtection="0"/>
    <xf numFmtId="166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43" fontId="45" fillId="0" borderId="2" applyFont="0" applyFill="0" applyBorder="0" applyAlignment="0" applyProtection="0"/>
    <xf numFmtId="43" fontId="45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165" fontId="18" fillId="0" borderId="2" applyFont="0" applyFill="0" applyBorder="0" applyAlignment="0" applyProtection="0"/>
    <xf numFmtId="165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43" fontId="39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6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45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165" fontId="18" fillId="0" borderId="2" applyFont="0" applyFill="0" applyBorder="0" applyAlignment="0" applyProtection="0"/>
    <xf numFmtId="165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18" fillId="0" borderId="2"/>
    <xf numFmtId="43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50" fillId="21" borderId="13" applyNumberFormat="0" applyAlignment="0" applyProtection="0"/>
    <xf numFmtId="43" fontId="45" fillId="0" borderId="2" applyFont="0" applyFill="0" applyBorder="0" applyAlignment="0" applyProtection="0"/>
    <xf numFmtId="43" fontId="45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165" fontId="18" fillId="0" borderId="2" applyFont="0" applyFill="0" applyBorder="0" applyAlignment="0" applyProtection="0"/>
    <xf numFmtId="165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43" fontId="39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6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45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165" fontId="18" fillId="0" borderId="2" applyFont="0" applyFill="0" applyBorder="0" applyAlignment="0" applyProtection="0"/>
    <xf numFmtId="165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43" fontId="45" fillId="0" borderId="2" applyFont="0" applyFill="0" applyBorder="0" applyAlignment="0" applyProtection="0"/>
    <xf numFmtId="43" fontId="45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165" fontId="18" fillId="0" borderId="2" applyFont="0" applyFill="0" applyBorder="0" applyAlignment="0" applyProtection="0"/>
    <xf numFmtId="165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43" fontId="39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6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45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168" fontId="18" fillId="0" borderId="2" applyFont="0" applyFill="0" applyBorder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165" fontId="18" fillId="0" borderId="2" applyFont="0" applyFill="0" applyBorder="0" applyAlignment="0" applyProtection="0"/>
    <xf numFmtId="165" fontId="18" fillId="0" borderId="2" applyFont="0" applyFill="0" applyBorder="0" applyAlignment="0" applyProtection="0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0" fontId="18" fillId="0" borderId="2"/>
    <xf numFmtId="0" fontId="18" fillId="0" borderId="2"/>
    <xf numFmtId="0" fontId="18" fillId="0" borderId="2"/>
    <xf numFmtId="170" fontId="18" fillId="0" borderId="2"/>
    <xf numFmtId="170" fontId="18" fillId="0" borderId="2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43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18" fillId="0" borderId="2"/>
    <xf numFmtId="0" fontId="18" fillId="0" borderId="2"/>
    <xf numFmtId="168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43" fontId="18" fillId="0" borderId="2" applyFont="0" applyFill="0" applyBorder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18" fillId="0" borderId="2"/>
    <xf numFmtId="43" fontId="18" fillId="0" borderId="2" applyFont="0" applyFill="0" applyBorder="0" applyAlignment="0" applyProtection="0"/>
    <xf numFmtId="9" fontId="18" fillId="0" borderId="2" applyFont="0" applyFill="0" applyBorder="0" applyAlignment="0" applyProtection="0"/>
    <xf numFmtId="168" fontId="18" fillId="0" borderId="2" applyFont="0" applyFill="0" applyBorder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50" fillId="21" borderId="13" applyNumberForma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62" fillId="0" borderId="21" applyNumberFormat="0" applyFill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0" fontId="60" fillId="21" borderId="20" applyNumberFormat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45" fillId="16" borderId="19" applyNumberFormat="0" applyFont="0" applyAlignment="0" applyProtection="0"/>
    <xf numFmtId="0" fontId="45" fillId="16" borderId="19" applyNumberFormat="0" applyFont="0" applyAlignment="0" applyProtection="0"/>
    <xf numFmtId="0" fontId="62" fillId="0" borderId="21" applyNumberFormat="0" applyFill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62" fillId="0" borderId="21" applyNumberFormat="0" applyFill="0" applyAlignment="0" applyProtection="0"/>
    <xf numFmtId="0" fontId="60" fillId="21" borderId="20" applyNumberFormat="0" applyAlignment="0" applyProtection="0"/>
    <xf numFmtId="0" fontId="57" fillId="15" borderId="13" applyNumberFormat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0" fontId="62" fillId="0" borderId="21" applyNumberFormat="0" applyFill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0" fontId="60" fillId="21" borderId="20" applyNumberFormat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50" fillId="21" borderId="13" applyNumberFormat="0" applyAlignment="0" applyProtection="0"/>
    <xf numFmtId="0" fontId="60" fillId="21" borderId="20" applyNumberFormat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0" fontId="60" fillId="21" borderId="20" applyNumberFormat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45" fillId="16" borderId="19" applyNumberFormat="0" applyFont="0" applyAlignment="0" applyProtection="0"/>
    <xf numFmtId="0" fontId="45" fillId="16" borderId="19" applyNumberFormat="0" applyFont="0" applyAlignment="0" applyProtection="0"/>
    <xf numFmtId="0" fontId="45" fillId="16" borderId="19" applyNumberFormat="0" applyFont="0" applyAlignment="0" applyProtection="0"/>
    <xf numFmtId="0" fontId="62" fillId="0" borderId="21" applyNumberFormat="0" applyFill="0" applyAlignment="0" applyProtection="0"/>
    <xf numFmtId="0" fontId="60" fillId="21" borderId="20" applyNumberForma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62" fillId="0" borderId="21" applyNumberFormat="0" applyFill="0" applyAlignment="0" applyProtection="0"/>
    <xf numFmtId="0" fontId="60" fillId="21" borderId="20" applyNumberFormat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60" fillId="21" borderId="20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57" fillId="15" borderId="13" applyNumberFormat="0" applyAlignment="0" applyProtection="0"/>
    <xf numFmtId="0" fontId="57" fillId="15" borderId="13" applyNumberFormat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57" fillId="15" borderId="13" applyNumberFormat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0" fontId="62" fillId="0" borderId="21" applyNumberFormat="0" applyFill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0" fontId="45" fillId="16" borderId="19" applyNumberFormat="0" applyFon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0" fontId="62" fillId="0" borderId="21" applyNumberFormat="0" applyFill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45" fillId="16" borderId="19" applyNumberFormat="0" applyFon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62" fillId="0" borderId="21" applyNumberFormat="0" applyFill="0" applyAlignment="0" applyProtection="0"/>
    <xf numFmtId="0" fontId="60" fillId="21" borderId="20" applyNumberFormat="0" applyAlignment="0" applyProtection="0"/>
    <xf numFmtId="0" fontId="45" fillId="16" borderId="19" applyNumberFormat="0" applyFon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7" fillId="15" borderId="13" applyNumberFormat="0" applyAlignment="0" applyProtection="0"/>
    <xf numFmtId="0" fontId="50" fillId="21" borderId="13" applyNumberFormat="0" applyAlignment="0" applyProtection="0"/>
    <xf numFmtId="0" fontId="62" fillId="0" borderId="21" applyNumberFormat="0" applyFill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57" fillId="15" borderId="13" applyNumberFormat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62" fillId="0" borderId="21" applyNumberFormat="0" applyFill="0" applyAlignment="0" applyProtection="0"/>
    <xf numFmtId="0" fontId="45" fillId="16" borderId="19" applyNumberFormat="0" applyFont="0" applyAlignment="0" applyProtection="0"/>
    <xf numFmtId="0" fontId="57" fillId="15" borderId="13" applyNumberFormat="0" applyAlignment="0" applyProtection="0"/>
    <xf numFmtId="0" fontId="60" fillId="21" borderId="20" applyNumberFormat="0" applyAlignment="0" applyProtection="0"/>
    <xf numFmtId="0" fontId="62" fillId="0" borderId="21" applyNumberFormat="0" applyFill="0" applyAlignment="0" applyProtection="0"/>
    <xf numFmtId="0" fontId="50" fillId="21" borderId="13" applyNumberFormat="0" applyAlignment="0" applyProtection="0"/>
    <xf numFmtId="0" fontId="60" fillId="21" borderId="20" applyNumberFormat="0" applyAlignment="0" applyProtection="0"/>
    <xf numFmtId="0" fontId="50" fillId="21" borderId="13" applyNumberFormat="0" applyAlignment="0" applyProtection="0"/>
    <xf numFmtId="164" fontId="36" fillId="0" borderId="2" applyFont="0" applyFill="0" applyBorder="0" applyAlignment="0" applyProtection="0"/>
    <xf numFmtId="0" fontId="66" fillId="0" borderId="2"/>
    <xf numFmtId="164" fontId="66" fillId="0" borderId="2" applyFont="0" applyFill="0" applyBorder="0" applyAlignment="0" applyProtection="0"/>
    <xf numFmtId="9" fontId="66" fillId="0" borderId="2" applyFont="0" applyFill="0" applyBorder="0" applyAlignment="0" applyProtection="0"/>
    <xf numFmtId="165" fontId="66" fillId="0" borderId="2" applyFont="0" applyFill="0" applyBorder="0" applyAlignment="0" applyProtection="0"/>
    <xf numFmtId="43" fontId="18" fillId="0" borderId="2" applyFont="0" applyFill="0" applyBorder="0" applyAlignment="0" applyProtection="0"/>
    <xf numFmtId="0" fontId="17" fillId="0" borderId="2"/>
    <xf numFmtId="0" fontId="16" fillId="0" borderId="2"/>
    <xf numFmtId="173" fontId="16" fillId="0" borderId="2"/>
    <xf numFmtId="173" fontId="45" fillId="0" borderId="2"/>
    <xf numFmtId="173" fontId="16" fillId="0" borderId="2"/>
    <xf numFmtId="0" fontId="14" fillId="0" borderId="2"/>
    <xf numFmtId="0" fontId="11" fillId="0" borderId="2"/>
    <xf numFmtId="0" fontId="11" fillId="0" borderId="2"/>
    <xf numFmtId="0" fontId="11" fillId="0" borderId="2"/>
    <xf numFmtId="43" fontId="11" fillId="0" borderId="2" applyFont="0" applyFill="0" applyBorder="0" applyAlignment="0" applyProtection="0"/>
    <xf numFmtId="173" fontId="11" fillId="0" borderId="2"/>
    <xf numFmtId="173" fontId="11" fillId="0" borderId="2"/>
    <xf numFmtId="0" fontId="11" fillId="0" borderId="2"/>
    <xf numFmtId="168" fontId="11" fillId="0" borderId="2" applyFont="0" applyFill="0" applyBorder="0" applyAlignment="0" applyProtection="0"/>
    <xf numFmtId="0" fontId="36" fillId="0" borderId="2"/>
    <xf numFmtId="168" fontId="36" fillId="0" borderId="2" applyFont="0" applyFill="0" applyBorder="0" applyAlignment="0" applyProtection="0"/>
    <xf numFmtId="0" fontId="116" fillId="0" borderId="2" applyNumberFormat="0" applyFill="0" applyBorder="0" applyAlignment="0" applyProtection="0"/>
    <xf numFmtId="0" fontId="11" fillId="0" borderId="2"/>
    <xf numFmtId="0" fontId="119" fillId="0" borderId="2"/>
    <xf numFmtId="0" fontId="120" fillId="0" borderId="2"/>
    <xf numFmtId="0" fontId="40" fillId="0" borderId="2"/>
    <xf numFmtId="0" fontId="119" fillId="0" borderId="2"/>
    <xf numFmtId="0" fontId="128" fillId="0" borderId="2" applyNumberFormat="0" applyFill="0" applyBorder="0" applyAlignment="0" applyProtection="0"/>
    <xf numFmtId="9" fontId="11" fillId="0" borderId="2" applyFont="0" applyFill="0" applyBorder="0" applyAlignment="0" applyProtection="0"/>
    <xf numFmtId="0" fontId="137" fillId="0" borderId="2"/>
    <xf numFmtId="0" fontId="7" fillId="0" borderId="2"/>
    <xf numFmtId="43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6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50" fillId="21" borderId="62" applyNumberFormat="0" applyAlignment="0" applyProtection="0"/>
    <xf numFmtId="43" fontId="45" fillId="0" borderId="2" applyFont="0" applyFill="0" applyBorder="0" applyAlignment="0" applyProtection="0"/>
    <xf numFmtId="43" fontId="45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165" fontId="7" fillId="0" borderId="2" applyFont="0" applyFill="0" applyBorder="0" applyAlignment="0" applyProtection="0"/>
    <xf numFmtId="165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43" fontId="39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6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165" fontId="7" fillId="0" borderId="2" applyFont="0" applyFill="0" applyBorder="0" applyAlignment="0" applyProtection="0"/>
    <xf numFmtId="165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165" fontId="7" fillId="0" borderId="2" applyFont="0" applyFill="0" applyBorder="0" applyAlignment="0" applyProtection="0"/>
    <xf numFmtId="165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165" fontId="7" fillId="0" borderId="2" applyFont="0" applyFill="0" applyBorder="0" applyAlignment="0" applyProtection="0"/>
    <xf numFmtId="165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43" fontId="45" fillId="0" borderId="2" applyFont="0" applyFill="0" applyBorder="0" applyAlignment="0" applyProtection="0"/>
    <xf numFmtId="43" fontId="45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165" fontId="7" fillId="0" borderId="2" applyFont="0" applyFill="0" applyBorder="0" applyAlignment="0" applyProtection="0"/>
    <xf numFmtId="165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43" fontId="39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6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165" fontId="7" fillId="0" borderId="2" applyFont="0" applyFill="0" applyBorder="0" applyAlignment="0" applyProtection="0"/>
    <xf numFmtId="165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7" fillId="0" borderId="2"/>
    <xf numFmtId="43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50" fillId="21" borderId="62" applyNumberFormat="0" applyAlignment="0" applyProtection="0"/>
    <xf numFmtId="43" fontId="45" fillId="0" borderId="2" applyFont="0" applyFill="0" applyBorder="0" applyAlignment="0" applyProtection="0"/>
    <xf numFmtId="43" fontId="45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165" fontId="7" fillId="0" borderId="2" applyFont="0" applyFill="0" applyBorder="0" applyAlignment="0" applyProtection="0"/>
    <xf numFmtId="165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43" fontId="39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6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165" fontId="7" fillId="0" borderId="2" applyFont="0" applyFill="0" applyBorder="0" applyAlignment="0" applyProtection="0"/>
    <xf numFmtId="165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43" fontId="45" fillId="0" borderId="2" applyFont="0" applyFill="0" applyBorder="0" applyAlignment="0" applyProtection="0"/>
    <xf numFmtId="43" fontId="45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36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43" fontId="40" fillId="0" borderId="2" applyFont="0" applyFill="0" applyBorder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165" fontId="7" fillId="0" borderId="2" applyFont="0" applyFill="0" applyBorder="0" applyAlignment="0" applyProtection="0"/>
    <xf numFmtId="165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43" fontId="39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6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39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45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168" fontId="7" fillId="0" borderId="2" applyFont="0" applyFill="0" applyBorder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165" fontId="7" fillId="0" borderId="2" applyFont="0" applyFill="0" applyBorder="0" applyAlignment="0" applyProtection="0"/>
    <xf numFmtId="165" fontId="7" fillId="0" borderId="2" applyFont="0" applyFill="0" applyBorder="0" applyAlignment="0" applyProtection="0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0" fontId="7" fillId="0" borderId="2"/>
    <xf numFmtId="0" fontId="7" fillId="0" borderId="2"/>
    <xf numFmtId="0" fontId="7" fillId="0" borderId="2"/>
    <xf numFmtId="170" fontId="7" fillId="0" borderId="2"/>
    <xf numFmtId="170" fontId="7" fillId="0" borderId="2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43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7" fillId="0" borderId="2"/>
    <xf numFmtId="0" fontId="7" fillId="0" borderId="2"/>
    <xf numFmtId="168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7" fillId="0" borderId="2"/>
    <xf numFmtId="43" fontId="7" fillId="0" borderId="2" applyFont="0" applyFill="0" applyBorder="0" applyAlignment="0" applyProtection="0"/>
    <xf numFmtId="9" fontId="7" fillId="0" borderId="2" applyFont="0" applyFill="0" applyBorder="0" applyAlignment="0" applyProtection="0"/>
    <xf numFmtId="168" fontId="7" fillId="0" borderId="2" applyFont="0" applyFill="0" applyBorder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50" fillId="21" borderId="62" applyNumberForma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62" fillId="0" borderId="65" applyNumberFormat="0" applyFill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0" fontId="60" fillId="21" borderId="64" applyNumberFormat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45" fillId="16" borderId="63" applyNumberFormat="0" applyFont="0" applyAlignment="0" applyProtection="0"/>
    <xf numFmtId="0" fontId="45" fillId="16" borderId="63" applyNumberFormat="0" applyFont="0" applyAlignment="0" applyProtection="0"/>
    <xf numFmtId="0" fontId="62" fillId="0" borderId="65" applyNumberFormat="0" applyFill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62" fillId="0" borderId="65" applyNumberFormat="0" applyFill="0" applyAlignment="0" applyProtection="0"/>
    <xf numFmtId="0" fontId="60" fillId="21" borderId="64" applyNumberFormat="0" applyAlignment="0" applyProtection="0"/>
    <xf numFmtId="0" fontId="57" fillId="15" borderId="62" applyNumberFormat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0" fontId="62" fillId="0" borderId="65" applyNumberFormat="0" applyFill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0" fontId="60" fillId="21" borderId="64" applyNumberForma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50" fillId="21" borderId="62" applyNumberFormat="0" applyAlignment="0" applyProtection="0"/>
    <xf numFmtId="0" fontId="60" fillId="21" borderId="64" applyNumberFormat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0" fontId="60" fillId="21" borderId="64" applyNumberForma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45" fillId="16" borderId="63" applyNumberFormat="0" applyFont="0" applyAlignment="0" applyProtection="0"/>
    <xf numFmtId="0" fontId="45" fillId="16" borderId="63" applyNumberFormat="0" applyFont="0" applyAlignment="0" applyProtection="0"/>
    <xf numFmtId="0" fontId="45" fillId="16" borderId="63" applyNumberFormat="0" applyFont="0" applyAlignment="0" applyProtection="0"/>
    <xf numFmtId="0" fontId="62" fillId="0" borderId="65" applyNumberFormat="0" applyFill="0" applyAlignment="0" applyProtection="0"/>
    <xf numFmtId="0" fontId="60" fillId="21" borderId="64" applyNumberForma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62" fillId="0" borderId="65" applyNumberFormat="0" applyFill="0" applyAlignment="0" applyProtection="0"/>
    <xf numFmtId="0" fontId="60" fillId="21" borderId="64" applyNumberFormat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62" fillId="0" borderId="65" applyNumberFormat="0" applyFill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60" fillId="21" borderId="64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57" fillId="15" borderId="62" applyNumberFormat="0" applyAlignment="0" applyProtection="0"/>
    <xf numFmtId="0" fontId="57" fillId="15" borderId="62" applyNumberFormat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57" fillId="15" borderId="62" applyNumberFormat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0" fontId="62" fillId="0" borderId="65" applyNumberFormat="0" applyFill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0" fontId="45" fillId="16" borderId="63" applyNumberFormat="0" applyFon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0" fontId="62" fillId="0" borderId="65" applyNumberFormat="0" applyFill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45" fillId="16" borderId="63" applyNumberFormat="0" applyFon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62" fillId="0" borderId="65" applyNumberFormat="0" applyFill="0" applyAlignment="0" applyProtection="0"/>
    <xf numFmtId="0" fontId="60" fillId="21" borderId="64" applyNumberFormat="0" applyAlignment="0" applyProtection="0"/>
    <xf numFmtId="0" fontId="45" fillId="16" borderId="63" applyNumberFormat="0" applyFon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7" fillId="15" borderId="62" applyNumberFormat="0" applyAlignment="0" applyProtection="0"/>
    <xf numFmtId="0" fontId="50" fillId="21" borderId="62" applyNumberFormat="0" applyAlignment="0" applyProtection="0"/>
    <xf numFmtId="0" fontId="62" fillId="0" borderId="65" applyNumberFormat="0" applyFill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57" fillId="15" borderId="62" applyNumberFormat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62" fillId="0" borderId="65" applyNumberFormat="0" applyFill="0" applyAlignment="0" applyProtection="0"/>
    <xf numFmtId="0" fontId="45" fillId="16" borderId="63" applyNumberFormat="0" applyFont="0" applyAlignment="0" applyProtection="0"/>
    <xf numFmtId="0" fontId="57" fillId="15" borderId="62" applyNumberFormat="0" applyAlignment="0" applyProtection="0"/>
    <xf numFmtId="0" fontId="60" fillId="21" borderId="64" applyNumberFormat="0" applyAlignment="0" applyProtection="0"/>
    <xf numFmtId="0" fontId="62" fillId="0" borderId="65" applyNumberFormat="0" applyFill="0" applyAlignment="0" applyProtection="0"/>
    <xf numFmtId="0" fontId="50" fillId="21" borderId="62" applyNumberFormat="0" applyAlignment="0" applyProtection="0"/>
    <xf numFmtId="0" fontId="60" fillId="21" borderId="64" applyNumberFormat="0" applyAlignment="0" applyProtection="0"/>
    <xf numFmtId="0" fontId="50" fillId="21" borderId="62" applyNumberFormat="0" applyAlignment="0" applyProtection="0"/>
    <xf numFmtId="43" fontId="7" fillId="0" borderId="2" applyFont="0" applyFill="0" applyBorder="0" applyAlignment="0" applyProtection="0"/>
    <xf numFmtId="0" fontId="7" fillId="0" borderId="2"/>
    <xf numFmtId="0" fontId="7" fillId="0" borderId="2"/>
    <xf numFmtId="173" fontId="7" fillId="0" borderId="2"/>
    <xf numFmtId="173" fontId="7" fillId="0" borderId="2"/>
    <xf numFmtId="0" fontId="7" fillId="0" borderId="2"/>
    <xf numFmtId="0" fontId="7" fillId="0" borderId="2"/>
    <xf numFmtId="0" fontId="7" fillId="0" borderId="2"/>
    <xf numFmtId="0" fontId="7" fillId="0" borderId="2"/>
    <xf numFmtId="43" fontId="7" fillId="0" borderId="2" applyFont="0" applyFill="0" applyBorder="0" applyAlignment="0" applyProtection="0"/>
    <xf numFmtId="173" fontId="7" fillId="0" borderId="2"/>
    <xf numFmtId="173" fontId="7" fillId="0" borderId="2"/>
    <xf numFmtId="0" fontId="7" fillId="0" borderId="2"/>
    <xf numFmtId="168" fontId="7" fillId="0" borderId="2" applyFont="0" applyFill="0" applyBorder="0" applyAlignment="0" applyProtection="0"/>
    <xf numFmtId="0" fontId="7" fillId="0" borderId="2"/>
    <xf numFmtId="9" fontId="7" fillId="0" borderId="2" applyFont="0" applyFill="0" applyBorder="0" applyAlignment="0" applyProtection="0"/>
    <xf numFmtId="0" fontId="3" fillId="0" borderId="2"/>
    <xf numFmtId="0" fontId="3" fillId="0" borderId="2"/>
    <xf numFmtId="43" fontId="3" fillId="0" borderId="2" applyFont="0" applyFill="0" applyBorder="0" applyAlignment="0" applyProtection="0"/>
    <xf numFmtId="173" fontId="3" fillId="0" borderId="2"/>
    <xf numFmtId="173" fontId="3" fillId="0" borderId="2"/>
    <xf numFmtId="0" fontId="3" fillId="0" borderId="2"/>
    <xf numFmtId="43" fontId="3" fillId="0" borderId="2" applyFont="0" applyFill="0" applyBorder="0" applyAlignment="0" applyProtection="0"/>
    <xf numFmtId="179" fontId="66" fillId="0" borderId="2" applyFont="0" applyFill="0" applyBorder="0" applyAlignment="0" applyProtection="0"/>
    <xf numFmtId="165" fontId="36" fillId="0" borderId="2" applyFont="0" applyFill="0" applyBorder="0" applyAlignment="0" applyProtection="0"/>
    <xf numFmtId="0" fontId="2" fillId="0" borderId="2"/>
    <xf numFmtId="0" fontId="2" fillId="0" borderId="2"/>
    <xf numFmtId="0" fontId="2" fillId="0" borderId="2"/>
    <xf numFmtId="0" fontId="2" fillId="0" borderId="2"/>
  </cellStyleXfs>
  <cellXfs count="1004">
    <xf numFmtId="0" fontId="0" fillId="0" borderId="0" xfId="0" applyFont="1" applyAlignment="1"/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3" borderId="1" xfId="0" applyFont="1" applyFill="1" applyBorder="1" applyAlignment="1">
      <alignment vertical="top" wrapText="1"/>
    </xf>
    <xf numFmtId="0" fontId="25" fillId="2" borderId="2" xfId="0" applyFont="1" applyFill="1" applyBorder="1"/>
    <xf numFmtId="0" fontId="27" fillId="2" borderId="1" xfId="0" applyFont="1" applyFill="1" applyBorder="1"/>
    <xf numFmtId="0" fontId="28" fillId="2" borderId="2" xfId="0" applyFont="1" applyFill="1" applyBorder="1"/>
    <xf numFmtId="0" fontId="27" fillId="2" borderId="1" xfId="0" applyFont="1" applyFill="1" applyBorder="1" applyAlignment="1">
      <alignment wrapText="1"/>
    </xf>
    <xf numFmtId="0" fontId="24" fillId="3" borderId="3" xfId="0" applyFont="1" applyFill="1" applyBorder="1"/>
    <xf numFmtId="0" fontId="24" fillId="3" borderId="5" xfId="0" applyFont="1" applyFill="1" applyBorder="1"/>
    <xf numFmtId="0" fontId="24" fillId="3" borderId="1" xfId="0" applyFont="1" applyFill="1" applyBorder="1"/>
    <xf numFmtId="0" fontId="24" fillId="2" borderId="6" xfId="0" applyFont="1" applyFill="1" applyBorder="1"/>
    <xf numFmtId="0" fontId="24" fillId="2" borderId="1" xfId="0" applyFont="1" applyFill="1" applyBorder="1"/>
    <xf numFmtId="0" fontId="24" fillId="2" borderId="2" xfId="0" applyFont="1" applyFill="1" applyBorder="1" applyAlignment="1">
      <alignment horizontal="left" vertical="center" wrapText="1"/>
    </xf>
    <xf numFmtId="0" fontId="24" fillId="2" borderId="7" xfId="0" applyFont="1" applyFill="1" applyBorder="1"/>
    <xf numFmtId="0" fontId="27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wrapText="1"/>
    </xf>
    <xf numFmtId="0" fontId="27" fillId="2" borderId="5" xfId="0" applyFont="1" applyFill="1" applyBorder="1"/>
    <xf numFmtId="0" fontId="32" fillId="6" borderId="1" xfId="0" applyFont="1" applyFill="1" applyBorder="1" applyAlignment="1">
      <alignment wrapText="1"/>
    </xf>
    <xf numFmtId="0" fontId="31" fillId="6" borderId="2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1" fillId="0" borderId="0" xfId="0" applyFont="1" applyAlignment="1"/>
    <xf numFmtId="9" fontId="0" fillId="0" borderId="0" xfId="0" applyNumberFormat="1" applyFont="1" applyAlignment="1"/>
    <xf numFmtId="9" fontId="21" fillId="0" borderId="0" xfId="0" applyNumberFormat="1" applyFont="1" applyAlignment="1"/>
    <xf numFmtId="0" fontId="21" fillId="0" borderId="0" xfId="0" applyNumberFormat="1" applyFont="1" applyAlignment="1">
      <alignment wrapText="1"/>
    </xf>
    <xf numFmtId="0" fontId="21" fillId="0" borderId="12" xfId="0" applyFont="1" applyBorder="1" applyAlignment="1"/>
    <xf numFmtId="0" fontId="0" fillId="0" borderId="12" xfId="0" applyFont="1" applyBorder="1" applyAlignment="1"/>
    <xf numFmtId="1" fontId="0" fillId="0" borderId="0" xfId="0" applyNumberFormat="1" applyFont="1" applyAlignment="1"/>
    <xf numFmtId="0" fontId="0" fillId="7" borderId="0" xfId="0" applyFont="1" applyFill="1" applyAlignment="1"/>
    <xf numFmtId="0" fontId="35" fillId="7" borderId="0" xfId="0" applyFont="1" applyFill="1" applyAlignment="1"/>
    <xf numFmtId="0" fontId="21" fillId="7" borderId="0" xfId="0" applyFont="1" applyFill="1" applyAlignment="1"/>
    <xf numFmtId="0" fontId="20" fillId="0" borderId="0" xfId="0" applyFont="1" applyAlignment="1"/>
    <xf numFmtId="0" fontId="21" fillId="0" borderId="0" xfId="0" applyFont="1" applyAlignment="1">
      <alignment wrapText="1"/>
    </xf>
    <xf numFmtId="0" fontId="19" fillId="0" borderId="0" xfId="0" applyFont="1" applyAlignment="1"/>
    <xf numFmtId="0" fontId="0" fillId="8" borderId="0" xfId="0" applyFont="1" applyFill="1" applyAlignment="1"/>
    <xf numFmtId="0" fontId="35" fillId="8" borderId="0" xfId="0" applyFont="1" applyFill="1" applyAlignment="1"/>
    <xf numFmtId="0" fontId="19" fillId="8" borderId="0" xfId="0" applyFont="1" applyFill="1" applyAlignment="1"/>
    <xf numFmtId="0" fontId="18" fillId="0" borderId="0" xfId="0" applyFont="1" applyAlignment="1"/>
    <xf numFmtId="2" fontId="41" fillId="9" borderId="2" xfId="5" applyNumberFormat="1" applyFont="1" applyFill="1" applyAlignment="1">
      <alignment horizontal="left" vertical="center" wrapText="1"/>
    </xf>
    <xf numFmtId="2" fontId="41" fillId="9" borderId="2" xfId="3" applyNumberFormat="1" applyFont="1" applyFill="1" applyAlignment="1">
      <alignment vertical="center" wrapText="1"/>
    </xf>
    <xf numFmtId="4" fontId="41" fillId="9" borderId="2" xfId="5" applyNumberFormat="1" applyFont="1" applyFill="1" applyAlignment="1">
      <alignment horizontal="left" vertical="center" wrapText="1"/>
    </xf>
    <xf numFmtId="0" fontId="41" fillId="9" borderId="2" xfId="3" applyFont="1" applyFill="1" applyAlignment="1">
      <alignment vertical="center" wrapText="1"/>
    </xf>
    <xf numFmtId="4" fontId="41" fillId="9" borderId="2" xfId="3" applyNumberFormat="1" applyFont="1" applyFill="1" applyAlignment="1">
      <alignment vertical="center" wrapText="1"/>
    </xf>
    <xf numFmtId="0" fontId="41" fillId="9" borderId="2" xfId="5" applyFont="1" applyFill="1" applyAlignment="1">
      <alignment horizontal="left" vertical="center" wrapText="1"/>
    </xf>
    <xf numFmtId="3" fontId="41" fillId="9" borderId="2" xfId="5" applyNumberFormat="1" applyFont="1" applyFill="1" applyAlignment="1">
      <alignment horizontal="left" vertical="center" wrapText="1"/>
    </xf>
    <xf numFmtId="2" fontId="67" fillId="0" borderId="2" xfId="1" applyNumberFormat="1" applyFont="1" applyFill="1" applyBorder="1" applyAlignment="1">
      <alignment vertical="center" wrapText="1"/>
    </xf>
    <xf numFmtId="2" fontId="41" fillId="9" borderId="25" xfId="60" applyNumberFormat="1" applyFont="1" applyFill="1" applyBorder="1" applyAlignment="1">
      <alignment horizontal="right" vertical="center" wrapText="1"/>
    </xf>
    <xf numFmtId="2" fontId="41" fillId="9" borderId="26" xfId="60" applyNumberFormat="1" applyFont="1" applyFill="1" applyBorder="1" applyAlignment="1">
      <alignment horizontal="right" vertical="center" wrapText="1"/>
    </xf>
    <xf numFmtId="0" fontId="41" fillId="9" borderId="26" xfId="60" applyFont="1" applyFill="1" applyBorder="1" applyAlignment="1">
      <alignment horizontal="right" vertical="center" wrapText="1"/>
    </xf>
    <xf numFmtId="2" fontId="42" fillId="9" borderId="26" xfId="60" applyNumberFormat="1" applyFont="1" applyFill="1" applyBorder="1" applyAlignment="1">
      <alignment horizontal="right" vertical="center" wrapText="1"/>
    </xf>
    <xf numFmtId="4" fontId="41" fillId="9" borderId="2" xfId="60" applyNumberFormat="1" applyFont="1" applyFill="1" applyAlignment="1">
      <alignment horizontal="center" vertical="center" wrapText="1"/>
    </xf>
    <xf numFmtId="2" fontId="41" fillId="9" borderId="2" xfId="60" applyNumberFormat="1" applyFont="1" applyFill="1" applyAlignment="1">
      <alignment vertical="center" wrapText="1"/>
    </xf>
    <xf numFmtId="2" fontId="42" fillId="9" borderId="2" xfId="60" applyNumberFormat="1" applyFont="1" applyFill="1" applyAlignment="1">
      <alignment vertical="center" wrapText="1"/>
    </xf>
    <xf numFmtId="0" fontId="42" fillId="9" borderId="2" xfId="60" applyFont="1" applyFill="1" applyAlignment="1">
      <alignment vertical="center" wrapText="1"/>
    </xf>
    <xf numFmtId="4" fontId="42" fillId="9" borderId="2" xfId="60" applyNumberFormat="1" applyFont="1" applyFill="1" applyAlignment="1">
      <alignment vertical="center" wrapText="1"/>
    </xf>
    <xf numFmtId="49" fontId="43" fillId="9" borderId="2" xfId="60" applyNumberFormat="1" applyFont="1" applyFill="1" applyAlignment="1">
      <alignment horizontal="left" vertical="center"/>
    </xf>
    <xf numFmtId="0" fontId="41" fillId="9" borderId="2" xfId="60" applyFont="1" applyFill="1" applyAlignment="1">
      <alignment vertical="center" wrapText="1"/>
    </xf>
    <xf numFmtId="49" fontId="42" fillId="9" borderId="2" xfId="60" applyNumberFormat="1" applyFont="1" applyFill="1" applyAlignment="1">
      <alignment horizontal="right" vertical="center" wrapText="1"/>
    </xf>
    <xf numFmtId="49" fontId="42" fillId="9" borderId="2" xfId="60" applyNumberFormat="1" applyFont="1" applyFill="1" applyAlignment="1">
      <alignment horizontal="center" vertical="center" wrapText="1"/>
    </xf>
    <xf numFmtId="4" fontId="42" fillId="9" borderId="2" xfId="60" applyNumberFormat="1" applyFont="1" applyFill="1" applyAlignment="1">
      <alignment horizontal="center" vertical="center" wrapText="1"/>
    </xf>
    <xf numFmtId="0" fontId="42" fillId="32" borderId="27" xfId="215" applyFont="1" applyFill="1" applyBorder="1" applyAlignment="1">
      <alignment horizontal="center" vertical="center" wrapText="1"/>
    </xf>
    <xf numFmtId="0" fontId="42" fillId="32" borderId="27" xfId="60" applyFont="1" applyFill="1" applyBorder="1" applyAlignment="1">
      <alignment horizontal="center" vertical="center" wrapText="1"/>
    </xf>
    <xf numFmtId="4" fontId="42" fillId="32" borderId="27" xfId="60" applyNumberFormat="1" applyFont="1" applyFill="1" applyBorder="1" applyAlignment="1">
      <alignment horizontal="center" vertical="center" wrapText="1"/>
    </xf>
    <xf numFmtId="167" fontId="42" fillId="32" borderId="27" xfId="60" applyNumberFormat="1" applyFont="1" applyFill="1" applyBorder="1" applyAlignment="1">
      <alignment horizontal="center" vertical="center" wrapText="1"/>
    </xf>
    <xf numFmtId="0" fontId="42" fillId="0" borderId="27" xfId="1286" applyFont="1" applyFill="1" applyBorder="1" applyAlignment="1">
      <alignment horizontal="center" vertical="center"/>
    </xf>
    <xf numFmtId="2" fontId="42" fillId="9" borderId="2" xfId="60" applyNumberFormat="1" applyFont="1" applyFill="1" applyAlignment="1">
      <alignment vertical="center"/>
    </xf>
    <xf numFmtId="0" fontId="42" fillId="9" borderId="2" xfId="60" applyFont="1" applyFill="1" applyAlignment="1">
      <alignment vertical="center"/>
    </xf>
    <xf numFmtId="2" fontId="41" fillId="9" borderId="2" xfId="60" applyNumberFormat="1" applyFont="1" applyFill="1" applyAlignment="1">
      <alignment horizontal="center" vertical="center" wrapText="1"/>
    </xf>
    <xf numFmtId="4" fontId="42" fillId="9" borderId="2" xfId="60" applyNumberFormat="1" applyFont="1" applyFill="1" applyAlignment="1">
      <alignment vertical="center"/>
    </xf>
    <xf numFmtId="2" fontId="41" fillId="32" borderId="27" xfId="60" applyNumberFormat="1" applyFont="1" applyFill="1" applyBorder="1" applyAlignment="1">
      <alignment horizontal="center" vertical="center" wrapText="1"/>
    </xf>
    <xf numFmtId="2" fontId="42" fillId="32" borderId="27" xfId="60" applyNumberFormat="1" applyFont="1" applyFill="1" applyBorder="1" applyAlignment="1">
      <alignment horizontal="center" vertical="center" wrapText="1"/>
    </xf>
    <xf numFmtId="2" fontId="68" fillId="9" borderId="2" xfId="60" applyNumberFormat="1" applyFont="1" applyFill="1" applyAlignment="1">
      <alignment vertical="center" wrapText="1"/>
    </xf>
    <xf numFmtId="2" fontId="67" fillId="9" borderId="27" xfId="60" applyNumberFormat="1" applyFont="1" applyFill="1" applyBorder="1" applyAlignment="1">
      <alignment horizontal="center" vertical="center" wrapText="1"/>
    </xf>
    <xf numFmtId="4" fontId="67" fillId="9" borderId="27" xfId="60" applyNumberFormat="1" applyFont="1" applyFill="1" applyBorder="1" applyAlignment="1">
      <alignment horizontal="right" vertical="center" wrapText="1"/>
    </xf>
    <xf numFmtId="2" fontId="67" fillId="9" borderId="2" xfId="60" applyNumberFormat="1" applyFont="1" applyFill="1" applyAlignment="1">
      <alignment vertical="center" wrapText="1"/>
    </xf>
    <xf numFmtId="49" fontId="67" fillId="9" borderId="27" xfId="215" applyNumberFormat="1" applyFont="1" applyFill="1" applyBorder="1" applyAlignment="1">
      <alignment horizontal="center" vertical="center" wrapText="1"/>
    </xf>
    <xf numFmtId="1" fontId="67" fillId="9" borderId="27" xfId="60" applyNumberFormat="1" applyFont="1" applyFill="1" applyBorder="1" applyAlignment="1">
      <alignment horizontal="center" vertical="center" wrapText="1"/>
    </xf>
    <xf numFmtId="49" fontId="67" fillId="9" borderId="27" xfId="60" applyNumberFormat="1" applyFont="1" applyFill="1" applyBorder="1" applyAlignment="1">
      <alignment horizontal="center" vertical="center" wrapText="1"/>
    </xf>
    <xf numFmtId="0" fontId="67" fillId="9" borderId="27" xfId="60" applyFont="1" applyFill="1" applyBorder="1" applyAlignment="1">
      <alignment vertical="center" wrapText="1"/>
    </xf>
    <xf numFmtId="2" fontId="67" fillId="9" borderId="27" xfId="60" applyNumberFormat="1" applyFont="1" applyFill="1" applyBorder="1" applyAlignment="1">
      <alignment vertical="center" wrapText="1"/>
    </xf>
    <xf numFmtId="4" fontId="67" fillId="9" borderId="27" xfId="60" applyNumberFormat="1" applyFont="1" applyFill="1" applyBorder="1" applyAlignment="1">
      <alignment horizontal="center" vertical="center" wrapText="1"/>
    </xf>
    <xf numFmtId="49" fontId="42" fillId="0" borderId="27" xfId="215" applyNumberFormat="1" applyFont="1" applyFill="1" applyBorder="1" applyAlignment="1">
      <alignment horizontal="center" vertical="center" wrapText="1"/>
    </xf>
    <xf numFmtId="2" fontId="42" fillId="0" borderId="27" xfId="215" applyNumberFormat="1" applyFont="1" applyFill="1" applyBorder="1" applyAlignment="1">
      <alignment horizontal="center" vertical="center" wrapText="1"/>
    </xf>
    <xf numFmtId="4" fontId="42" fillId="0" borderId="27" xfId="215" applyNumberFormat="1" applyFont="1" applyFill="1" applyBorder="1" applyAlignment="1">
      <alignment horizontal="center" vertical="center" wrapText="1"/>
    </xf>
    <xf numFmtId="0" fontId="41" fillId="9" borderId="2" xfId="60" applyFont="1" applyFill="1" applyAlignment="1">
      <alignment horizontal="left" vertical="center" wrapText="1"/>
    </xf>
    <xf numFmtId="4" fontId="41" fillId="9" borderId="2" xfId="60" applyNumberFormat="1" applyFont="1" applyFill="1" applyAlignment="1">
      <alignment vertical="center" wrapText="1"/>
    </xf>
    <xf numFmtId="0" fontId="43" fillId="9" borderId="2" xfId="60" applyFont="1" applyFill="1" applyAlignment="1">
      <alignment vertical="center" wrapText="1"/>
    </xf>
    <xf numFmtId="2" fontId="43" fillId="9" borderId="2" xfId="60" applyNumberFormat="1" applyFont="1" applyFill="1" applyAlignment="1">
      <alignment vertical="center" wrapText="1"/>
    </xf>
    <xf numFmtId="3" fontId="41" fillId="9" borderId="2" xfId="60" applyNumberFormat="1" applyFont="1" applyFill="1" applyAlignment="1">
      <alignment horizontal="center" vertical="center" wrapText="1"/>
    </xf>
    <xf numFmtId="2" fontId="41" fillId="9" borderId="2" xfId="60" applyNumberFormat="1" applyFont="1" applyFill="1" applyAlignment="1">
      <alignment horizontal="left" vertical="center" wrapText="1"/>
    </xf>
    <xf numFmtId="2" fontId="41" fillId="9" borderId="2" xfId="60" applyNumberFormat="1" applyFont="1" applyFill="1" applyAlignment="1">
      <alignment vertical="center"/>
    </xf>
    <xf numFmtId="4" fontId="41" fillId="9" borderId="2" xfId="60" applyNumberFormat="1" applyFont="1" applyFill="1" applyAlignment="1">
      <alignment horizontal="left" vertical="center" wrapText="1"/>
    </xf>
    <xf numFmtId="4" fontId="0" fillId="0" borderId="0" xfId="0" applyNumberFormat="1" applyFont="1" applyAlignment="1"/>
    <xf numFmtId="2" fontId="41" fillId="0" borderId="2" xfId="1" applyNumberFormat="1" applyFont="1" applyFill="1" applyBorder="1" applyAlignment="1">
      <alignment vertical="center" wrapText="1"/>
    </xf>
    <xf numFmtId="0" fontId="28" fillId="2" borderId="2" xfId="3079" applyFont="1" applyFill="1" applyBorder="1"/>
    <xf numFmtId="0" fontId="25" fillId="2" borderId="2" xfId="3079" applyFont="1" applyFill="1" applyBorder="1"/>
    <xf numFmtId="0" fontId="28" fillId="0" borderId="2" xfId="3079" applyFont="1"/>
    <xf numFmtId="0" fontId="17" fillId="0" borderId="2" xfId="3079" applyFont="1" applyAlignment="1"/>
    <xf numFmtId="0" fontId="70" fillId="5" borderId="1" xfId="3079" applyFont="1" applyFill="1" applyBorder="1" applyAlignment="1">
      <alignment horizontal="center" vertical="center" wrapText="1"/>
    </xf>
    <xf numFmtId="0" fontId="25" fillId="0" borderId="2" xfId="3079" applyFont="1"/>
    <xf numFmtId="0" fontId="28" fillId="2" borderId="1" xfId="3079" applyFont="1" applyFill="1" applyBorder="1"/>
    <xf numFmtId="4" fontId="71" fillId="2" borderId="1" xfId="3079" applyNumberFormat="1" applyFont="1" applyFill="1" applyBorder="1" applyAlignment="1">
      <alignment horizontal="center" vertical="center"/>
    </xf>
    <xf numFmtId="0" fontId="28" fillId="0" borderId="2" xfId="3079" applyFont="1" applyAlignment="1"/>
    <xf numFmtId="0" fontId="72" fillId="0" borderId="2" xfId="3079" applyFont="1"/>
    <xf numFmtId="4" fontId="69" fillId="2" borderId="1" xfId="3079" applyNumberFormat="1" applyFont="1" applyFill="1" applyBorder="1" applyAlignment="1">
      <alignment horizontal="center" vertical="center"/>
    </xf>
    <xf numFmtId="4" fontId="71" fillId="2" borderId="3" xfId="3079" applyNumberFormat="1" applyFont="1" applyFill="1" applyBorder="1" applyAlignment="1">
      <alignment horizontal="center" vertical="center"/>
    </xf>
    <xf numFmtId="0" fontId="74" fillId="0" borderId="2" xfId="3079" applyFont="1"/>
    <xf numFmtId="4" fontId="69" fillId="2" borderId="10" xfId="3079" applyNumberFormat="1" applyFont="1" applyFill="1" applyBorder="1" applyAlignment="1">
      <alignment horizontal="center" vertical="center"/>
    </xf>
    <xf numFmtId="4" fontId="69" fillId="2" borderId="7" xfId="3079" applyNumberFormat="1" applyFont="1" applyFill="1" applyBorder="1" applyAlignment="1">
      <alignment horizontal="center" vertical="center"/>
    </xf>
    <xf numFmtId="0" fontId="71" fillId="2" borderId="2" xfId="3079" applyFont="1" applyFill="1" applyBorder="1"/>
    <xf numFmtId="0" fontId="69" fillId="2" borderId="2" xfId="3079" applyFont="1" applyFill="1" applyBorder="1"/>
    <xf numFmtId="0" fontId="17" fillId="0" borderId="2" xfId="3079" applyFont="1" applyAlignment="1"/>
    <xf numFmtId="0" fontId="35" fillId="0" borderId="2" xfId="3079" applyFont="1" applyAlignment="1">
      <alignment horizontal="center"/>
    </xf>
    <xf numFmtId="0" fontId="17" fillId="35" borderId="2" xfId="3079" applyFont="1" applyFill="1" applyAlignment="1">
      <alignment wrapText="1"/>
    </xf>
    <xf numFmtId="0" fontId="17" fillId="0" borderId="2" xfId="3079" applyFont="1" applyAlignment="1">
      <alignment wrapText="1"/>
    </xf>
    <xf numFmtId="1" fontId="17" fillId="0" borderId="2" xfId="3079" applyNumberFormat="1" applyFont="1" applyAlignment="1">
      <alignment wrapText="1"/>
    </xf>
    <xf numFmtId="0" fontId="17" fillId="36" borderId="2" xfId="3079" applyFont="1" applyFill="1" applyAlignment="1">
      <alignment wrapText="1"/>
    </xf>
    <xf numFmtId="0" fontId="17" fillId="37" borderId="2" xfId="3079" applyFont="1" applyFill="1" applyAlignment="1"/>
    <xf numFmtId="0" fontId="17" fillId="38" borderId="2" xfId="3079" applyFont="1" applyFill="1" applyAlignment="1"/>
    <xf numFmtId="0" fontId="17" fillId="0" borderId="2" xfId="3079" applyFont="1"/>
    <xf numFmtId="0" fontId="17" fillId="39" borderId="2" xfId="3079" applyFont="1" applyFill="1" applyAlignment="1"/>
    <xf numFmtId="0" fontId="17" fillId="39" borderId="2" xfId="3079" applyFont="1" applyFill="1"/>
    <xf numFmtId="0" fontId="17" fillId="4" borderId="2" xfId="3079" applyFont="1" applyFill="1" applyAlignment="1"/>
    <xf numFmtId="0" fontId="26" fillId="0" borderId="8" xfId="3079" applyFont="1" applyBorder="1"/>
    <xf numFmtId="0" fontId="71" fillId="40" borderId="2" xfId="3080" applyFont="1" applyFill="1" applyBorder="1"/>
    <xf numFmtId="0" fontId="69" fillId="40" borderId="2" xfId="3080" applyFont="1" applyFill="1" applyBorder="1"/>
    <xf numFmtId="0" fontId="28" fillId="0" borderId="2" xfId="3080" applyFont="1"/>
    <xf numFmtId="0" fontId="16" fillId="0" borderId="2" xfId="3080" applyFont="1" applyAlignment="1"/>
    <xf numFmtId="0" fontId="69" fillId="33" borderId="1" xfId="3080" applyFont="1" applyFill="1" applyBorder="1" applyAlignment="1">
      <alignment horizontal="center" vertical="center" wrapText="1"/>
    </xf>
    <xf numFmtId="0" fontId="25" fillId="0" borderId="2" xfId="3080" applyFont="1"/>
    <xf numFmtId="0" fontId="71" fillId="2" borderId="1" xfId="3080" applyFont="1" applyFill="1" applyBorder="1"/>
    <xf numFmtId="4" fontId="71" fillId="2" borderId="1" xfId="3080" applyNumberFormat="1" applyFont="1" applyFill="1" applyBorder="1" applyAlignment="1">
      <alignment horizontal="center" vertical="center"/>
    </xf>
    <xf numFmtId="0" fontId="72" fillId="0" borderId="2" xfId="3080" applyFont="1"/>
    <xf numFmtId="4" fontId="69" fillId="2" borderId="1" xfId="3080" applyNumberFormat="1" applyFont="1" applyFill="1" applyBorder="1" applyAlignment="1">
      <alignment horizontal="center" vertical="center"/>
    </xf>
    <xf numFmtId="0" fontId="74" fillId="0" borderId="2" xfId="3080" applyFont="1"/>
    <xf numFmtId="2" fontId="71" fillId="34" borderId="3" xfId="3080" applyNumberFormat="1" applyFont="1" applyFill="1" applyBorder="1" applyAlignment="1">
      <alignment horizontal="center" vertical="center" wrapText="1"/>
    </xf>
    <xf numFmtId="2" fontId="71" fillId="0" borderId="1" xfId="3080" applyNumberFormat="1" applyFont="1" applyBorder="1" applyAlignment="1">
      <alignment horizontal="center" vertical="center"/>
    </xf>
    <xf numFmtId="4" fontId="71" fillId="2" borderId="7" xfId="3080" applyNumberFormat="1" applyFont="1" applyFill="1" applyBorder="1" applyAlignment="1">
      <alignment horizontal="center" vertical="center"/>
    </xf>
    <xf numFmtId="4" fontId="69" fillId="2" borderId="7" xfId="3080" applyNumberFormat="1" applyFont="1" applyFill="1" applyBorder="1" applyAlignment="1">
      <alignment horizontal="center" vertical="center"/>
    </xf>
    <xf numFmtId="4" fontId="69" fillId="5" borderId="1" xfId="3080" applyNumberFormat="1" applyFont="1" applyFill="1" applyBorder="1" applyAlignment="1">
      <alignment horizontal="center"/>
    </xf>
    <xf numFmtId="0" fontId="71" fillId="2" borderId="2" xfId="3080" applyFont="1" applyFill="1" applyBorder="1"/>
    <xf numFmtId="0" fontId="69" fillId="2" borderId="2" xfId="3080" applyFont="1" applyFill="1" applyBorder="1"/>
    <xf numFmtId="0" fontId="28" fillId="2" borderId="2" xfId="3080" applyFont="1" applyFill="1" applyBorder="1"/>
    <xf numFmtId="0" fontId="25" fillId="2" borderId="2" xfId="3080" applyFont="1" applyFill="1" applyBorder="1"/>
    <xf numFmtId="4" fontId="71" fillId="2" borderId="2" xfId="3080" applyNumberFormat="1" applyFont="1" applyFill="1" applyBorder="1"/>
    <xf numFmtId="0" fontId="69" fillId="41" borderId="2" xfId="3080" applyFont="1" applyFill="1" applyBorder="1"/>
    <xf numFmtId="4" fontId="69" fillId="41" borderId="2" xfId="3080" applyNumberFormat="1" applyFont="1" applyFill="1" applyBorder="1"/>
    <xf numFmtId="0" fontId="25" fillId="7" borderId="2" xfId="3080" applyFont="1" applyFill="1"/>
    <xf numFmtId="0" fontId="35" fillId="7" borderId="2" xfId="3080" applyFont="1" applyFill="1" applyAlignment="1"/>
    <xf numFmtId="0" fontId="24" fillId="9" borderId="12" xfId="3080" applyFont="1" applyFill="1" applyBorder="1" applyAlignment="1">
      <alignment horizontal="center"/>
    </xf>
    <xf numFmtId="0" fontId="24" fillId="9" borderId="12" xfId="3080" applyFont="1" applyFill="1" applyBorder="1"/>
    <xf numFmtId="0" fontId="24" fillId="9" borderId="31" xfId="3080" applyFont="1" applyFill="1" applyBorder="1"/>
    <xf numFmtId="0" fontId="16" fillId="0" borderId="2" xfId="3080"/>
    <xf numFmtId="0" fontId="27" fillId="9" borderId="12" xfId="3080" applyFont="1" applyFill="1" applyBorder="1" applyAlignment="1">
      <alignment horizontal="center"/>
    </xf>
    <xf numFmtId="0" fontId="24" fillId="9" borderId="2" xfId="3080" applyFont="1" applyFill="1"/>
    <xf numFmtId="0" fontId="27" fillId="9" borderId="33" xfId="3080" applyFont="1" applyFill="1" applyBorder="1"/>
    <xf numFmtId="0" fontId="27" fillId="9" borderId="34" xfId="3080" applyFont="1" applyFill="1" applyBorder="1"/>
    <xf numFmtId="0" fontId="27" fillId="9" borderId="12" xfId="3080" applyFont="1" applyFill="1" applyBorder="1" applyAlignment="1">
      <alignment wrapText="1"/>
    </xf>
    <xf numFmtId="0" fontId="27" fillId="9" borderId="12" xfId="3080" applyFont="1" applyFill="1" applyBorder="1" applyAlignment="1">
      <alignment vertical="top" wrapText="1"/>
    </xf>
    <xf numFmtId="0" fontId="27" fillId="9" borderId="31" xfId="3080" applyFont="1" applyFill="1" applyBorder="1"/>
    <xf numFmtId="0" fontId="16" fillId="0" borderId="0" xfId="0" applyFont="1" applyAlignment="1"/>
    <xf numFmtId="3" fontId="0" fillId="0" borderId="0" xfId="0" applyNumberFormat="1" applyFont="1" applyAlignment="1"/>
    <xf numFmtId="0" fontId="16" fillId="0" borderId="12" xfId="3080" applyFont="1" applyBorder="1"/>
    <xf numFmtId="0" fontId="78" fillId="0" borderId="12" xfId="3080" applyFont="1" applyBorder="1"/>
    <xf numFmtId="1" fontId="78" fillId="0" borderId="12" xfId="3080" applyNumberFormat="1" applyFont="1" applyBorder="1"/>
    <xf numFmtId="0" fontId="32" fillId="6" borderId="1" xfId="3080" applyFont="1" applyFill="1" applyBorder="1" applyAlignment="1">
      <alignment wrapText="1"/>
    </xf>
    <xf numFmtId="0" fontId="16" fillId="0" borderId="2" xfId="3080" applyFont="1"/>
    <xf numFmtId="9" fontId="16" fillId="0" borderId="2" xfId="3080" applyNumberFormat="1"/>
    <xf numFmtId="9" fontId="16" fillId="0" borderId="2" xfId="3080" applyNumberFormat="1" applyFont="1"/>
    <xf numFmtId="0" fontId="16" fillId="0" borderId="2" xfId="3080" applyFont="1" applyAlignment="1">
      <alignment horizontal="center" vertical="center" wrapText="1"/>
    </xf>
    <xf numFmtId="0" fontId="16" fillId="0" borderId="2" xfId="3080" applyFont="1" applyAlignment="1">
      <alignment vertical="center" wrapText="1"/>
    </xf>
    <xf numFmtId="0" fontId="16" fillId="0" borderId="2" xfId="3080" applyFont="1" applyAlignment="1">
      <alignment wrapText="1"/>
    </xf>
    <xf numFmtId="2" fontId="16" fillId="0" borderId="2" xfId="3080" applyNumberFormat="1"/>
    <xf numFmtId="1" fontId="81" fillId="0" borderId="2" xfId="3080" applyNumberFormat="1" applyFont="1"/>
    <xf numFmtId="0" fontId="35" fillId="9" borderId="2" xfId="3080" applyFont="1" applyFill="1"/>
    <xf numFmtId="0" fontId="35" fillId="7" borderId="2" xfId="3080" applyFont="1" applyFill="1"/>
    <xf numFmtId="4" fontId="35" fillId="7" borderId="2" xfId="3080" applyNumberFormat="1" applyFont="1" applyFill="1"/>
    <xf numFmtId="0" fontId="16" fillId="9" borderId="2" xfId="3080" applyFont="1" applyFill="1"/>
    <xf numFmtId="0" fontId="16" fillId="9" borderId="2" xfId="3080" applyFill="1"/>
    <xf numFmtId="4" fontId="16" fillId="0" borderId="2" xfId="3080" applyNumberFormat="1"/>
    <xf numFmtId="0" fontId="35" fillId="0" borderId="2" xfId="3080" applyFont="1"/>
    <xf numFmtId="4" fontId="78" fillId="0" borderId="2" xfId="3080" applyNumberFormat="1" applyFont="1"/>
    <xf numFmtId="0" fontId="82" fillId="7" borderId="0" xfId="0" applyFont="1" applyFill="1" applyAlignment="1"/>
    <xf numFmtId="0" fontId="78" fillId="0" borderId="0" xfId="0" applyFont="1" applyAlignment="1"/>
    <xf numFmtId="0" fontId="78" fillId="7" borderId="0" xfId="0" applyFont="1" applyFill="1" applyAlignment="1"/>
    <xf numFmtId="0" fontId="21" fillId="9" borderId="0" xfId="0" applyFont="1" applyFill="1" applyAlignment="1"/>
    <xf numFmtId="0" fontId="0" fillId="9" borderId="0" xfId="0" applyFont="1" applyFill="1" applyAlignment="1"/>
    <xf numFmtId="0" fontId="81" fillId="0" borderId="0" xfId="0" applyFont="1" applyAlignment="1"/>
    <xf numFmtId="0" fontId="0" fillId="44" borderId="0" xfId="0" applyFont="1" applyFill="1" applyAlignment="1"/>
    <xf numFmtId="4" fontId="21" fillId="0" borderId="12" xfId="0" applyNumberFormat="1" applyFont="1" applyBorder="1" applyAlignment="1"/>
    <xf numFmtId="4" fontId="0" fillId="0" borderId="12" xfId="0" applyNumberFormat="1" applyFont="1" applyBorder="1" applyAlignment="1"/>
    <xf numFmtId="4" fontId="32" fillId="6" borderId="1" xfId="0" applyNumberFormat="1" applyFont="1" applyFill="1" applyBorder="1" applyAlignment="1">
      <alignment wrapText="1"/>
    </xf>
    <xf numFmtId="4" fontId="21" fillId="0" borderId="0" xfId="0" applyNumberFormat="1" applyFont="1" applyAlignment="1"/>
    <xf numFmtId="4" fontId="32" fillId="6" borderId="2" xfId="0" applyNumberFormat="1" applyFont="1" applyFill="1" applyBorder="1" applyAlignment="1">
      <alignment wrapText="1"/>
    </xf>
    <xf numFmtId="4" fontId="78" fillId="0" borderId="0" xfId="0" applyNumberFormat="1" applyFont="1" applyAlignment="1"/>
    <xf numFmtId="4" fontId="19" fillId="0" borderId="0" xfId="0" applyNumberFormat="1" applyFont="1" applyAlignment="1"/>
    <xf numFmtId="4" fontId="16" fillId="0" borderId="0" xfId="0" applyNumberFormat="1" applyFont="1" applyAlignment="1"/>
    <xf numFmtId="4" fontId="35" fillId="7" borderId="0" xfId="0" applyNumberFormat="1" applyFont="1" applyFill="1" applyAlignment="1"/>
    <xf numFmtId="4" fontId="31" fillId="6" borderId="2" xfId="0" applyNumberFormat="1" applyFont="1" applyFill="1" applyBorder="1" applyAlignment="1">
      <alignment horizontal="left" vertical="center" wrapText="1"/>
    </xf>
    <xf numFmtId="4" fontId="24" fillId="9" borderId="0" xfId="0" applyNumberFormat="1" applyFont="1" applyFill="1" applyAlignment="1">
      <alignment horizontal="justify" vertical="center" wrapText="1"/>
    </xf>
    <xf numFmtId="4" fontId="19" fillId="8" borderId="0" xfId="0" applyNumberFormat="1" applyFont="1" applyFill="1" applyAlignment="1"/>
    <xf numFmtId="4" fontId="0" fillId="8" borderId="0" xfId="0" applyNumberFormat="1" applyFont="1" applyFill="1" applyAlignment="1"/>
    <xf numFmtId="4" fontId="20" fillId="0" borderId="0" xfId="0" applyNumberFormat="1" applyFont="1" applyAlignment="1"/>
    <xf numFmtId="0" fontId="32" fillId="6" borderId="27" xfId="0" applyFont="1" applyFill="1" applyBorder="1" applyAlignment="1">
      <alignment wrapText="1"/>
    </xf>
    <xf numFmtId="0" fontId="21" fillId="0" borderId="27" xfId="0" applyFont="1" applyBorder="1" applyAlignment="1">
      <alignment wrapText="1"/>
    </xf>
    <xf numFmtId="0" fontId="0" fillId="0" borderId="27" xfId="0" applyFont="1" applyBorder="1" applyAlignment="1"/>
    <xf numFmtId="0" fontId="79" fillId="0" borderId="0" xfId="0" applyFont="1" applyAlignment="1"/>
    <xf numFmtId="3" fontId="15" fillId="0" borderId="0" xfId="0" applyNumberFormat="1" applyFont="1" applyAlignment="1"/>
    <xf numFmtId="0" fontId="15" fillId="0" borderId="0" xfId="0" applyFont="1" applyAlignment="1"/>
    <xf numFmtId="4" fontId="71" fillId="2" borderId="1" xfId="0" applyNumberFormat="1" applyFont="1" applyFill="1" applyBorder="1" applyAlignment="1">
      <alignment horizontal="center" vertical="center"/>
    </xf>
    <xf numFmtId="4" fontId="71" fillId="2" borderId="7" xfId="0" applyNumberFormat="1" applyFont="1" applyFill="1" applyBorder="1" applyAlignment="1">
      <alignment horizontal="center" vertical="center"/>
    </xf>
    <xf numFmtId="4" fontId="69" fillId="2" borderId="1" xfId="0" applyNumberFormat="1" applyFont="1" applyFill="1" applyBorder="1" applyAlignment="1">
      <alignment horizontal="center" vertical="center"/>
    </xf>
    <xf numFmtId="4" fontId="71" fillId="2" borderId="2" xfId="3079" applyNumberFormat="1" applyFont="1" applyFill="1" applyBorder="1"/>
    <xf numFmtId="0" fontId="13" fillId="0" borderId="2" xfId="3080" applyFont="1"/>
    <xf numFmtId="0" fontId="12" fillId="0" borderId="0" xfId="0" applyFont="1" applyAlignment="1"/>
    <xf numFmtId="0" fontId="34" fillId="2" borderId="1" xfId="0" applyFont="1" applyFill="1" applyBorder="1" applyAlignment="1">
      <alignment wrapText="1"/>
    </xf>
    <xf numFmtId="0" fontId="27" fillId="41" borderId="1" xfId="0" applyFont="1" applyFill="1" applyBorder="1" applyAlignment="1">
      <alignment wrapText="1"/>
    </xf>
    <xf numFmtId="0" fontId="87" fillId="0" borderId="2" xfId="3079" applyFont="1" applyAlignment="1"/>
    <xf numFmtId="0" fontId="87" fillId="0" borderId="2" xfId="3080" applyFont="1"/>
    <xf numFmtId="0" fontId="12" fillId="9" borderId="0" xfId="0" applyFont="1" applyFill="1" applyAlignment="1"/>
    <xf numFmtId="0" fontId="78" fillId="9" borderId="0" xfId="0" applyFont="1" applyFill="1" applyAlignment="1"/>
    <xf numFmtId="0" fontId="11" fillId="0" borderId="2" xfId="3086"/>
    <xf numFmtId="173" fontId="93" fillId="9" borderId="27" xfId="3082" applyFont="1" applyFill="1" applyBorder="1" applyAlignment="1">
      <alignment vertical="center" wrapText="1"/>
    </xf>
    <xf numFmtId="4" fontId="93" fillId="9" borderId="27" xfId="3082" applyNumberFormat="1" applyFont="1" applyFill="1" applyBorder="1" applyAlignment="1">
      <alignment horizontal="right" vertical="center" wrapText="1"/>
    </xf>
    <xf numFmtId="173" fontId="93" fillId="9" borderId="27" xfId="3082" applyFont="1" applyFill="1" applyBorder="1" applyAlignment="1">
      <alignment vertical="top" wrapText="1"/>
    </xf>
    <xf numFmtId="0" fontId="96" fillId="0" borderId="27" xfId="3086" applyFont="1" applyBorder="1"/>
    <xf numFmtId="0" fontId="98" fillId="0" borderId="2" xfId="3086" applyFont="1"/>
    <xf numFmtId="0" fontId="99" fillId="0" borderId="2" xfId="3086" applyFont="1"/>
    <xf numFmtId="0" fontId="85" fillId="0" borderId="2" xfId="3086" applyFont="1"/>
    <xf numFmtId="2" fontId="99" fillId="0" borderId="2" xfId="3086" applyNumberFormat="1" applyFont="1"/>
    <xf numFmtId="0" fontId="11" fillId="7" borderId="0" xfId="0" applyFont="1" applyFill="1" applyAlignment="1"/>
    <xf numFmtId="0" fontId="11" fillId="7" borderId="0" xfId="0" applyFont="1" applyFill="1" applyAlignment="1">
      <alignment wrapText="1"/>
    </xf>
    <xf numFmtId="0" fontId="36" fillId="0" borderId="2" xfId="180"/>
    <xf numFmtId="0" fontId="35" fillId="0" borderId="2" xfId="180" applyFont="1" applyAlignment="1">
      <alignment vertical="top" wrapText="1"/>
    </xf>
    <xf numFmtId="0" fontId="36" fillId="0" borderId="27" xfId="180" applyBorder="1" applyAlignment="1">
      <alignment vertical="top" wrapText="1"/>
    </xf>
    <xf numFmtId="0" fontId="36" fillId="0" borderId="27" xfId="180" applyBorder="1"/>
    <xf numFmtId="0" fontId="35" fillId="0" borderId="27" xfId="180" applyFont="1" applyBorder="1" applyAlignment="1">
      <alignment vertical="top" wrapText="1"/>
    </xf>
    <xf numFmtId="0" fontId="35" fillId="32" borderId="27" xfId="180" applyFont="1" applyFill="1" applyBorder="1" applyAlignment="1">
      <alignment vertical="top" wrapText="1"/>
    </xf>
    <xf numFmtId="0" fontId="36" fillId="32" borderId="27" xfId="180" applyFill="1" applyBorder="1"/>
    <xf numFmtId="49" fontId="46" fillId="0" borderId="27" xfId="180" applyNumberFormat="1" applyFont="1" applyBorder="1" applyAlignment="1" applyProtection="1">
      <alignment horizontal="left" vertical="center" wrapText="1" shrinkToFit="1"/>
      <protection locked="0"/>
    </xf>
    <xf numFmtId="49" fontId="46" fillId="32" borderId="27" xfId="180" applyNumberFormat="1" applyFont="1" applyFill="1" applyBorder="1" applyAlignment="1" applyProtection="1">
      <alignment horizontal="left" vertical="center" wrapText="1" shrinkToFit="1"/>
      <protection locked="0"/>
    </xf>
    <xf numFmtId="174" fontId="36" fillId="0" borderId="27" xfId="180" applyNumberFormat="1" applyBorder="1"/>
    <xf numFmtId="0" fontId="46" fillId="0" borderId="27" xfId="213" applyFont="1" applyBorder="1" applyAlignment="1">
      <alignment horizontal="left" vertical="center" wrapText="1"/>
    </xf>
    <xf numFmtId="0" fontId="46" fillId="0" borderId="27" xfId="213" applyFont="1" applyBorder="1" applyAlignment="1">
      <alignment vertical="center" wrapText="1"/>
    </xf>
    <xf numFmtId="0" fontId="100" fillId="8" borderId="27" xfId="180" applyFont="1" applyFill="1" applyBorder="1"/>
    <xf numFmtId="0" fontId="101" fillId="8" borderId="27" xfId="213" applyFont="1" applyFill="1" applyBorder="1" applyAlignment="1">
      <alignment vertical="center" wrapText="1"/>
    </xf>
    <xf numFmtId="49" fontId="101" fillId="8" borderId="27" xfId="180" applyNumberFormat="1" applyFont="1" applyFill="1" applyBorder="1" applyAlignment="1" applyProtection="1">
      <alignment horizontal="left" vertical="center" wrapText="1" shrinkToFit="1"/>
      <protection locked="0"/>
    </xf>
    <xf numFmtId="174" fontId="100" fillId="8" borderId="27" xfId="180" applyNumberFormat="1" applyFont="1" applyFill="1" applyBorder="1"/>
    <xf numFmtId="49" fontId="46" fillId="32" borderId="27" xfId="180" applyNumberFormat="1" applyFont="1" applyFill="1" applyBorder="1" applyAlignment="1" applyProtection="1">
      <alignment horizontal="left" wrapText="1" shrinkToFit="1"/>
      <protection locked="0"/>
    </xf>
    <xf numFmtId="3" fontId="36" fillId="0" borderId="27" xfId="180" applyNumberFormat="1" applyBorder="1"/>
    <xf numFmtId="0" fontId="46" fillId="32" borderId="27" xfId="180" applyFont="1" applyFill="1" applyBorder="1" applyAlignment="1" applyProtection="1">
      <alignment horizontal="left" vertical="center" wrapText="1"/>
      <protection locked="0"/>
    </xf>
    <xf numFmtId="0" fontId="101" fillId="8" borderId="27" xfId="180" applyFont="1" applyFill="1" applyBorder="1" applyAlignment="1" applyProtection="1">
      <alignment horizontal="left" vertical="center" wrapText="1"/>
      <protection locked="0"/>
    </xf>
    <xf numFmtId="0" fontId="36" fillId="8" borderId="27" xfId="180" applyFill="1" applyBorder="1"/>
    <xf numFmtId="0" fontId="46" fillId="8" borderId="27" xfId="180" applyFont="1" applyFill="1" applyBorder="1" applyAlignment="1" applyProtection="1">
      <alignment horizontal="left" vertical="center" wrapText="1"/>
      <protection locked="0"/>
    </xf>
    <xf numFmtId="174" fontId="35" fillId="8" borderId="27" xfId="180" applyNumberFormat="1" applyFont="1" applyFill="1" applyBorder="1"/>
    <xf numFmtId="0" fontId="100" fillId="49" borderId="27" xfId="180" applyFont="1" applyFill="1" applyBorder="1"/>
    <xf numFmtId="0" fontId="101" fillId="49" borderId="27" xfId="213" applyFont="1" applyFill="1" applyBorder="1" applyAlignment="1">
      <alignment vertical="center" wrapText="1"/>
    </xf>
    <xf numFmtId="174" fontId="100" fillId="49" borderId="27" xfId="180" applyNumberFormat="1" applyFont="1" applyFill="1" applyBorder="1"/>
    <xf numFmtId="49" fontId="46" fillId="0" borderId="27" xfId="180" applyNumberFormat="1" applyFont="1" applyBorder="1" applyAlignment="1" applyProtection="1">
      <alignment horizontal="left" wrapText="1" shrinkToFit="1"/>
      <protection locked="0"/>
    </xf>
    <xf numFmtId="0" fontId="36" fillId="0" borderId="27" xfId="180" applyBorder="1" applyAlignment="1">
      <alignment vertical="center" wrapText="1"/>
    </xf>
    <xf numFmtId="0" fontId="35" fillId="8" borderId="2" xfId="180" applyFont="1" applyFill="1"/>
    <xf numFmtId="0" fontId="35" fillId="8" borderId="2" xfId="180" applyFont="1" applyFill="1" applyAlignment="1">
      <alignment vertical="top" wrapText="1"/>
    </xf>
    <xf numFmtId="174" fontId="100" fillId="8" borderId="44" xfId="180" applyNumberFormat="1" applyFont="1" applyFill="1" applyBorder="1"/>
    <xf numFmtId="0" fontId="36" fillId="0" borderId="2" xfId="180" applyAlignment="1">
      <alignment vertical="top" wrapText="1"/>
    </xf>
    <xf numFmtId="0" fontId="35" fillId="0" borderId="2" xfId="180" applyFont="1"/>
    <xf numFmtId="174" fontId="35" fillId="0" borderId="2" xfId="180" applyNumberFormat="1" applyFont="1"/>
    <xf numFmtId="174" fontId="36" fillId="7" borderId="27" xfId="180" applyNumberFormat="1" applyFill="1" applyBorder="1"/>
    <xf numFmtId="174" fontId="36" fillId="0" borderId="2" xfId="180" applyNumberFormat="1"/>
    <xf numFmtId="0" fontId="11" fillId="0" borderId="2" xfId="3091"/>
    <xf numFmtId="175" fontId="105" fillId="50" borderId="31" xfId="3091" applyNumberFormat="1" applyFont="1" applyFill="1" applyBorder="1" applyAlignment="1">
      <alignment horizontal="center" vertical="center" wrapText="1"/>
    </xf>
    <xf numFmtId="0" fontId="106" fillId="7" borderId="27" xfId="3093" applyFont="1" applyFill="1" applyBorder="1" applyAlignment="1">
      <alignment vertical="top" wrapText="1"/>
    </xf>
    <xf numFmtId="0" fontId="107" fillId="7" borderId="27" xfId="3093" applyFont="1" applyFill="1" applyBorder="1" applyAlignment="1">
      <alignment horizontal="center" vertical="top" wrapText="1"/>
    </xf>
    <xf numFmtId="176" fontId="108" fillId="7" borderId="27" xfId="3092" applyNumberFormat="1" applyFont="1" applyFill="1" applyBorder="1" applyAlignment="1" applyProtection="1">
      <alignment horizontal="center" vertical="center" wrapText="1"/>
    </xf>
    <xf numFmtId="0" fontId="107" fillId="9" borderId="27" xfId="3093" applyFont="1" applyFill="1" applyBorder="1" applyAlignment="1">
      <alignment horizontal="center" vertical="top" wrapText="1"/>
    </xf>
    <xf numFmtId="176" fontId="108" fillId="9" borderId="27" xfId="3092" applyNumberFormat="1" applyFont="1" applyFill="1" applyBorder="1" applyAlignment="1" applyProtection="1">
      <alignment horizontal="center" vertical="center" wrapText="1"/>
    </xf>
    <xf numFmtId="0" fontId="106" fillId="9" borderId="27" xfId="3093" applyFont="1" applyFill="1" applyBorder="1" applyAlignment="1">
      <alignment vertical="top" wrapText="1"/>
    </xf>
    <xf numFmtId="0" fontId="106" fillId="0" borderId="27" xfId="3093" applyFont="1" applyBorder="1" applyAlignment="1">
      <alignment vertical="top" wrapText="1"/>
    </xf>
    <xf numFmtId="0" fontId="107" fillId="0" borderId="27" xfId="3093" applyFont="1" applyBorder="1" applyAlignment="1">
      <alignment horizontal="center" vertical="top" wrapText="1"/>
    </xf>
    <xf numFmtId="176" fontId="108" fillId="43" borderId="27" xfId="3092" applyNumberFormat="1" applyFont="1" applyFill="1" applyBorder="1" applyAlignment="1" applyProtection="1">
      <alignment horizontal="center" vertical="center" wrapText="1"/>
    </xf>
    <xf numFmtId="168" fontId="107" fillId="9" borderId="27" xfId="3092" applyFont="1" applyFill="1" applyBorder="1" applyAlignment="1" applyProtection="1">
      <alignment horizontal="center" vertical="top" wrapText="1"/>
    </xf>
    <xf numFmtId="0" fontId="109" fillId="47" borderId="47" xfId="3093" applyFont="1" applyFill="1" applyBorder="1" applyAlignment="1">
      <alignment vertical="center" wrapText="1"/>
    </xf>
    <xf numFmtId="0" fontId="110" fillId="47" borderId="48" xfId="3093" applyFont="1" applyFill="1" applyBorder="1" applyAlignment="1">
      <alignment horizontal="center" vertical="center" wrapText="1"/>
    </xf>
    <xf numFmtId="176" fontId="110" fillId="47" borderId="48" xfId="3094" applyNumberFormat="1" applyFont="1" applyFill="1" applyBorder="1" applyAlignment="1" applyProtection="1">
      <alignment horizontal="center" vertical="center" wrapText="1"/>
    </xf>
    <xf numFmtId="0" fontId="109" fillId="47" borderId="49" xfId="3093" applyFont="1" applyFill="1" applyBorder="1" applyAlignment="1">
      <alignment vertical="center" wrapText="1"/>
    </xf>
    <xf numFmtId="0" fontId="110" fillId="47" borderId="27" xfId="3093" applyFont="1" applyFill="1" applyBorder="1" applyAlignment="1">
      <alignment horizontal="center" vertical="center" wrapText="1"/>
    </xf>
    <xf numFmtId="176" fontId="110" fillId="47" borderId="27" xfId="3094" applyNumberFormat="1" applyFont="1" applyFill="1" applyBorder="1" applyAlignment="1" applyProtection="1">
      <alignment horizontal="center" vertical="center" wrapText="1"/>
    </xf>
    <xf numFmtId="176" fontId="110" fillId="49" borderId="48" xfId="3094" applyNumberFormat="1" applyFont="1" applyFill="1" applyBorder="1" applyAlignment="1" applyProtection="1">
      <alignment horizontal="center" vertical="center" wrapText="1"/>
    </xf>
    <xf numFmtId="0" fontId="109" fillId="47" borderId="50" xfId="3093" applyFont="1" applyFill="1" applyBorder="1" applyAlignment="1">
      <alignment vertical="center" wrapText="1"/>
    </xf>
    <xf numFmtId="0" fontId="110" fillId="47" borderId="51" xfId="3093" applyFont="1" applyFill="1" applyBorder="1" applyAlignment="1">
      <alignment horizontal="center" vertical="center" wrapText="1"/>
    </xf>
    <xf numFmtId="176" fontId="110" fillId="47" borderId="51" xfId="3094" applyNumberFormat="1" applyFont="1" applyFill="1" applyBorder="1" applyAlignment="1" applyProtection="1">
      <alignment horizontal="center" vertical="center" wrapText="1"/>
    </xf>
    <xf numFmtId="3" fontId="110" fillId="47" borderId="51" xfId="3094" applyNumberFormat="1" applyFont="1" applyFill="1" applyBorder="1" applyAlignment="1" applyProtection="1">
      <alignment horizontal="right" vertical="center" wrapText="1"/>
    </xf>
    <xf numFmtId="0" fontId="108" fillId="9" borderId="27" xfId="3093" applyFont="1" applyFill="1" applyBorder="1" applyAlignment="1">
      <alignment vertical="top" wrapText="1"/>
    </xf>
    <xf numFmtId="0" fontId="103" fillId="9" borderId="27" xfId="3093" applyFont="1" applyFill="1" applyBorder="1" applyAlignment="1">
      <alignment horizontal="center" vertical="top" wrapText="1"/>
    </xf>
    <xf numFmtId="0" fontId="111" fillId="9" borderId="27" xfId="3093" applyFont="1" applyFill="1" applyBorder="1" applyAlignment="1">
      <alignment vertical="top" wrapText="1"/>
    </xf>
    <xf numFmtId="0" fontId="112" fillId="9" borderId="27" xfId="3093" applyFont="1" applyFill="1" applyBorder="1" applyAlignment="1">
      <alignment vertical="top" wrapText="1"/>
    </xf>
    <xf numFmtId="0" fontId="113" fillId="47" borderId="47" xfId="3093" applyFont="1" applyFill="1" applyBorder="1" applyAlignment="1">
      <alignment vertical="center" wrapText="1"/>
    </xf>
    <xf numFmtId="0" fontId="114" fillId="47" borderId="48" xfId="3093" applyFont="1" applyFill="1" applyBorder="1" applyAlignment="1">
      <alignment horizontal="center" vertical="center" wrapText="1"/>
    </xf>
    <xf numFmtId="176" fontId="114" fillId="47" borderId="48" xfId="3094" applyNumberFormat="1" applyFont="1" applyFill="1" applyBorder="1" applyAlignment="1" applyProtection="1">
      <alignment horizontal="center" vertical="center" wrapText="1"/>
    </xf>
    <xf numFmtId="0" fontId="114" fillId="47" borderId="27" xfId="3093" applyFont="1" applyFill="1" applyBorder="1" applyAlignment="1">
      <alignment horizontal="center" vertical="center" wrapText="1"/>
    </xf>
    <xf numFmtId="176" fontId="114" fillId="47" borderId="27" xfId="3094" applyNumberFormat="1" applyFont="1" applyFill="1" applyBorder="1" applyAlignment="1" applyProtection="1">
      <alignment horizontal="center" vertical="center" wrapText="1"/>
    </xf>
    <xf numFmtId="0" fontId="114" fillId="47" borderId="51" xfId="3093" applyFont="1" applyFill="1" applyBorder="1" applyAlignment="1">
      <alignment horizontal="center" vertical="center" wrapText="1"/>
    </xf>
    <xf numFmtId="176" fontId="114" fillId="47" borderId="51" xfId="3094" applyNumberFormat="1" applyFont="1" applyFill="1" applyBorder="1" applyAlignment="1" applyProtection="1">
      <alignment horizontal="center" vertical="center" wrapText="1"/>
    </xf>
    <xf numFmtId="0" fontId="108" fillId="9" borderId="33" xfId="3093" applyFont="1" applyFill="1" applyBorder="1" applyAlignment="1">
      <alignment vertical="top" wrapText="1"/>
    </xf>
    <xf numFmtId="0" fontId="103" fillId="9" borderId="33" xfId="3093" applyFont="1" applyFill="1" applyBorder="1" applyAlignment="1">
      <alignment horizontal="center" vertical="top" wrapText="1"/>
    </xf>
    <xf numFmtId="176" fontId="106" fillId="7" borderId="33" xfId="3092" applyNumberFormat="1" applyFont="1" applyFill="1" applyBorder="1" applyAlignment="1" applyProtection="1">
      <alignment horizontal="center" vertical="center" wrapText="1"/>
    </xf>
    <xf numFmtId="176" fontId="106" fillId="9" borderId="33" xfId="3092" applyNumberFormat="1" applyFont="1" applyFill="1" applyBorder="1" applyAlignment="1" applyProtection="1">
      <alignment horizontal="center" vertical="center" wrapText="1"/>
    </xf>
    <xf numFmtId="176" fontId="106" fillId="9" borderId="27" xfId="3092" applyNumberFormat="1" applyFont="1" applyFill="1" applyBorder="1" applyAlignment="1" applyProtection="1">
      <alignment horizontal="center" vertical="center" wrapText="1"/>
    </xf>
    <xf numFmtId="0" fontId="108" fillId="9" borderId="39" xfId="3093" applyFont="1" applyFill="1" applyBorder="1" applyAlignment="1">
      <alignment vertical="top" wrapText="1"/>
    </xf>
    <xf numFmtId="0" fontId="103" fillId="9" borderId="39" xfId="3093" applyFont="1" applyFill="1" applyBorder="1" applyAlignment="1">
      <alignment horizontal="center" vertical="top" wrapText="1"/>
    </xf>
    <xf numFmtId="176" fontId="106" fillId="9" borderId="39" xfId="3092" applyNumberFormat="1" applyFont="1" applyFill="1" applyBorder="1" applyAlignment="1" applyProtection="1">
      <alignment horizontal="center" vertical="center" wrapText="1"/>
    </xf>
    <xf numFmtId="0" fontId="115" fillId="9" borderId="33" xfId="3091" applyFont="1" applyFill="1" applyBorder="1" applyAlignment="1">
      <alignment wrapText="1"/>
    </xf>
    <xf numFmtId="0" fontId="102" fillId="9" borderId="27" xfId="3095" applyFont="1" applyFill="1" applyBorder="1" applyAlignment="1" applyProtection="1">
      <alignment horizontal="center" vertical="center" wrapText="1"/>
    </xf>
    <xf numFmtId="0" fontId="115" fillId="9" borderId="37" xfId="3091" applyFont="1" applyFill="1" applyBorder="1" applyAlignment="1">
      <alignment wrapText="1"/>
    </xf>
    <xf numFmtId="176" fontId="108" fillId="9" borderId="33" xfId="3092" applyNumberFormat="1" applyFont="1" applyFill="1" applyBorder="1" applyAlignment="1" applyProtection="1">
      <alignment horizontal="center" vertical="center" wrapText="1"/>
    </xf>
    <xf numFmtId="176" fontId="108" fillId="7" borderId="33" xfId="3092" applyNumberFormat="1" applyFont="1" applyFill="1" applyBorder="1" applyAlignment="1" applyProtection="1">
      <alignment horizontal="center" vertical="center" wrapText="1"/>
    </xf>
    <xf numFmtId="0" fontId="113" fillId="7" borderId="47" xfId="3093" applyFont="1" applyFill="1" applyBorder="1" applyAlignment="1">
      <alignment vertical="center" wrapText="1"/>
    </xf>
    <xf numFmtId="176" fontId="103" fillId="47" borderId="48" xfId="3092" applyNumberFormat="1" applyFont="1" applyFill="1" applyBorder="1" applyAlignment="1" applyProtection="1">
      <alignment horizontal="center" vertical="center" wrapText="1"/>
    </xf>
    <xf numFmtId="176" fontId="103" fillId="47" borderId="27" xfId="3092" applyNumberFormat="1" applyFont="1" applyFill="1" applyBorder="1" applyAlignment="1" applyProtection="1">
      <alignment horizontal="center" vertical="center" wrapText="1"/>
    </xf>
    <xf numFmtId="176" fontId="103" fillId="47" borderId="51" xfId="3092" applyNumberFormat="1" applyFont="1" applyFill="1" applyBorder="1" applyAlignment="1" applyProtection="1">
      <alignment horizontal="center" vertical="center" wrapText="1"/>
    </xf>
    <xf numFmtId="0" fontId="111" fillId="9" borderId="27" xfId="3093" applyFont="1" applyFill="1" applyBorder="1" applyAlignment="1">
      <alignment vertical="center" wrapText="1"/>
    </xf>
    <xf numFmtId="176" fontId="108" fillId="0" borderId="27" xfId="3092" applyNumberFormat="1" applyFont="1" applyFill="1" applyBorder="1" applyAlignment="1" applyProtection="1">
      <alignment horizontal="center" vertical="center" wrapText="1"/>
    </xf>
    <xf numFmtId="0" fontId="117" fillId="47" borderId="48" xfId="3093" applyFont="1" applyFill="1" applyBorder="1" applyAlignment="1">
      <alignment horizontal="center" vertical="top" wrapText="1"/>
    </xf>
    <xf numFmtId="176" fontId="117" fillId="47" borderId="48" xfId="3092" applyNumberFormat="1" applyFont="1" applyFill="1" applyBorder="1" applyAlignment="1" applyProtection="1">
      <alignment horizontal="center" vertical="center" wrapText="1"/>
    </xf>
    <xf numFmtId="0" fontId="117" fillId="47" borderId="27" xfId="3093" applyFont="1" applyFill="1" applyBorder="1" applyAlignment="1">
      <alignment horizontal="center" vertical="top" wrapText="1"/>
    </xf>
    <xf numFmtId="176" fontId="117" fillId="47" borderId="27" xfId="3092" applyNumberFormat="1" applyFont="1" applyFill="1" applyBorder="1" applyAlignment="1" applyProtection="1">
      <alignment horizontal="center" vertical="center" wrapText="1"/>
    </xf>
    <xf numFmtId="0" fontId="117" fillId="47" borderId="51" xfId="3093" applyFont="1" applyFill="1" applyBorder="1" applyAlignment="1">
      <alignment horizontal="center" vertical="top" wrapText="1"/>
    </xf>
    <xf numFmtId="176" fontId="117" fillId="47" borderId="51" xfId="3092" applyNumberFormat="1" applyFont="1" applyFill="1" applyBorder="1" applyAlignment="1" applyProtection="1">
      <alignment horizontal="center" vertical="center" wrapText="1"/>
    </xf>
    <xf numFmtId="0" fontId="113" fillId="46" borderId="45" xfId="3093" applyFont="1" applyFill="1" applyBorder="1" applyAlignment="1">
      <alignment vertical="center" wrapText="1"/>
    </xf>
    <xf numFmtId="0" fontId="117" fillId="46" borderId="39" xfId="3093" applyFont="1" applyFill="1" applyBorder="1" applyAlignment="1">
      <alignment horizontal="center" vertical="top" wrapText="1"/>
    </xf>
    <xf numFmtId="176" fontId="117" fillId="46" borderId="39" xfId="3092" applyNumberFormat="1" applyFont="1" applyFill="1" applyBorder="1" applyAlignment="1" applyProtection="1">
      <alignment horizontal="center" vertical="center" wrapText="1"/>
    </xf>
    <xf numFmtId="0" fontId="113" fillId="46" borderId="27" xfId="3093" applyFont="1" applyFill="1" applyBorder="1" applyAlignment="1">
      <alignment vertical="center" wrapText="1"/>
    </xf>
    <xf numFmtId="0" fontId="118" fillId="46" borderId="27" xfId="3096" applyFont="1" applyFill="1" applyBorder="1"/>
    <xf numFmtId="176" fontId="118" fillId="46" borderId="27" xfId="3096" applyNumberFormat="1" applyFont="1" applyFill="1" applyBorder="1"/>
    <xf numFmtId="0" fontId="118" fillId="46" borderId="27" xfId="3096" applyFont="1" applyFill="1" applyBorder="1" applyAlignment="1">
      <alignment wrapText="1"/>
    </xf>
    <xf numFmtId="0" fontId="103" fillId="46" borderId="52" xfId="3093" applyFont="1" applyFill="1" applyBorder="1" applyAlignment="1">
      <alignment vertical="center" wrapText="1"/>
    </xf>
    <xf numFmtId="0" fontId="103" fillId="46" borderId="53" xfId="3093" applyFont="1" applyFill="1" applyBorder="1" applyAlignment="1">
      <alignment horizontal="center" vertical="top" wrapText="1"/>
    </xf>
    <xf numFmtId="176" fontId="103" fillId="46" borderId="53" xfId="3092" applyNumberFormat="1" applyFont="1" applyFill="1" applyBorder="1" applyAlignment="1" applyProtection="1">
      <alignment horizontal="center" vertical="center" wrapText="1"/>
    </xf>
    <xf numFmtId="0" fontId="118" fillId="0" borderId="2" xfId="3096" applyFont="1"/>
    <xf numFmtId="0" fontId="46" fillId="0" borderId="27" xfId="3097" applyFont="1" applyBorder="1" applyAlignment="1">
      <alignment vertical="center" wrapText="1"/>
    </xf>
    <xf numFmtId="0" fontId="46" fillId="32" borderId="27" xfId="3091" applyFont="1" applyFill="1" applyBorder="1" applyAlignment="1" applyProtection="1">
      <alignment horizontal="left" vertical="center" wrapText="1"/>
      <protection locked="0"/>
    </xf>
    <xf numFmtId="0" fontId="11" fillId="32" borderId="27" xfId="3091" applyFill="1" applyBorder="1"/>
    <xf numFmtId="174" fontId="11" fillId="0" borderId="27" xfId="3091" applyNumberFormat="1" applyBorder="1"/>
    <xf numFmtId="174" fontId="11" fillId="49" borderId="27" xfId="3091" applyNumberFormat="1" applyFill="1" applyBorder="1"/>
    <xf numFmtId="0" fontId="101" fillId="8" borderId="27" xfId="3097" applyFont="1" applyFill="1" applyBorder="1" applyAlignment="1">
      <alignment vertical="center" wrapText="1"/>
    </xf>
    <xf numFmtId="0" fontId="101" fillId="8" borderId="27" xfId="3091" applyFont="1" applyFill="1" applyBorder="1" applyAlignment="1" applyProtection="1">
      <alignment horizontal="left" vertical="center" wrapText="1"/>
      <protection locked="0"/>
    </xf>
    <xf numFmtId="0" fontId="100" fillId="8" borderId="27" xfId="3091" applyFont="1" applyFill="1" applyBorder="1"/>
    <xf numFmtId="174" fontId="100" fillId="8" borderId="27" xfId="3091" applyNumberFormat="1" applyFont="1" applyFill="1" applyBorder="1"/>
    <xf numFmtId="49" fontId="35" fillId="52" borderId="27" xfId="180" applyNumberFormat="1" applyFont="1" applyFill="1" applyBorder="1" applyAlignment="1">
      <alignment vertical="top" wrapText="1"/>
    </xf>
    <xf numFmtId="0" fontId="35" fillId="52" borderId="27" xfId="180" applyFont="1" applyFill="1" applyBorder="1" applyAlignment="1">
      <alignment vertical="center"/>
    </xf>
    <xf numFmtId="0" fontId="11" fillId="0" borderId="27" xfId="180" applyFont="1" applyBorder="1" applyAlignment="1">
      <alignment vertical="top" wrapText="1"/>
    </xf>
    <xf numFmtId="0" fontId="35" fillId="8" borderId="27" xfId="180" applyFont="1" applyFill="1" applyBorder="1" applyAlignment="1">
      <alignment vertical="top" wrapText="1"/>
    </xf>
    <xf numFmtId="0" fontId="35" fillId="8" borderId="27" xfId="180" applyFont="1" applyFill="1" applyBorder="1"/>
    <xf numFmtId="0" fontId="11" fillId="0" borderId="2" xfId="180" applyFont="1" applyAlignment="1">
      <alignment vertical="top" wrapText="1"/>
    </xf>
    <xf numFmtId="0" fontId="35" fillId="0" borderId="33" xfId="180" applyFont="1" applyBorder="1" applyAlignment="1">
      <alignment vertical="top" wrapText="1"/>
    </xf>
    <xf numFmtId="0" fontId="11" fillId="0" borderId="54" xfId="180" applyFont="1" applyBorder="1" applyAlignment="1">
      <alignment vertical="top" wrapText="1"/>
    </xf>
    <xf numFmtId="3" fontId="36" fillId="0" borderId="39" xfId="180" applyNumberFormat="1" applyBorder="1"/>
    <xf numFmtId="0" fontId="36" fillId="0" borderId="42" xfId="180" applyBorder="1"/>
    <xf numFmtId="3" fontId="36" fillId="0" borderId="33" xfId="180" applyNumberFormat="1" applyBorder="1"/>
    <xf numFmtId="0" fontId="11" fillId="52" borderId="55" xfId="180" applyFont="1" applyFill="1" applyBorder="1" applyAlignment="1">
      <alignment vertical="top" wrapText="1"/>
    </xf>
    <xf numFmtId="3" fontId="36" fillId="52" borderId="33" xfId="180" applyNumberFormat="1" applyFill="1" applyBorder="1"/>
    <xf numFmtId="3" fontId="36" fillId="0" borderId="2" xfId="180" applyNumberFormat="1"/>
    <xf numFmtId="0" fontId="36" fillId="0" borderId="31" xfId="180" applyBorder="1"/>
    <xf numFmtId="0" fontId="11" fillId="52" borderId="49" xfId="180" applyFont="1" applyFill="1" applyBorder="1" applyAlignment="1">
      <alignment vertical="top" wrapText="1"/>
    </xf>
    <xf numFmtId="177" fontId="121" fillId="52" borderId="27" xfId="3098" applyNumberFormat="1" applyFont="1" applyFill="1" applyBorder="1" applyAlignment="1">
      <alignment horizontal="center" vertical="center" wrapText="1"/>
    </xf>
    <xf numFmtId="0" fontId="35" fillId="52" borderId="56" xfId="180" applyFont="1" applyFill="1" applyBorder="1" applyAlignment="1">
      <alignment vertical="top" wrapText="1"/>
    </xf>
    <xf numFmtId="3" fontId="35" fillId="52" borderId="57" xfId="180" applyNumberFormat="1" applyFont="1" applyFill="1" applyBorder="1"/>
    <xf numFmtId="3" fontId="35" fillId="52" borderId="58" xfId="180" applyNumberFormat="1" applyFont="1" applyFill="1" applyBorder="1"/>
    <xf numFmtId="0" fontId="11" fillId="44" borderId="47" xfId="180" applyFont="1" applyFill="1" applyBorder="1" applyAlignment="1">
      <alignment vertical="top" wrapText="1"/>
    </xf>
    <xf numFmtId="3" fontId="36" fillId="44" borderId="48" xfId="180" applyNumberFormat="1" applyFill="1" applyBorder="1"/>
    <xf numFmtId="0" fontId="36" fillId="7" borderId="31" xfId="180" applyFill="1" applyBorder="1"/>
    <xf numFmtId="0" fontId="11" fillId="7" borderId="59" xfId="180" applyFont="1" applyFill="1" applyBorder="1" applyAlignment="1">
      <alignment vertical="top" wrapText="1"/>
    </xf>
    <xf numFmtId="177" fontId="121" fillId="7" borderId="12" xfId="3098" applyNumberFormat="1" applyFont="1" applyFill="1" applyBorder="1" applyAlignment="1">
      <alignment horizontal="center" vertical="center" wrapText="1"/>
    </xf>
    <xf numFmtId="0" fontId="36" fillId="7" borderId="2" xfId="180" applyFill="1"/>
    <xf numFmtId="0" fontId="35" fillId="44" borderId="60" xfId="180" applyFont="1" applyFill="1" applyBorder="1" applyAlignment="1">
      <alignment vertical="top" wrapText="1"/>
    </xf>
    <xf numFmtId="3" fontId="122" fillId="44" borderId="39" xfId="3098" applyNumberFormat="1" applyFont="1" applyFill="1" applyBorder="1" applyAlignment="1">
      <alignment horizontal="center" vertical="center" wrapText="1"/>
    </xf>
    <xf numFmtId="3" fontId="122" fillId="44" borderId="40" xfId="3098" applyNumberFormat="1" applyFont="1" applyFill="1" applyBorder="1" applyAlignment="1">
      <alignment horizontal="center" vertical="center" wrapText="1"/>
    </xf>
    <xf numFmtId="0" fontId="11" fillId="55" borderId="47" xfId="180" applyFont="1" applyFill="1" applyBorder="1" applyAlignment="1">
      <alignment vertical="top" wrapText="1"/>
    </xf>
    <xf numFmtId="3" fontId="36" fillId="55" borderId="48" xfId="180" applyNumberFormat="1" applyFill="1" applyBorder="1"/>
    <xf numFmtId="0" fontId="11" fillId="55" borderId="59" xfId="180" applyFont="1" applyFill="1" applyBorder="1" applyAlignment="1">
      <alignment vertical="top" wrapText="1"/>
    </xf>
    <xf numFmtId="178" fontId="36" fillId="55" borderId="48" xfId="180" applyNumberFormat="1" applyFill="1" applyBorder="1"/>
    <xf numFmtId="0" fontId="35" fillId="55" borderId="56" xfId="180" applyFont="1" applyFill="1" applyBorder="1" applyAlignment="1">
      <alignment vertical="top" wrapText="1"/>
    </xf>
    <xf numFmtId="3" fontId="122" fillId="55" borderId="57" xfId="3098" applyNumberFormat="1" applyFont="1" applyFill="1" applyBorder="1" applyAlignment="1">
      <alignment horizontal="center" vertical="center" wrapText="1"/>
    </xf>
    <xf numFmtId="3" fontId="122" fillId="55" borderId="58" xfId="3098" applyNumberFormat="1" applyFont="1" applyFill="1" applyBorder="1" applyAlignment="1">
      <alignment horizontal="center" vertical="center" wrapText="1"/>
    </xf>
    <xf numFmtId="0" fontId="11" fillId="46" borderId="55" xfId="180" applyFont="1" applyFill="1" applyBorder="1" applyAlignment="1">
      <alignment vertical="top" wrapText="1"/>
    </xf>
    <xf numFmtId="3" fontId="36" fillId="46" borderId="33" xfId="180" applyNumberFormat="1" applyFill="1" applyBorder="1"/>
    <xf numFmtId="0" fontId="11" fillId="46" borderId="59" xfId="180" applyFont="1" applyFill="1" applyBorder="1" applyAlignment="1">
      <alignment vertical="top" wrapText="1"/>
    </xf>
    <xf numFmtId="0" fontId="36" fillId="46" borderId="12" xfId="180" applyFill="1" applyBorder="1"/>
    <xf numFmtId="0" fontId="35" fillId="46" borderId="60" xfId="180" applyFont="1" applyFill="1" applyBorder="1" applyAlignment="1">
      <alignment vertical="top" wrapText="1"/>
    </xf>
    <xf numFmtId="3" fontId="35" fillId="46" borderId="39" xfId="180" applyNumberFormat="1" applyFont="1" applyFill="1" applyBorder="1"/>
    <xf numFmtId="3" fontId="35" fillId="46" borderId="40" xfId="180" applyNumberFormat="1" applyFont="1" applyFill="1" applyBorder="1"/>
    <xf numFmtId="0" fontId="11" fillId="54" borderId="47" xfId="180" applyFont="1" applyFill="1" applyBorder="1" applyAlignment="1">
      <alignment vertical="top" wrapText="1"/>
    </xf>
    <xf numFmtId="3" fontId="36" fillId="54" borderId="48" xfId="180" applyNumberFormat="1" applyFill="1" applyBorder="1"/>
    <xf numFmtId="0" fontId="36" fillId="54" borderId="59" xfId="180" applyFill="1" applyBorder="1"/>
    <xf numFmtId="0" fontId="36" fillId="54" borderId="12" xfId="180" applyFill="1" applyBorder="1"/>
    <xf numFmtId="0" fontId="35" fillId="54" borderId="56" xfId="180" applyFont="1" applyFill="1" applyBorder="1" applyAlignment="1">
      <alignment vertical="top" wrapText="1"/>
    </xf>
    <xf numFmtId="3" fontId="35" fillId="54" borderId="57" xfId="180" applyNumberFormat="1" applyFont="1" applyFill="1" applyBorder="1"/>
    <xf numFmtId="0" fontId="62" fillId="56" borderId="12" xfId="3099" applyFont="1" applyFill="1" applyBorder="1" applyAlignment="1">
      <alignment horizontal="left" vertical="center" wrapText="1"/>
    </xf>
    <xf numFmtId="0" fontId="62" fillId="0" borderId="12" xfId="3099" applyFont="1" applyBorder="1" applyAlignment="1">
      <alignment vertical="center" wrapText="1"/>
    </xf>
    <xf numFmtId="0" fontId="40" fillId="0" borderId="12" xfId="3099" applyBorder="1" applyAlignment="1">
      <alignment vertical="center" wrapText="1"/>
    </xf>
    <xf numFmtId="0" fontId="119" fillId="0" borderId="12" xfId="3100" applyBorder="1"/>
    <xf numFmtId="0" fontId="40" fillId="0" borderId="12" xfId="3099" applyBorder="1"/>
    <xf numFmtId="0" fontId="124" fillId="58" borderId="12" xfId="3099" applyFont="1" applyFill="1" applyBorder="1" applyAlignment="1">
      <alignment vertical="center" wrapText="1"/>
    </xf>
    <xf numFmtId="0" fontId="62" fillId="7" borderId="12" xfId="3099" applyFont="1" applyFill="1" applyBorder="1" applyAlignment="1">
      <alignment vertical="center" wrapText="1"/>
    </xf>
    <xf numFmtId="0" fontId="40" fillId="7" borderId="12" xfId="3099" applyFill="1" applyBorder="1" applyAlignment="1">
      <alignment vertical="center" wrapText="1"/>
    </xf>
    <xf numFmtId="0" fontId="40" fillId="7" borderId="12" xfId="3099" applyFill="1" applyBorder="1"/>
    <xf numFmtId="0" fontId="47" fillId="7" borderId="12" xfId="3099" applyFont="1" applyFill="1" applyBorder="1" applyAlignment="1">
      <alignment vertical="center" wrapText="1"/>
    </xf>
    <xf numFmtId="0" fontId="124" fillId="7" borderId="12" xfId="3099" applyFont="1" applyFill="1" applyBorder="1" applyAlignment="1">
      <alignment vertical="center" wrapText="1"/>
    </xf>
    <xf numFmtId="0" fontId="124" fillId="7" borderId="12" xfId="3099" applyFont="1" applyFill="1" applyBorder="1"/>
    <xf numFmtId="0" fontId="40" fillId="58" borderId="12" xfId="3099" applyFill="1" applyBorder="1" applyAlignment="1">
      <alignment vertical="center" wrapText="1"/>
    </xf>
    <xf numFmtId="0" fontId="124" fillId="58" borderId="12" xfId="3099" applyFont="1" applyFill="1" applyBorder="1"/>
    <xf numFmtId="174" fontId="36" fillId="46" borderId="12" xfId="180" applyNumberFormat="1" applyFill="1" applyBorder="1"/>
    <xf numFmtId="0" fontId="129" fillId="53" borderId="12" xfId="3086" applyFont="1" applyFill="1" applyBorder="1" applyAlignment="1">
      <alignment vertical="center"/>
    </xf>
    <xf numFmtId="14" fontId="129" fillId="42" borderId="12" xfId="3086" applyNumberFormat="1" applyFont="1" applyFill="1" applyBorder="1" applyAlignment="1">
      <alignment horizontal="left" vertical="center" wrapText="1"/>
    </xf>
    <xf numFmtId="14" fontId="129" fillId="7" borderId="12" xfId="3086" applyNumberFormat="1" applyFont="1" applyFill="1" applyBorder="1" applyAlignment="1">
      <alignment horizontal="left" vertical="center" wrapText="1"/>
    </xf>
    <xf numFmtId="14" fontId="129" fillId="8" borderId="31" xfId="3086" applyNumberFormat="1" applyFont="1" applyFill="1" applyBorder="1" applyAlignment="1">
      <alignment horizontal="left" vertical="center" wrapText="1"/>
    </xf>
    <xf numFmtId="14" fontId="129" fillId="52" borderId="31" xfId="3086" applyNumberFormat="1" applyFont="1" applyFill="1" applyBorder="1" applyAlignment="1">
      <alignment horizontal="left" vertical="center" wrapText="1"/>
    </xf>
    <xf numFmtId="14" fontId="129" fillId="59" borderId="31" xfId="3086" applyNumberFormat="1" applyFont="1" applyFill="1" applyBorder="1" applyAlignment="1">
      <alignment horizontal="left" vertical="center" wrapText="1"/>
    </xf>
    <xf numFmtId="0" fontId="129" fillId="53" borderId="12" xfId="3086" applyFont="1" applyFill="1" applyBorder="1"/>
    <xf numFmtId="0" fontId="130" fillId="42" borderId="12" xfId="3086" applyFont="1" applyFill="1" applyBorder="1"/>
    <xf numFmtId="175" fontId="130" fillId="7" borderId="31" xfId="3086" applyNumberFormat="1" applyFont="1" applyFill="1" applyBorder="1"/>
    <xf numFmtId="1" fontId="131" fillId="42" borderId="12" xfId="3086" applyNumberFormat="1" applyFont="1" applyFill="1" applyBorder="1"/>
    <xf numFmtId="1" fontId="131" fillId="8" borderId="31" xfId="3102" applyNumberFormat="1" applyFont="1" applyFill="1" applyBorder="1" applyAlignment="1">
      <alignment horizontal="left" vertical="center"/>
    </xf>
    <xf numFmtId="1" fontId="132" fillId="8" borderId="31" xfId="3102" applyNumberFormat="1" applyFont="1" applyFill="1" applyBorder="1" applyAlignment="1">
      <alignment horizontal="left" vertical="center"/>
    </xf>
    <xf numFmtId="1" fontId="131" fillId="44" borderId="31" xfId="3102" applyNumberFormat="1" applyFont="1" applyFill="1" applyBorder="1" applyAlignment="1">
      <alignment horizontal="left" vertical="center"/>
    </xf>
    <xf numFmtId="1" fontId="132" fillId="52" borderId="31" xfId="3102" applyNumberFormat="1" applyFont="1" applyFill="1" applyBorder="1" applyAlignment="1">
      <alignment horizontal="left" vertical="center"/>
    </xf>
    <xf numFmtId="1" fontId="132" fillId="59" borderId="31" xfId="3102" applyNumberFormat="1" applyFont="1" applyFill="1" applyBorder="1" applyAlignment="1">
      <alignment horizontal="left" vertical="center"/>
    </xf>
    <xf numFmtId="0" fontId="131" fillId="42" borderId="12" xfId="3086" applyFont="1" applyFill="1" applyBorder="1"/>
    <xf numFmtId="1" fontId="131" fillId="44" borderId="31" xfId="3102" applyNumberFormat="1" applyFont="1" applyFill="1" applyBorder="1" applyAlignment="1">
      <alignment horizontal="right" vertical="center"/>
    </xf>
    <xf numFmtId="1" fontId="131" fillId="8" borderId="31" xfId="3102" applyNumberFormat="1" applyFont="1" applyFill="1" applyBorder="1" applyAlignment="1">
      <alignment horizontal="left" vertical="top"/>
    </xf>
    <xf numFmtId="1" fontId="131" fillId="52" borderId="31" xfId="3102" applyNumberFormat="1" applyFont="1" applyFill="1" applyBorder="1" applyAlignment="1">
      <alignment horizontal="left" vertical="top"/>
    </xf>
    <xf numFmtId="1" fontId="131" fillId="42" borderId="31" xfId="3102" applyNumberFormat="1" applyFont="1" applyFill="1" applyBorder="1" applyAlignment="1">
      <alignment horizontal="right" vertical="center"/>
    </xf>
    <xf numFmtId="0" fontId="131" fillId="42" borderId="12" xfId="3086" applyFont="1" applyFill="1" applyBorder="1" applyAlignment="1">
      <alignment horizontal="right"/>
    </xf>
    <xf numFmtId="0" fontId="129" fillId="60" borderId="12" xfId="3086" applyFont="1" applyFill="1" applyBorder="1"/>
    <xf numFmtId="1" fontId="131" fillId="8" borderId="31" xfId="3086" applyNumberFormat="1" applyFont="1" applyFill="1" applyBorder="1" applyAlignment="1">
      <alignment horizontal="left" vertical="center"/>
    </xf>
    <xf numFmtId="1" fontId="131" fillId="52" borderId="31" xfId="3086" applyNumberFormat="1" applyFont="1" applyFill="1" applyBorder="1" applyAlignment="1">
      <alignment horizontal="left" vertical="center"/>
    </xf>
    <xf numFmtId="0" fontId="11" fillId="9" borderId="2" xfId="3086" applyFill="1"/>
    <xf numFmtId="1" fontId="131" fillId="52" borderId="31" xfId="3102" applyNumberFormat="1" applyFont="1" applyFill="1" applyBorder="1" applyAlignment="1">
      <alignment horizontal="left" vertical="center"/>
    </xf>
    <xf numFmtId="0" fontId="131" fillId="44" borderId="12" xfId="3086" applyFont="1" applyFill="1" applyBorder="1"/>
    <xf numFmtId="0" fontId="131" fillId="44" borderId="12" xfId="3086" applyFont="1" applyFill="1" applyBorder="1" applyAlignment="1">
      <alignment horizontal="right"/>
    </xf>
    <xf numFmtId="0" fontId="131" fillId="52" borderId="12" xfId="3086" applyFont="1" applyFill="1" applyBorder="1"/>
    <xf numFmtId="1" fontId="131" fillId="52" borderId="31" xfId="3102" applyNumberFormat="1" applyFont="1" applyFill="1" applyBorder="1" applyAlignment="1">
      <alignment horizontal="right" vertical="center"/>
    </xf>
    <xf numFmtId="0" fontId="130" fillId="0" borderId="12" xfId="3086" applyFont="1" applyBorder="1"/>
    <xf numFmtId="0" fontId="129" fillId="0" borderId="12" xfId="3086" applyFont="1" applyBorder="1"/>
    <xf numFmtId="1" fontId="129" fillId="0" borderId="12" xfId="3086" applyNumberFormat="1" applyFont="1" applyBorder="1"/>
    <xf numFmtId="1" fontId="129" fillId="8" borderId="12" xfId="3086" applyNumberFormat="1" applyFont="1" applyFill="1" applyBorder="1"/>
    <xf numFmtId="1" fontId="129" fillId="52" borderId="12" xfId="3086" applyNumberFormat="1" applyFont="1" applyFill="1" applyBorder="1"/>
    <xf numFmtId="1" fontId="129" fillId="59" borderId="12" xfId="3086" applyNumberFormat="1" applyFont="1" applyFill="1" applyBorder="1"/>
    <xf numFmtId="1" fontId="132" fillId="59" borderId="12" xfId="3102" applyNumberFormat="1" applyFont="1" applyFill="1" applyBorder="1" applyAlignment="1">
      <alignment horizontal="left" vertical="center"/>
    </xf>
    <xf numFmtId="1" fontId="11" fillId="0" borderId="2" xfId="3086" applyNumberFormat="1"/>
    <xf numFmtId="9" fontId="133" fillId="0" borderId="2" xfId="3086" applyNumberFormat="1" applyFont="1"/>
    <xf numFmtId="0" fontId="133" fillId="0" borderId="2" xfId="3086" applyFont="1"/>
    <xf numFmtId="1" fontId="134" fillId="0" borderId="2" xfId="3086" applyNumberFormat="1" applyFont="1"/>
    <xf numFmtId="0" fontId="82" fillId="0" borderId="2" xfId="3086" applyFont="1"/>
    <xf numFmtId="9" fontId="82" fillId="0" borderId="2" xfId="3086" applyNumberFormat="1" applyFont="1"/>
    <xf numFmtId="1" fontId="82" fillId="0" borderId="2" xfId="3086" applyNumberFormat="1" applyFont="1"/>
    <xf numFmtId="9" fontId="11" fillId="0" borderId="2" xfId="3086" applyNumberFormat="1"/>
    <xf numFmtId="0" fontId="11" fillId="43" borderId="2" xfId="3086" applyFill="1"/>
    <xf numFmtId="1" fontId="11" fillId="43" borderId="2" xfId="3086" applyNumberFormat="1" applyFill="1"/>
    <xf numFmtId="1" fontId="11" fillId="7" borderId="2" xfId="3086" applyNumberFormat="1" applyFill="1"/>
    <xf numFmtId="0" fontId="85" fillId="43" borderId="2" xfId="3086" applyFont="1" applyFill="1"/>
    <xf numFmtId="1" fontId="85" fillId="43" borderId="2" xfId="3086" applyNumberFormat="1" applyFont="1" applyFill="1"/>
    <xf numFmtId="1" fontId="85" fillId="0" borderId="2" xfId="3086" applyNumberFormat="1" applyFont="1"/>
    <xf numFmtId="3" fontId="11" fillId="0" borderId="2" xfId="3086" applyNumberFormat="1"/>
    <xf numFmtId="3" fontId="45" fillId="61" borderId="61" xfId="3090" applyNumberFormat="1" applyFont="1" applyFill="1" applyBorder="1" applyAlignment="1">
      <alignment vertical="center"/>
    </xf>
    <xf numFmtId="0" fontId="129" fillId="53" borderId="12" xfId="3086" applyFont="1" applyFill="1" applyBorder="1" applyAlignment="1">
      <alignment horizontal="center"/>
    </xf>
    <xf numFmtId="14" fontId="129" fillId="7" borderId="12" xfId="3086" applyNumberFormat="1" applyFont="1" applyFill="1" applyBorder="1" applyAlignment="1">
      <alignment horizontal="center" wrapText="1"/>
    </xf>
    <xf numFmtId="14" fontId="129" fillId="42" borderId="12" xfId="3086" applyNumberFormat="1" applyFont="1" applyFill="1" applyBorder="1" applyAlignment="1">
      <alignment horizontal="center" wrapText="1"/>
    </xf>
    <xf numFmtId="14" fontId="129" fillId="42" borderId="31" xfId="3086" applyNumberFormat="1" applyFont="1" applyFill="1" applyBorder="1" applyAlignment="1">
      <alignment horizontal="center" wrapText="1"/>
    </xf>
    <xf numFmtId="14" fontId="129" fillId="8" borderId="31" xfId="3086" applyNumberFormat="1" applyFont="1" applyFill="1" applyBorder="1" applyAlignment="1">
      <alignment horizontal="center" wrapText="1"/>
    </xf>
    <xf numFmtId="14" fontId="129" fillId="52" borderId="31" xfId="3086" applyNumberFormat="1" applyFont="1" applyFill="1" applyBorder="1" applyAlignment="1">
      <alignment horizontal="center" wrapText="1"/>
    </xf>
    <xf numFmtId="14" fontId="129" fillId="59" borderId="31" xfId="3086" applyNumberFormat="1" applyFont="1" applyFill="1" applyBorder="1" applyAlignment="1">
      <alignment horizontal="center" wrapText="1"/>
    </xf>
    <xf numFmtId="0" fontId="11" fillId="0" borderId="2" xfId="3086" applyAlignment="1">
      <alignment horizontal="center"/>
    </xf>
    <xf numFmtId="0" fontId="129" fillId="53" borderId="12" xfId="3086" applyFont="1" applyFill="1" applyBorder="1" applyAlignment="1">
      <alignment horizontal="left"/>
    </xf>
    <xf numFmtId="175" fontId="130" fillId="7" borderId="31" xfId="3086" applyNumberFormat="1" applyFont="1" applyFill="1" applyBorder="1" applyAlignment="1">
      <alignment horizontal="center"/>
    </xf>
    <xf numFmtId="1" fontId="131" fillId="42" borderId="12" xfId="3086" applyNumberFormat="1" applyFont="1" applyFill="1" applyBorder="1" applyAlignment="1">
      <alignment horizontal="center"/>
    </xf>
    <xf numFmtId="0" fontId="131" fillId="42" borderId="31" xfId="3086" applyFont="1" applyFill="1" applyBorder="1" applyAlignment="1">
      <alignment horizontal="center"/>
    </xf>
    <xf numFmtId="1" fontId="131" fillId="8" borderId="31" xfId="3102" applyNumberFormat="1" applyFont="1" applyFill="1" applyBorder="1" applyAlignment="1">
      <alignment horizontal="center"/>
    </xf>
    <xf numFmtId="1" fontId="132" fillId="8" borderId="31" xfId="3102" applyNumberFormat="1" applyFont="1" applyFill="1" applyBorder="1" applyAlignment="1">
      <alignment horizontal="center"/>
    </xf>
    <xf numFmtId="1" fontId="131" fillId="52" borderId="31" xfId="3102" applyNumberFormat="1" applyFont="1" applyFill="1" applyBorder="1" applyAlignment="1">
      <alignment horizontal="center"/>
    </xf>
    <xf numFmtId="1" fontId="132" fillId="52" borderId="31" xfId="3102" applyNumberFormat="1" applyFont="1" applyFill="1" applyBorder="1" applyAlignment="1">
      <alignment horizontal="center"/>
    </xf>
    <xf numFmtId="1" fontId="132" fillId="59" borderId="31" xfId="3102" applyNumberFormat="1" applyFont="1" applyFill="1" applyBorder="1" applyAlignment="1">
      <alignment horizontal="center"/>
    </xf>
    <xf numFmtId="0" fontId="131" fillId="42" borderId="12" xfId="3086" applyFont="1" applyFill="1" applyBorder="1" applyAlignment="1">
      <alignment horizontal="center"/>
    </xf>
    <xf numFmtId="0" fontId="131" fillId="52" borderId="31" xfId="3086" applyFont="1" applyFill="1" applyBorder="1" applyAlignment="1">
      <alignment horizontal="center"/>
    </xf>
    <xf numFmtId="0" fontId="131" fillId="52" borderId="12" xfId="3086" applyFont="1" applyFill="1" applyBorder="1" applyAlignment="1">
      <alignment horizontal="center"/>
    </xf>
    <xf numFmtId="0" fontId="129" fillId="53" borderId="12" xfId="3086" applyFont="1" applyFill="1" applyBorder="1" applyAlignment="1">
      <alignment horizontal="left" wrapText="1"/>
    </xf>
    <xf numFmtId="0" fontId="129" fillId="53" borderId="12" xfId="3086" applyNumberFormat="1" applyFont="1" applyFill="1" applyBorder="1" applyAlignment="1">
      <alignment horizontal="left" wrapText="1"/>
    </xf>
    <xf numFmtId="1" fontId="131" fillId="52" borderId="12" xfId="3086" applyNumberFormat="1" applyFont="1" applyFill="1" applyBorder="1" applyAlignment="1">
      <alignment horizontal="center"/>
    </xf>
    <xf numFmtId="0" fontId="130" fillId="0" borderId="12" xfId="3086" applyFont="1" applyBorder="1" applyAlignment="1">
      <alignment horizontal="center"/>
    </xf>
    <xf numFmtId="0" fontId="129" fillId="0" borderId="12" xfId="3086" applyFont="1" applyBorder="1" applyAlignment="1">
      <alignment horizontal="center"/>
    </xf>
    <xf numFmtId="1" fontId="129" fillId="8" borderId="12" xfId="3086" applyNumberFormat="1" applyFont="1" applyFill="1" applyBorder="1" applyAlignment="1">
      <alignment horizontal="center"/>
    </xf>
    <xf numFmtId="1" fontId="129" fillId="52" borderId="12" xfId="3086" applyNumberFormat="1" applyFont="1" applyFill="1" applyBorder="1" applyAlignment="1">
      <alignment horizontal="center"/>
    </xf>
    <xf numFmtId="1" fontId="129" fillId="59" borderId="12" xfId="3086" applyNumberFormat="1" applyFont="1" applyFill="1" applyBorder="1" applyAlignment="1">
      <alignment horizontal="center"/>
    </xf>
    <xf numFmtId="1" fontId="132" fillId="59" borderId="12" xfId="3102" applyNumberFormat="1" applyFont="1" applyFill="1" applyBorder="1" applyAlignment="1">
      <alignment horizontal="center"/>
    </xf>
    <xf numFmtId="0" fontId="35" fillId="0" borderId="2" xfId="3086" applyFont="1" applyAlignment="1">
      <alignment horizontal="center"/>
    </xf>
    <xf numFmtId="1" fontId="134" fillId="0" borderId="2" xfId="3086" applyNumberFormat="1" applyFont="1" applyAlignment="1">
      <alignment horizontal="center"/>
    </xf>
    <xf numFmtId="9" fontId="134" fillId="0" borderId="2" xfId="3086" applyNumberFormat="1" applyFont="1" applyAlignment="1">
      <alignment horizontal="center"/>
    </xf>
    <xf numFmtId="0" fontId="134" fillId="0" borderId="2" xfId="3086" applyFont="1" applyAlignment="1">
      <alignment horizontal="center"/>
    </xf>
    <xf numFmtId="1" fontId="11" fillId="0" borderId="2" xfId="3086" applyNumberFormat="1" applyAlignment="1">
      <alignment horizontal="center"/>
    </xf>
    <xf numFmtId="0" fontId="11" fillId="0" borderId="12" xfId="3086" applyBorder="1"/>
    <xf numFmtId="0" fontId="135" fillId="0" borderId="12" xfId="3086" applyFont="1" applyBorder="1" applyAlignment="1">
      <alignment horizontal="center" vertical="center"/>
    </xf>
    <xf numFmtId="0" fontId="136" fillId="0" borderId="2" xfId="3086" applyFont="1"/>
    <xf numFmtId="1" fontId="98" fillId="0" borderId="2" xfId="3086" applyNumberFormat="1" applyFont="1"/>
    <xf numFmtId="4" fontId="25" fillId="0" borderId="2" xfId="3079" applyNumberFormat="1" applyFont="1"/>
    <xf numFmtId="4" fontId="28" fillId="0" borderId="2" xfId="3079" applyNumberFormat="1" applyFont="1"/>
    <xf numFmtId="0" fontId="85" fillId="0" borderId="0" xfId="0" applyFont="1" applyAlignment="1"/>
    <xf numFmtId="0" fontId="0" fillId="43" borderId="0" xfId="0" applyFont="1" applyFill="1" applyAlignment="1"/>
    <xf numFmtId="175" fontId="0" fillId="0" borderId="0" xfId="0" applyNumberFormat="1" applyFont="1" applyAlignment="1"/>
    <xf numFmtId="175" fontId="0" fillId="7" borderId="0" xfId="0" applyNumberFormat="1" applyFont="1" applyFill="1" applyAlignment="1"/>
    <xf numFmtId="175" fontId="78" fillId="7" borderId="0" xfId="0" applyNumberFormat="1" applyFont="1" applyFill="1" applyAlignment="1"/>
    <xf numFmtId="175" fontId="81" fillId="0" borderId="0" xfId="0" applyNumberFormat="1" applyFont="1" applyAlignment="1"/>
    <xf numFmtId="0" fontId="10" fillId="0" borderId="2" xfId="3080" applyFont="1"/>
    <xf numFmtId="0" fontId="0" fillId="0" borderId="0" xfId="0"/>
    <xf numFmtId="0" fontId="10" fillId="0" borderId="0" xfId="0" applyFont="1"/>
    <xf numFmtId="4" fontId="0" fillId="0" borderId="0" xfId="0" applyNumberFormat="1"/>
    <xf numFmtId="0" fontId="35" fillId="0" borderId="0" xfId="0" applyFont="1"/>
    <xf numFmtId="0" fontId="81" fillId="0" borderId="0" xfId="0" applyFont="1"/>
    <xf numFmtId="0" fontId="93" fillId="9" borderId="27" xfId="31" applyFont="1" applyFill="1" applyBorder="1" applyAlignment="1">
      <alignment vertical="center" wrapText="1"/>
    </xf>
    <xf numFmtId="4" fontId="93" fillId="9" borderId="27" xfId="31" applyNumberFormat="1" applyFont="1" applyFill="1" applyBorder="1" applyAlignment="1">
      <alignment horizontal="right" vertical="center"/>
    </xf>
    <xf numFmtId="0" fontId="93" fillId="9" borderId="27" xfId="31" applyNumberFormat="1" applyFont="1" applyFill="1" applyBorder="1" applyAlignment="1">
      <alignment horizontal="center" vertical="center"/>
    </xf>
    <xf numFmtId="4" fontId="94" fillId="0" borderId="27" xfId="31" applyNumberFormat="1" applyFont="1" applyBorder="1" applyAlignment="1">
      <alignment horizontal="right" vertical="center"/>
    </xf>
    <xf numFmtId="0" fontId="93" fillId="9" borderId="27" xfId="0" applyFont="1" applyFill="1" applyBorder="1"/>
    <xf numFmtId="0" fontId="93" fillId="9" borderId="27" xfId="31" applyFont="1" applyFill="1" applyBorder="1" applyAlignment="1">
      <alignment horizontal="left" vertical="center" wrapText="1"/>
    </xf>
    <xf numFmtId="4" fontId="93" fillId="9" borderId="27" xfId="0" applyNumberFormat="1" applyFont="1" applyFill="1" applyBorder="1" applyAlignment="1">
      <alignment vertical="center" wrapText="1"/>
    </xf>
    <xf numFmtId="0" fontId="93" fillId="9" borderId="27" xfId="31" applyFont="1" applyFill="1" applyBorder="1" applyAlignment="1">
      <alignment vertical="center"/>
    </xf>
    <xf numFmtId="0" fontId="93" fillId="9" borderId="0" xfId="0" applyFont="1" applyFill="1"/>
    <xf numFmtId="0" fontId="93" fillId="9" borderId="27" xfId="32" applyFont="1" applyFill="1" applyBorder="1" applyAlignment="1">
      <alignment vertical="center" wrapText="1"/>
    </xf>
    <xf numFmtId="0" fontId="93" fillId="9" borderId="27" xfId="32" applyFont="1" applyFill="1" applyBorder="1" applyAlignment="1">
      <alignment vertical="top" wrapText="1"/>
    </xf>
    <xf numFmtId="0" fontId="93" fillId="9" borderId="27" xfId="32" applyFont="1" applyFill="1" applyBorder="1" applyAlignment="1">
      <alignment horizontal="left" vertical="top" wrapText="1"/>
    </xf>
    <xf numFmtId="0" fontId="93" fillId="9" borderId="27" xfId="0" applyFont="1" applyFill="1" applyBorder="1" applyAlignment="1">
      <alignment horizontal="center"/>
    </xf>
    <xf numFmtId="0" fontId="93" fillId="9" borderId="27" xfId="0" applyFont="1" applyFill="1" applyBorder="1" applyAlignment="1">
      <alignment horizontal="center" vertical="center"/>
    </xf>
    <xf numFmtId="0" fontId="96" fillId="0" borderId="27" xfId="0" applyFont="1" applyBorder="1"/>
    <xf numFmtId="1" fontId="96" fillId="0" borderId="27" xfId="0" applyNumberFormat="1" applyFont="1" applyBorder="1"/>
    <xf numFmtId="4" fontId="35" fillId="0" borderId="0" xfId="0" applyNumberFormat="1" applyFont="1"/>
    <xf numFmtId="0" fontId="95" fillId="9" borderId="0" xfId="0" applyFont="1" applyFill="1"/>
    <xf numFmtId="0" fontId="24" fillId="48" borderId="27" xfId="0" applyFont="1" applyFill="1" applyBorder="1" applyAlignment="1">
      <alignment horizontal="center"/>
    </xf>
    <xf numFmtId="0" fontId="93" fillId="9" borderId="27" xfId="0" applyFont="1" applyFill="1" applyBorder="1" applyAlignment="1">
      <alignment vertical="top" wrapText="1"/>
    </xf>
    <xf numFmtId="4" fontId="93" fillId="9" borderId="27" xfId="0" applyNumberFormat="1" applyFont="1" applyFill="1" applyBorder="1"/>
    <xf numFmtId="0" fontId="93" fillId="9" borderId="27" xfId="0" applyFont="1" applyFill="1" applyBorder="1" applyAlignment="1">
      <alignment horizontal="left" vertical="top" wrapText="1"/>
    </xf>
    <xf numFmtId="4" fontId="95" fillId="9" borderId="0" xfId="0" applyNumberFormat="1" applyFont="1" applyFill="1"/>
    <xf numFmtId="0" fontId="93" fillId="9" borderId="2" xfId="0" applyFont="1" applyFill="1" applyBorder="1"/>
    <xf numFmtId="0" fontId="93" fillId="9" borderId="27" xfId="0" applyFont="1" applyFill="1" applyBorder="1" applyAlignment="1">
      <alignment wrapText="1"/>
    </xf>
    <xf numFmtId="2" fontId="93" fillId="9" borderId="27" xfId="0" applyNumberFormat="1" applyFont="1" applyFill="1" applyBorder="1"/>
    <xf numFmtId="173" fontId="93" fillId="7" borderId="27" xfId="3082" applyFont="1" applyFill="1" applyBorder="1" applyAlignment="1">
      <alignment vertical="center" wrapText="1"/>
    </xf>
    <xf numFmtId="4" fontId="93" fillId="7" borderId="27" xfId="3082" applyNumberFormat="1" applyFont="1" applyFill="1" applyBorder="1" applyAlignment="1">
      <alignment horizontal="right" vertical="center" wrapText="1"/>
    </xf>
    <xf numFmtId="4" fontId="93" fillId="7" borderId="27" xfId="31" applyNumberFormat="1" applyFont="1" applyFill="1" applyBorder="1" applyAlignment="1">
      <alignment horizontal="right" vertical="center"/>
    </xf>
    <xf numFmtId="0" fontId="93" fillId="7" borderId="27" xfId="31" applyNumberFormat="1" applyFont="1" applyFill="1" applyBorder="1" applyAlignment="1">
      <alignment horizontal="center" vertical="center"/>
    </xf>
    <xf numFmtId="4" fontId="94" fillId="7" borderId="27" xfId="31" applyNumberFormat="1" applyFont="1" applyFill="1" applyBorder="1" applyAlignment="1">
      <alignment horizontal="right" vertical="center"/>
    </xf>
    <xf numFmtId="0" fontId="9" fillId="43" borderId="2" xfId="3079" applyFont="1" applyFill="1" applyAlignment="1"/>
    <xf numFmtId="0" fontId="9" fillId="0" borderId="39" xfId="180" applyFont="1" applyBorder="1" applyAlignment="1">
      <alignment vertical="top" wrapText="1"/>
    </xf>
    <xf numFmtId="0" fontId="19" fillId="43" borderId="0" xfId="0" applyFont="1" applyFill="1" applyAlignment="1"/>
    <xf numFmtId="0" fontId="0" fillId="42" borderId="0" xfId="0" applyFont="1" applyFill="1" applyAlignment="1"/>
    <xf numFmtId="2" fontId="41" fillId="42" borderId="2" xfId="1" applyNumberFormat="1" applyFont="1" applyFill="1" applyBorder="1" applyAlignment="1">
      <alignment vertical="center" wrapText="1"/>
    </xf>
    <xf numFmtId="175" fontId="0" fillId="42" borderId="0" xfId="0" applyNumberFormat="1" applyFont="1" applyFill="1" applyAlignment="1"/>
    <xf numFmtId="4" fontId="35" fillId="0" borderId="2" xfId="3080" applyNumberFormat="1" applyFont="1"/>
    <xf numFmtId="0" fontId="36" fillId="9" borderId="2" xfId="180" applyFill="1"/>
    <xf numFmtId="0" fontId="125" fillId="9" borderId="2" xfId="180" applyFont="1" applyFill="1"/>
    <xf numFmtId="0" fontId="125" fillId="9" borderId="46" xfId="180" applyFont="1" applyFill="1" applyBorder="1"/>
    <xf numFmtId="0" fontId="126" fillId="9" borderId="46" xfId="180" applyFont="1" applyFill="1" applyBorder="1"/>
    <xf numFmtId="0" fontId="36" fillId="9" borderId="46" xfId="180" applyFill="1" applyBorder="1"/>
    <xf numFmtId="0" fontId="36" fillId="9" borderId="46" xfId="180" applyFont="1" applyFill="1" applyBorder="1" applyAlignment="1">
      <alignment horizontal="right"/>
    </xf>
    <xf numFmtId="3" fontId="36" fillId="9" borderId="12" xfId="180" applyNumberFormat="1" applyFill="1" applyBorder="1"/>
    <xf numFmtId="4" fontId="36" fillId="9" borderId="12" xfId="180" applyNumberFormat="1" applyFill="1" applyBorder="1"/>
    <xf numFmtId="0" fontId="36" fillId="9" borderId="31" xfId="180" applyFill="1" applyBorder="1"/>
    <xf numFmtId="0" fontId="91" fillId="9" borderId="39" xfId="180" applyFont="1" applyFill="1" applyBorder="1" applyAlignment="1">
      <alignment horizontal="center" vertical="center" textRotation="90" wrapText="1"/>
    </xf>
    <xf numFmtId="0" fontId="91" fillId="9" borderId="44" xfId="180" applyFont="1" applyFill="1" applyBorder="1" applyAlignment="1">
      <alignment horizontal="center" vertical="center" textRotation="90" wrapText="1"/>
    </xf>
    <xf numFmtId="0" fontId="91" fillId="9" borderId="33" xfId="180" applyFont="1" applyFill="1" applyBorder="1" applyAlignment="1">
      <alignment horizontal="center" vertical="center" textRotation="90" wrapText="1"/>
    </xf>
    <xf numFmtId="0" fontId="91" fillId="9" borderId="33" xfId="180" applyFont="1" applyFill="1" applyBorder="1" applyAlignment="1">
      <alignment horizontal="center" vertical="center" wrapText="1"/>
    </xf>
    <xf numFmtId="0" fontId="88" fillId="9" borderId="12" xfId="180" applyFont="1" applyFill="1" applyBorder="1" applyAlignment="1">
      <alignment vertical="center" wrapText="1"/>
    </xf>
    <xf numFmtId="0" fontId="88" fillId="9" borderId="12" xfId="180" applyFont="1" applyFill="1" applyBorder="1" applyAlignment="1">
      <alignment horizontal="center" vertical="center" wrapText="1"/>
    </xf>
    <xf numFmtId="0" fontId="91" fillId="9" borderId="2" xfId="180" applyFont="1" applyFill="1" applyBorder="1" applyAlignment="1">
      <alignment horizontal="center" vertical="center" textRotation="90" wrapText="1"/>
    </xf>
    <xf numFmtId="0" fontId="91" fillId="9" borderId="12" xfId="180" applyFont="1" applyFill="1" applyBorder="1" applyAlignment="1">
      <alignment horizontal="center" vertical="center" textRotation="90" wrapText="1"/>
    </xf>
    <xf numFmtId="0" fontId="88" fillId="9" borderId="12" xfId="180" applyFont="1" applyFill="1" applyBorder="1" applyAlignment="1">
      <alignment wrapText="1"/>
    </xf>
    <xf numFmtId="0" fontId="91" fillId="9" borderId="12" xfId="180" applyFont="1" applyFill="1" applyBorder="1" applyAlignment="1">
      <alignment horizontal="center" wrapText="1"/>
    </xf>
    <xf numFmtId="0" fontId="127" fillId="9" borderId="12" xfId="180" applyFont="1" applyFill="1" applyBorder="1" applyAlignment="1">
      <alignment wrapText="1"/>
    </xf>
    <xf numFmtId="0" fontId="91" fillId="9" borderId="12" xfId="180" applyFont="1" applyFill="1" applyBorder="1" applyAlignment="1">
      <alignment vertical="center" wrapText="1"/>
    </xf>
    <xf numFmtId="0" fontId="97" fillId="9" borderId="12" xfId="180" applyFont="1" applyFill="1" applyBorder="1" applyAlignment="1">
      <alignment horizontal="right"/>
    </xf>
    <xf numFmtId="0" fontId="36" fillId="9" borderId="12" xfId="180" applyFill="1" applyBorder="1"/>
    <xf numFmtId="2" fontId="36" fillId="9" borderId="12" xfId="180" applyNumberFormat="1" applyFill="1" applyBorder="1"/>
    <xf numFmtId="2" fontId="35" fillId="9" borderId="12" xfId="180" applyNumberFormat="1" applyFont="1" applyFill="1" applyBorder="1"/>
    <xf numFmtId="0" fontId="36" fillId="9" borderId="12" xfId="180" applyFill="1" applyBorder="1" applyAlignment="1">
      <alignment wrapText="1"/>
    </xf>
    <xf numFmtId="3" fontId="97" fillId="9" borderId="12" xfId="180" applyNumberFormat="1" applyFont="1" applyFill="1" applyBorder="1" applyAlignment="1">
      <alignment horizontal="right"/>
    </xf>
    <xf numFmtId="0" fontId="91" fillId="9" borderId="27" xfId="180" applyFont="1" applyFill="1" applyBorder="1" applyAlignment="1">
      <alignment vertical="center" wrapText="1"/>
    </xf>
    <xf numFmtId="0" fontId="88" fillId="9" borderId="27" xfId="180" applyFont="1" applyFill="1" applyBorder="1" applyAlignment="1">
      <alignment vertical="center" wrapText="1"/>
    </xf>
    <xf numFmtId="0" fontId="88" fillId="9" borderId="27" xfId="180" applyFont="1" applyFill="1" applyBorder="1" applyAlignment="1">
      <alignment horizontal="center" vertical="center" wrapText="1"/>
    </xf>
    <xf numFmtId="3" fontId="88" fillId="9" borderId="27" xfId="180" applyNumberFormat="1" applyFont="1" applyFill="1" applyBorder="1" applyAlignment="1">
      <alignment horizontal="right" vertical="center" wrapText="1"/>
    </xf>
    <xf numFmtId="0" fontId="36" fillId="9" borderId="27" xfId="180" applyFill="1" applyBorder="1"/>
    <xf numFmtId="2" fontId="36" fillId="9" borderId="27" xfId="180" applyNumberFormat="1" applyFill="1" applyBorder="1"/>
    <xf numFmtId="2" fontId="35" fillId="9" borderId="27" xfId="180" applyNumberFormat="1" applyFont="1" applyFill="1" applyBorder="1"/>
    <xf numFmtId="0" fontId="36" fillId="9" borderId="27" xfId="180" applyFill="1" applyBorder="1" applyAlignment="1">
      <alignment wrapText="1"/>
    </xf>
    <xf numFmtId="3" fontId="66" fillId="9" borderId="12" xfId="180" applyNumberFormat="1" applyFont="1" applyFill="1" applyBorder="1" applyAlignment="1">
      <alignment horizontal="right"/>
    </xf>
    <xf numFmtId="0" fontId="35" fillId="9" borderId="12" xfId="180" applyFont="1" applyFill="1" applyBorder="1"/>
    <xf numFmtId="175" fontId="36" fillId="9" borderId="12" xfId="180" applyNumberFormat="1" applyFill="1" applyBorder="1"/>
    <xf numFmtId="175" fontId="35" fillId="9" borderId="12" xfId="180" applyNumberFormat="1" applyFont="1" applyFill="1" applyBorder="1"/>
    <xf numFmtId="3" fontId="88" fillId="9" borderId="12" xfId="180" applyNumberFormat="1" applyFont="1" applyFill="1" applyBorder="1" applyAlignment="1">
      <alignment vertical="center" wrapText="1"/>
    </xf>
    <xf numFmtId="0" fontId="88" fillId="9" borderId="27" xfId="0" applyFont="1" applyFill="1" applyBorder="1" applyAlignment="1">
      <alignment vertical="center" wrapText="1"/>
    </xf>
    <xf numFmtId="0" fontId="35" fillId="9" borderId="2" xfId="180" applyFont="1" applyFill="1" applyAlignment="1">
      <alignment horizontal="right"/>
    </xf>
    <xf numFmtId="3" fontId="91" fillId="9" borderId="12" xfId="180" applyNumberFormat="1" applyFont="1" applyFill="1" applyBorder="1" applyAlignment="1">
      <alignment horizontal="center" vertical="center" wrapText="1"/>
    </xf>
    <xf numFmtId="2" fontId="35" fillId="9" borderId="2" xfId="180" applyNumberFormat="1" applyFont="1" applyFill="1"/>
    <xf numFmtId="2" fontId="36" fillId="9" borderId="2" xfId="180" applyNumberFormat="1" applyFill="1"/>
    <xf numFmtId="0" fontId="36" fillId="9" borderId="2" xfId="180" applyFont="1" applyFill="1" applyAlignment="1">
      <alignment horizontal="right"/>
    </xf>
    <xf numFmtId="3" fontId="36" fillId="9" borderId="2" xfId="180" applyNumberFormat="1" applyFill="1"/>
    <xf numFmtId="0" fontId="8" fillId="0" borderId="12" xfId="3086" applyFont="1" applyBorder="1"/>
    <xf numFmtId="0" fontId="88" fillId="8" borderId="12" xfId="180" applyFont="1" applyFill="1" applyBorder="1" applyAlignment="1">
      <alignment horizontal="center" vertical="center" wrapText="1"/>
    </xf>
    <xf numFmtId="3" fontId="97" fillId="8" borderId="12" xfId="180" applyNumberFormat="1" applyFont="1" applyFill="1" applyBorder="1" applyAlignment="1">
      <alignment horizontal="right"/>
    </xf>
    <xf numFmtId="0" fontId="132" fillId="53" borderId="12" xfId="3086" applyNumberFormat="1" applyFont="1" applyFill="1" applyBorder="1" applyAlignment="1">
      <alignment horizontal="left" wrapText="1"/>
    </xf>
    <xf numFmtId="0" fontId="132" fillId="43" borderId="12" xfId="3086" applyNumberFormat="1" applyFont="1" applyFill="1" applyBorder="1" applyAlignment="1">
      <alignment horizontal="left" wrapText="1"/>
    </xf>
    <xf numFmtId="175" fontId="130" fillId="43" borderId="31" xfId="3086" applyNumberFormat="1" applyFont="1" applyFill="1" applyBorder="1" applyAlignment="1">
      <alignment horizontal="center"/>
    </xf>
    <xf numFmtId="1" fontId="131" fillId="43" borderId="12" xfId="3086" applyNumberFormat="1" applyFont="1" applyFill="1" applyBorder="1" applyAlignment="1">
      <alignment horizontal="center"/>
    </xf>
    <xf numFmtId="1" fontId="131" fillId="43" borderId="31" xfId="3102" applyNumberFormat="1" applyFont="1" applyFill="1" applyBorder="1" applyAlignment="1">
      <alignment horizontal="center"/>
    </xf>
    <xf numFmtId="1" fontId="132" fillId="43" borderId="31" xfId="3102" applyNumberFormat="1" applyFont="1" applyFill="1" applyBorder="1" applyAlignment="1">
      <alignment horizontal="center"/>
    </xf>
    <xf numFmtId="0" fontId="11" fillId="43" borderId="2" xfId="3086" applyFill="1" applyAlignment="1">
      <alignment horizontal="center"/>
    </xf>
    <xf numFmtId="0" fontId="91" fillId="9" borderId="39" xfId="180" applyFont="1" applyFill="1" applyBorder="1" applyAlignment="1">
      <alignment horizontal="center" vertical="center" textRotation="90" wrapText="1"/>
    </xf>
    <xf numFmtId="0" fontId="91" fillId="9" borderId="44" xfId="180" applyFont="1" applyFill="1" applyBorder="1" applyAlignment="1">
      <alignment horizontal="center" vertical="center" textRotation="90" wrapText="1"/>
    </xf>
    <xf numFmtId="0" fontId="91" fillId="9" borderId="33" xfId="180" applyFont="1" applyFill="1" applyBorder="1" applyAlignment="1">
      <alignment horizontal="center" vertical="center" textRotation="90" wrapText="1"/>
    </xf>
    <xf numFmtId="0" fontId="91" fillId="9" borderId="33" xfId="180" applyFont="1" applyFill="1" applyBorder="1" applyAlignment="1">
      <alignment horizontal="center" vertical="center" wrapText="1"/>
    </xf>
    <xf numFmtId="0" fontId="91" fillId="9" borderId="12" xfId="180" applyFont="1" applyFill="1" applyBorder="1" applyAlignment="1">
      <alignment horizontal="center" vertical="center" textRotation="90" wrapText="1"/>
    </xf>
    <xf numFmtId="0" fontId="88" fillId="8" borderId="12" xfId="180" applyFont="1" applyFill="1" applyBorder="1" applyAlignment="1">
      <alignment vertical="center" wrapText="1"/>
    </xf>
    <xf numFmtId="0" fontId="88" fillId="9" borderId="12" xfId="180" applyFont="1" applyFill="1" applyBorder="1" applyAlignment="1">
      <alignment horizontal="center" vertical="center" wrapText="1"/>
    </xf>
    <xf numFmtId="3" fontId="88" fillId="9" borderId="12" xfId="180" applyNumberFormat="1" applyFont="1" applyFill="1" applyBorder="1" applyAlignment="1">
      <alignment horizontal="right" vertical="center" wrapText="1"/>
    </xf>
    <xf numFmtId="3" fontId="88" fillId="9" borderId="12" xfId="180" applyNumberFormat="1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wrapText="1"/>
    </xf>
    <xf numFmtId="0" fontId="7" fillId="0" borderId="0" xfId="0" applyFont="1" applyAlignment="1"/>
    <xf numFmtId="49" fontId="67" fillId="7" borderId="27" xfId="215" applyNumberFormat="1" applyFont="1" applyFill="1" applyBorder="1" applyAlignment="1">
      <alignment horizontal="center" vertical="center" wrapText="1"/>
    </xf>
    <xf numFmtId="1" fontId="67" fillId="7" borderId="27" xfId="60" applyNumberFormat="1" applyFont="1" applyFill="1" applyBorder="1" applyAlignment="1">
      <alignment horizontal="center" vertical="center" wrapText="1"/>
    </xf>
    <xf numFmtId="49" fontId="67" fillId="7" borderId="27" xfId="60" applyNumberFormat="1" applyFont="1" applyFill="1" applyBorder="1" applyAlignment="1">
      <alignment horizontal="center" vertical="center" wrapText="1"/>
    </xf>
    <xf numFmtId="0" fontId="67" fillId="7" borderId="27" xfId="60" applyFont="1" applyFill="1" applyBorder="1" applyAlignment="1">
      <alignment vertical="center" wrapText="1"/>
    </xf>
    <xf numFmtId="2" fontId="67" fillId="7" borderId="27" xfId="60" applyNumberFormat="1" applyFont="1" applyFill="1" applyBorder="1" applyAlignment="1">
      <alignment vertical="center" wrapText="1"/>
    </xf>
    <xf numFmtId="4" fontId="67" fillId="7" borderId="27" xfId="60" applyNumberFormat="1" applyFont="1" applyFill="1" applyBorder="1" applyAlignment="1">
      <alignment horizontal="right" vertical="center" wrapText="1"/>
    </xf>
    <xf numFmtId="2" fontId="67" fillId="7" borderId="27" xfId="60" applyNumberFormat="1" applyFont="1" applyFill="1" applyBorder="1" applyAlignment="1">
      <alignment horizontal="center" vertical="center" wrapText="1"/>
    </xf>
    <xf numFmtId="0" fontId="68" fillId="9" borderId="27" xfId="215" applyFont="1" applyFill="1" applyBorder="1" applyAlignment="1">
      <alignment vertical="center" wrapText="1"/>
    </xf>
    <xf numFmtId="171" fontId="67" fillId="9" borderId="27" xfId="3078" applyNumberFormat="1" applyFont="1" applyFill="1" applyBorder="1" applyAlignment="1">
      <alignment horizontal="right" vertical="center"/>
    </xf>
    <xf numFmtId="171" fontId="67" fillId="9" borderId="27" xfId="3078" applyNumberFormat="1" applyFont="1" applyFill="1" applyBorder="1" applyAlignment="1">
      <alignment horizontal="center" vertical="center"/>
    </xf>
    <xf numFmtId="0" fontId="138" fillId="0" borderId="2" xfId="180" applyFont="1"/>
    <xf numFmtId="4" fontId="67" fillId="7" borderId="27" xfId="60" applyNumberFormat="1" applyFont="1" applyFill="1" applyBorder="1" applyAlignment="1">
      <alignment horizontal="center" vertical="center" wrapText="1"/>
    </xf>
    <xf numFmtId="2" fontId="67" fillId="7" borderId="2" xfId="60" applyNumberFormat="1" applyFont="1" applyFill="1" applyAlignment="1">
      <alignment vertical="center" wrapText="1"/>
    </xf>
    <xf numFmtId="0" fontId="6" fillId="0" borderId="0" xfId="0" applyFont="1" applyAlignment="1"/>
    <xf numFmtId="0" fontId="24" fillId="3" borderId="4" xfId="0" applyFont="1" applyFill="1" applyBorder="1" applyAlignment="1">
      <alignment vertical="top" wrapText="1"/>
    </xf>
    <xf numFmtId="0" fontId="24" fillId="3" borderId="8" xfId="0" applyFont="1" applyFill="1" applyBorder="1" applyAlignment="1">
      <alignment vertical="top" wrapText="1"/>
    </xf>
    <xf numFmtId="0" fontId="27" fillId="62" borderId="1" xfId="0" applyFont="1" applyFill="1" applyBorder="1" applyAlignment="1">
      <alignment horizontal="left" vertical="center" wrapText="1"/>
    </xf>
    <xf numFmtId="0" fontId="27" fillId="63" borderId="1" xfId="0" applyFont="1" applyFill="1" applyBorder="1" applyAlignment="1">
      <alignment wrapText="1"/>
    </xf>
    <xf numFmtId="0" fontId="27" fillId="2" borderId="4" xfId="0" applyFont="1" applyFill="1" applyBorder="1"/>
    <xf numFmtId="0" fontId="27" fillId="62" borderId="1" xfId="0" applyFont="1" applyFill="1" applyBorder="1" applyAlignment="1">
      <alignment wrapText="1"/>
    </xf>
    <xf numFmtId="0" fontId="26" fillId="9" borderId="6" xfId="0" applyFont="1" applyFill="1" applyBorder="1"/>
    <xf numFmtId="0" fontId="27" fillId="62" borderId="1" xfId="0" applyFont="1" applyFill="1" applyBorder="1"/>
    <xf numFmtId="0" fontId="138" fillId="0" borderId="0" xfId="0" applyFont="1" applyAlignment="1"/>
    <xf numFmtId="0" fontId="138" fillId="0" borderId="0" xfId="0" applyFont="1" applyAlignment="1">
      <alignment wrapText="1"/>
    </xf>
    <xf numFmtId="0" fontId="0" fillId="0" borderId="2" xfId="0" applyFont="1" applyBorder="1" applyAlignment="1"/>
    <xf numFmtId="2" fontId="41" fillId="9" borderId="27" xfId="1" applyNumberFormat="1" applyFont="1" applyFill="1" applyBorder="1" applyAlignment="1">
      <alignment vertical="center" wrapText="1"/>
    </xf>
    <xf numFmtId="2" fontId="67" fillId="0" borderId="0" xfId="1" applyNumberFormat="1" applyFont="1" applyBorder="1" applyAlignment="1">
      <alignment vertical="center" wrapText="1"/>
    </xf>
    <xf numFmtId="175" fontId="0" fillId="0" borderId="27" xfId="0" applyNumberFormat="1" applyFont="1" applyBorder="1" applyAlignment="1"/>
    <xf numFmtId="175" fontId="0" fillId="9" borderId="27" xfId="0" applyNumberFormat="1" applyFont="1" applyFill="1" applyBorder="1" applyAlignment="1"/>
    <xf numFmtId="2" fontId="41" fillId="0" borderId="27" xfId="1" applyNumberFormat="1" applyFont="1" applyBorder="1" applyAlignment="1">
      <alignment vertical="center" wrapText="1"/>
    </xf>
    <xf numFmtId="0" fontId="78" fillId="0" borderId="0" xfId="0" applyFont="1" applyAlignment="1">
      <alignment wrapText="1"/>
    </xf>
    <xf numFmtId="0" fontId="91" fillId="9" borderId="12" xfId="180" applyFont="1" applyFill="1" applyBorder="1" applyAlignment="1">
      <alignment horizontal="center" vertical="center" textRotation="90" wrapText="1"/>
    </xf>
    <xf numFmtId="0" fontId="78" fillId="7" borderId="0" xfId="0" applyFont="1" applyFill="1" applyAlignment="1">
      <alignment wrapText="1"/>
    </xf>
    <xf numFmtId="0" fontId="93" fillId="7" borderId="27" xfId="0" applyFont="1" applyFill="1" applyBorder="1" applyAlignment="1">
      <alignment wrapText="1"/>
    </xf>
    <xf numFmtId="0" fontId="93" fillId="7" borderId="27" xfId="0" applyFont="1" applyFill="1" applyBorder="1"/>
    <xf numFmtId="4" fontId="93" fillId="7" borderId="27" xfId="0" applyNumberFormat="1" applyFont="1" applyFill="1" applyBorder="1"/>
    <xf numFmtId="175" fontId="0" fillId="43" borderId="0" xfId="0" applyNumberFormat="1" applyFont="1" applyFill="1" applyAlignment="1"/>
    <xf numFmtId="0" fontId="88" fillId="9" borderId="12" xfId="180" applyFont="1" applyFill="1" applyBorder="1" applyAlignment="1">
      <alignment horizontal="center" vertical="center" wrapText="1"/>
    </xf>
    <xf numFmtId="3" fontId="88" fillId="9" borderId="12" xfId="180" applyNumberFormat="1" applyFont="1" applyFill="1" applyBorder="1" applyAlignment="1">
      <alignment horizontal="right" vertical="center" wrapText="1"/>
    </xf>
    <xf numFmtId="3" fontId="88" fillId="9" borderId="12" xfId="18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4" fillId="0" borderId="2" xfId="3080" applyFont="1" applyFill="1"/>
    <xf numFmtId="0" fontId="16" fillId="0" borderId="2" xfId="3080" applyFont="1" applyFill="1"/>
    <xf numFmtId="0" fontId="16" fillId="0" borderId="2" xfId="3080" applyFill="1"/>
    <xf numFmtId="0" fontId="4" fillId="0" borderId="0" xfId="0" applyFont="1" applyAlignment="1"/>
    <xf numFmtId="0" fontId="91" fillId="9" borderId="27" xfId="180" applyFont="1" applyFill="1" applyBorder="1" applyAlignment="1">
      <alignment horizontal="center" vertical="center" textRotation="90" wrapText="1"/>
    </xf>
    <xf numFmtId="0" fontId="91" fillId="7" borderId="12" xfId="180" applyFont="1" applyFill="1" applyBorder="1" applyAlignment="1">
      <alignment vertical="center" wrapText="1"/>
    </xf>
    <xf numFmtId="0" fontId="88" fillId="7" borderId="12" xfId="180" applyFont="1" applyFill="1" applyBorder="1" applyAlignment="1">
      <alignment vertical="center" wrapText="1"/>
    </xf>
    <xf numFmtId="0" fontId="88" fillId="7" borderId="12" xfId="180" applyFont="1" applyFill="1" applyBorder="1" applyAlignment="1">
      <alignment horizontal="center" vertical="center" wrapText="1"/>
    </xf>
    <xf numFmtId="3" fontId="88" fillId="7" borderId="12" xfId="180" applyNumberFormat="1" applyFont="1" applyFill="1" applyBorder="1" applyAlignment="1">
      <alignment horizontal="right" vertical="center" wrapText="1"/>
    </xf>
    <xf numFmtId="0" fontId="36" fillId="7" borderId="12" xfId="180" applyFill="1" applyBorder="1"/>
    <xf numFmtId="2" fontId="36" fillId="7" borderId="12" xfId="180" applyNumberFormat="1" applyFill="1" applyBorder="1"/>
    <xf numFmtId="0" fontId="35" fillId="7" borderId="12" xfId="180" applyFont="1" applyFill="1" applyBorder="1"/>
    <xf numFmtId="0" fontId="36" fillId="7" borderId="12" xfId="180" applyFill="1" applyBorder="1" applyAlignment="1">
      <alignment wrapText="1"/>
    </xf>
    <xf numFmtId="3" fontId="66" fillId="7" borderId="12" xfId="180" applyNumberFormat="1" applyFont="1" applyFill="1" applyBorder="1" applyAlignment="1">
      <alignment horizontal="right"/>
    </xf>
    <xf numFmtId="3" fontId="88" fillId="7" borderId="12" xfId="180" applyNumberFormat="1" applyFont="1" applyFill="1" applyBorder="1" applyAlignment="1">
      <alignment horizontal="center" vertical="center" wrapText="1"/>
    </xf>
    <xf numFmtId="0" fontId="88" fillId="7" borderId="44" xfId="180" applyFont="1" applyFill="1" applyBorder="1" applyAlignment="1">
      <alignment vertical="center" wrapText="1"/>
    </xf>
    <xf numFmtId="3" fontId="36" fillId="7" borderId="12" xfId="180" applyNumberFormat="1" applyFont="1" applyFill="1" applyBorder="1" applyAlignment="1">
      <alignment horizontal="right"/>
    </xf>
    <xf numFmtId="3" fontId="97" fillId="7" borderId="12" xfId="180" applyNumberFormat="1" applyFont="1" applyFill="1" applyBorder="1" applyAlignment="1">
      <alignment horizontal="right"/>
    </xf>
    <xf numFmtId="0" fontId="82" fillId="0" borderId="0" xfId="0" applyFont="1" applyFill="1" applyAlignment="1"/>
    <xf numFmtId="3" fontId="88" fillId="7" borderId="12" xfId="180" applyNumberFormat="1" applyFont="1" applyFill="1" applyBorder="1" applyAlignment="1">
      <alignment vertical="center" wrapText="1"/>
    </xf>
    <xf numFmtId="2" fontId="35" fillId="7" borderId="12" xfId="180" applyNumberFormat="1" applyFont="1" applyFill="1" applyBorder="1"/>
    <xf numFmtId="0" fontId="128" fillId="7" borderId="12" xfId="3101" applyFill="1" applyBorder="1" applyAlignment="1">
      <alignment wrapText="1"/>
    </xf>
    <xf numFmtId="0" fontId="4" fillId="0" borderId="0" xfId="0" applyFont="1" applyFill="1" applyAlignment="1"/>
    <xf numFmtId="175" fontId="0" fillId="0" borderId="0" xfId="0" applyNumberFormat="1" applyFont="1" applyFill="1" applyAlignment="1"/>
    <xf numFmtId="171" fontId="88" fillId="9" borderId="27" xfId="6042" applyNumberFormat="1" applyFont="1" applyFill="1" applyBorder="1" applyAlignment="1">
      <alignment horizontal="right" vertical="center"/>
    </xf>
    <xf numFmtId="171" fontId="88" fillId="0" borderId="27" xfId="6042" applyNumberFormat="1" applyFont="1" applyFill="1" applyBorder="1" applyAlignment="1">
      <alignment horizontal="right" vertical="center"/>
    </xf>
    <xf numFmtId="4" fontId="90" fillId="9" borderId="2" xfId="6041" applyNumberFormat="1" applyFont="1" applyFill="1" applyAlignment="1">
      <alignment vertical="center"/>
    </xf>
    <xf numFmtId="4" fontId="89" fillId="9" borderId="2" xfId="6041" applyNumberFormat="1" applyFont="1" applyFill="1" applyAlignment="1">
      <alignment vertical="center"/>
    </xf>
    <xf numFmtId="0" fontId="88" fillId="9" borderId="2" xfId="6041" applyFont="1" applyFill="1"/>
    <xf numFmtId="0" fontId="42" fillId="9" borderId="2" xfId="6041" applyFont="1" applyFill="1" applyAlignment="1">
      <alignment vertical="center" wrapText="1"/>
    </xf>
    <xf numFmtId="0" fontId="91" fillId="9" borderId="35" xfId="6041" applyFont="1" applyFill="1" applyBorder="1" applyAlignment="1">
      <alignment horizontal="center" vertical="center" wrapText="1"/>
    </xf>
    <xf numFmtId="0" fontId="91" fillId="9" borderId="36" xfId="6041" applyFont="1" applyFill="1" applyBorder="1" applyAlignment="1">
      <alignment horizontal="center" vertical="center" wrapText="1"/>
    </xf>
    <xf numFmtId="0" fontId="91" fillId="9" borderId="2" xfId="6037" applyFont="1" applyFill="1" applyAlignment="1">
      <alignment horizontal="center" vertical="top" wrapText="1"/>
    </xf>
    <xf numFmtId="4" fontId="91" fillId="9" borderId="2" xfId="6041" applyNumberFormat="1" applyFont="1" applyFill="1"/>
    <xf numFmtId="4" fontId="91" fillId="9" borderId="2" xfId="6041" applyNumberFormat="1" applyFont="1" applyFill="1" applyAlignment="1">
      <alignment horizontal="right"/>
    </xf>
    <xf numFmtId="0" fontId="41" fillId="9" borderId="2" xfId="6041" applyFont="1" applyFill="1"/>
    <xf numFmtId="0" fontId="42" fillId="9" borderId="35" xfId="6041" applyFont="1" applyFill="1" applyBorder="1" applyAlignment="1">
      <alignment horizontal="center" vertical="center" wrapText="1"/>
    </xf>
    <xf numFmtId="0" fontId="41" fillId="0" borderId="33" xfId="6041" applyFont="1" applyBorder="1" applyAlignment="1">
      <alignment vertical="top" wrapText="1"/>
    </xf>
    <xf numFmtId="4" fontId="88" fillId="0" borderId="33" xfId="6041" applyNumberFormat="1" applyFont="1" applyBorder="1" applyAlignment="1">
      <alignment vertical="top" wrapText="1"/>
    </xf>
    <xf numFmtId="0" fontId="88" fillId="9" borderId="33" xfId="6041" applyFont="1" applyFill="1" applyBorder="1" applyAlignment="1">
      <alignment horizontal="center" vertical="top" wrapText="1"/>
    </xf>
    <xf numFmtId="4" fontId="88" fillId="9" borderId="33" xfId="6041" applyNumberFormat="1" applyFont="1" applyFill="1" applyBorder="1" applyAlignment="1">
      <alignment vertical="top" wrapText="1"/>
    </xf>
    <xf numFmtId="4" fontId="88" fillId="9" borderId="38" xfId="6041" applyNumberFormat="1" applyFont="1" applyFill="1" applyBorder="1" applyAlignment="1">
      <alignment vertical="top" wrapText="1"/>
    </xf>
    <xf numFmtId="0" fontId="88" fillId="9" borderId="27" xfId="6041" applyFont="1" applyFill="1" applyBorder="1" applyAlignment="1">
      <alignment horizontal="center" vertical="top" wrapText="1"/>
    </xf>
    <xf numFmtId="4" fontId="88" fillId="0" borderId="27" xfId="6041" applyNumberFormat="1" applyFont="1" applyBorder="1" applyAlignment="1">
      <alignment vertical="top" wrapText="1"/>
    </xf>
    <xf numFmtId="4" fontId="41" fillId="0" borderId="27" xfId="6041" applyNumberFormat="1" applyFont="1" applyBorder="1" applyAlignment="1">
      <alignment vertical="top" wrapText="1"/>
    </xf>
    <xf numFmtId="0" fontId="41" fillId="9" borderId="33" xfId="6041" applyFont="1" applyFill="1" applyBorder="1" applyAlignment="1">
      <alignment vertical="top" wrapText="1"/>
    </xf>
    <xf numFmtId="0" fontId="44" fillId="9" borderId="27" xfId="6041" applyFont="1" applyFill="1" applyBorder="1" applyAlignment="1">
      <alignment vertical="top" wrapText="1"/>
    </xf>
    <xf numFmtId="4" fontId="88" fillId="9" borderId="27" xfId="6041" applyNumberFormat="1" applyFont="1" applyFill="1" applyBorder="1" applyAlignment="1">
      <alignment vertical="top" wrapText="1"/>
    </xf>
    <xf numFmtId="4" fontId="44" fillId="9" borderId="27" xfId="6041" applyNumberFormat="1" applyFont="1" applyFill="1" applyBorder="1" applyAlignment="1">
      <alignment horizontal="right" vertical="top" wrapText="1"/>
    </xf>
    <xf numFmtId="4" fontId="44" fillId="0" borderId="27" xfId="6041" applyNumberFormat="1" applyFont="1" applyBorder="1" applyAlignment="1">
      <alignment horizontal="right" vertical="top" wrapText="1"/>
    </xf>
    <xf numFmtId="4" fontId="92" fillId="9" borderId="41" xfId="6041" applyNumberFormat="1" applyFont="1" applyFill="1" applyBorder="1" applyAlignment="1">
      <alignment vertical="top" wrapText="1"/>
    </xf>
    <xf numFmtId="0" fontId="41" fillId="9" borderId="27" xfId="213" applyFont="1" applyFill="1" applyBorder="1" applyAlignment="1">
      <alignment vertical="top" wrapText="1"/>
    </xf>
    <xf numFmtId="0" fontId="88" fillId="9" borderId="27" xfId="6041" applyFont="1" applyFill="1" applyBorder="1" applyAlignment="1">
      <alignment horizontal="center" vertical="center" wrapText="1"/>
    </xf>
    <xf numFmtId="4" fontId="41" fillId="9" borderId="27" xfId="6041" applyNumberFormat="1" applyFont="1" applyFill="1" applyBorder="1" applyAlignment="1">
      <alignment horizontal="right" vertical="center" wrapText="1"/>
    </xf>
    <xf numFmtId="0" fontId="41" fillId="0" borderId="27" xfId="213" applyFont="1" applyBorder="1" applyAlignment="1">
      <alignment vertical="top" wrapText="1"/>
    </xf>
    <xf numFmtId="0" fontId="88" fillId="0" borderId="27" xfId="6041" applyFont="1" applyBorder="1" applyAlignment="1">
      <alignment horizontal="center" vertical="center" wrapText="1"/>
    </xf>
    <xf numFmtId="4" fontId="41" fillId="0" borderId="27" xfId="6041" applyNumberFormat="1" applyFont="1" applyBorder="1" applyAlignment="1">
      <alignment horizontal="right" vertical="center" wrapText="1"/>
    </xf>
    <xf numFmtId="4" fontId="88" fillId="0" borderId="41" xfId="6041" applyNumberFormat="1" applyFont="1" applyBorder="1" applyAlignment="1">
      <alignment vertical="center" wrapText="1"/>
    </xf>
    <xf numFmtId="0" fontId="41" fillId="9" borderId="35" xfId="6041" applyFont="1" applyFill="1" applyBorder="1" applyAlignment="1">
      <alignment vertical="top" wrapText="1"/>
    </xf>
    <xf numFmtId="0" fontId="91" fillId="9" borderId="35" xfId="6041" applyFont="1" applyFill="1" applyBorder="1" applyAlignment="1">
      <alignment vertical="top" wrapText="1"/>
    </xf>
    <xf numFmtId="4" fontId="91" fillId="9" borderId="35" xfId="6041" applyNumberFormat="1" applyFont="1" applyFill="1" applyBorder="1" applyAlignment="1">
      <alignment vertical="top" wrapText="1"/>
    </xf>
    <xf numFmtId="0" fontId="88" fillId="9" borderId="27" xfId="6041" applyFont="1" applyFill="1" applyBorder="1"/>
    <xf numFmtId="0" fontId="86" fillId="2" borderId="2" xfId="3080" applyFont="1" applyFill="1" applyBorder="1" applyAlignment="1">
      <alignment wrapText="1"/>
    </xf>
    <xf numFmtId="0" fontId="3" fillId="0" borderId="0" xfId="0" applyFont="1" applyAlignment="1"/>
    <xf numFmtId="0" fontId="3" fillId="8" borderId="0" xfId="0" applyFont="1" applyFill="1" applyAlignment="1"/>
    <xf numFmtId="0" fontId="3" fillId="0" borderId="2" xfId="3080" applyFont="1"/>
    <xf numFmtId="0" fontId="3" fillId="0" borderId="0" xfId="0" applyFont="1"/>
    <xf numFmtId="9" fontId="0" fillId="0" borderId="0" xfId="0" applyNumberFormat="1"/>
    <xf numFmtId="0" fontId="3" fillId="0" borderId="2" xfId="3086" applyFont="1"/>
    <xf numFmtId="0" fontId="78" fillId="0" borderId="2" xfId="3086" applyFont="1"/>
    <xf numFmtId="0" fontId="139" fillId="9" borderId="2" xfId="180" applyFont="1" applyFill="1"/>
    <xf numFmtId="0" fontId="26" fillId="9" borderId="8" xfId="3079" applyFont="1" applyFill="1" applyBorder="1"/>
    <xf numFmtId="4" fontId="71" fillId="9" borderId="1" xfId="3084" applyNumberFormat="1" applyFont="1" applyFill="1" applyBorder="1" applyAlignment="1">
      <alignment horizontal="center" vertical="center"/>
    </xf>
    <xf numFmtId="0" fontId="26" fillId="9" borderId="29" xfId="3079" applyFont="1" applyFill="1" applyBorder="1"/>
    <xf numFmtId="0" fontId="26" fillId="9" borderId="30" xfId="3079" applyFont="1" applyFill="1" applyBorder="1"/>
    <xf numFmtId="0" fontId="26" fillId="9" borderId="5" xfId="3079" applyFont="1" applyFill="1" applyBorder="1"/>
    <xf numFmtId="2" fontId="71" fillId="9" borderId="1" xfId="3079" applyNumberFormat="1" applyFont="1" applyFill="1" applyBorder="1" applyAlignment="1">
      <alignment horizontal="center" vertical="center"/>
    </xf>
    <xf numFmtId="4" fontId="71" fillId="65" borderId="8" xfId="3079" applyNumberFormat="1" applyFont="1" applyFill="1" applyBorder="1" applyAlignment="1">
      <alignment horizontal="center"/>
    </xf>
    <xf numFmtId="0" fontId="73" fillId="9" borderId="29" xfId="0" applyFont="1" applyFill="1" applyBorder="1" applyAlignment="1">
      <alignment horizontal="center" vertical="center" wrapText="1"/>
    </xf>
    <xf numFmtId="4" fontId="75" fillId="9" borderId="29" xfId="3079" applyNumberFormat="1" applyFont="1" applyFill="1" applyBorder="1" applyAlignment="1">
      <alignment horizontal="center" vertical="center" wrapText="1"/>
    </xf>
    <xf numFmtId="0" fontId="26" fillId="9" borderId="11" xfId="3079" applyFont="1" applyFill="1" applyBorder="1"/>
    <xf numFmtId="0" fontId="28" fillId="67" borderId="3" xfId="3079" applyFont="1" applyFill="1" applyBorder="1"/>
    <xf numFmtId="4" fontId="69" fillId="68" borderId="1" xfId="3079" applyNumberFormat="1" applyFont="1" applyFill="1" applyBorder="1" applyAlignment="1">
      <alignment horizontal="center"/>
    </xf>
    <xf numFmtId="0" fontId="85" fillId="0" borderId="2" xfId="3074" applyFont="1"/>
    <xf numFmtId="0" fontId="99" fillId="0" borderId="2" xfId="3074" applyFont="1"/>
    <xf numFmtId="0" fontId="66" fillId="0" borderId="2" xfId="3074"/>
    <xf numFmtId="0" fontId="35" fillId="0" borderId="2" xfId="3074" applyFont="1"/>
    <xf numFmtId="179" fontId="66" fillId="0" borderId="2" xfId="3074" applyNumberFormat="1"/>
    <xf numFmtId="0" fontId="140" fillId="0" borderId="2" xfId="3074" applyFont="1"/>
    <xf numFmtId="0" fontId="141" fillId="0" borderId="2" xfId="3074" applyFont="1"/>
    <xf numFmtId="0" fontId="142" fillId="0" borderId="2" xfId="3074" applyFont="1"/>
    <xf numFmtId="173" fontId="142" fillId="61" borderId="27" xfId="3074" applyNumberFormat="1" applyFont="1" applyFill="1" applyBorder="1" applyAlignment="1">
      <alignment horizontal="center" vertical="center" wrapText="1"/>
    </xf>
    <xf numFmtId="0" fontId="142" fillId="0" borderId="27" xfId="3074" applyFont="1" applyBorder="1"/>
    <xf numFmtId="179" fontId="142" fillId="0" borderId="27" xfId="6043" applyFont="1" applyBorder="1"/>
    <xf numFmtId="0" fontId="142" fillId="0" borderId="27" xfId="3074" applyFont="1" applyBorder="1" applyAlignment="1">
      <alignment horizontal="center" vertical="center"/>
    </xf>
    <xf numFmtId="0" fontId="142" fillId="0" borderId="27" xfId="3074" applyFont="1" applyBorder="1" applyAlignment="1">
      <alignment horizontal="center"/>
    </xf>
    <xf numFmtId="173" fontId="142" fillId="0" borderId="27" xfId="3074" applyNumberFormat="1" applyFont="1" applyBorder="1"/>
    <xf numFmtId="179" fontId="142" fillId="0" borderId="27" xfId="3074" applyNumberFormat="1" applyFont="1" applyBorder="1"/>
    <xf numFmtId="173" fontId="143" fillId="61" borderId="27" xfId="3074" applyNumberFormat="1" applyFont="1" applyFill="1" applyBorder="1"/>
    <xf numFmtId="179" fontId="143" fillId="61" borderId="27" xfId="6043" applyFont="1" applyFill="1" applyBorder="1"/>
    <xf numFmtId="0" fontId="143" fillId="61" borderId="27" xfId="3074" applyFont="1" applyFill="1" applyBorder="1" applyAlignment="1">
      <alignment horizontal="center" vertical="center"/>
    </xf>
    <xf numFmtId="0" fontId="143" fillId="61" borderId="27" xfId="3074" applyFont="1" applyFill="1" applyBorder="1"/>
    <xf numFmtId="179" fontId="143" fillId="61" borderId="27" xfId="3074" applyNumberFormat="1" applyFont="1" applyFill="1" applyBorder="1"/>
    <xf numFmtId="173" fontId="144" fillId="32" borderId="27" xfId="3074" applyNumberFormat="1" applyFont="1" applyFill="1" applyBorder="1"/>
    <xf numFmtId="0" fontId="144" fillId="32" borderId="27" xfId="3074" applyFont="1" applyFill="1" applyBorder="1"/>
    <xf numFmtId="179" fontId="144" fillId="32" borderId="27" xfId="3074" applyNumberFormat="1" applyFont="1" applyFill="1" applyBorder="1"/>
    <xf numFmtId="179" fontId="142" fillId="0" borderId="2" xfId="3074" applyNumberFormat="1" applyFont="1"/>
    <xf numFmtId="0" fontId="143" fillId="0" borderId="2" xfId="3074" applyFont="1" applyAlignment="1">
      <alignment horizontal="center" vertical="center"/>
    </xf>
    <xf numFmtId="0" fontId="145" fillId="0" borderId="2" xfId="3074" applyFont="1"/>
    <xf numFmtId="0" fontId="143" fillId="69" borderId="2" xfId="3074" applyFont="1" applyFill="1"/>
    <xf numFmtId="179" fontId="146" fillId="69" borderId="2" xfId="3074" applyNumberFormat="1" applyFont="1" applyFill="1" applyBorder="1"/>
    <xf numFmtId="180" fontId="142" fillId="0" borderId="2" xfId="3074" applyNumberFormat="1" applyFont="1"/>
    <xf numFmtId="165" fontId="146" fillId="7" borderId="2" xfId="6044" applyFont="1" applyFill="1"/>
    <xf numFmtId="179" fontId="146" fillId="69" borderId="46" xfId="3074" applyNumberFormat="1" applyFont="1" applyFill="1" applyBorder="1"/>
    <xf numFmtId="43" fontId="36" fillId="0" borderId="2" xfId="180" applyNumberFormat="1"/>
    <xf numFmtId="179" fontId="36" fillId="0" borderId="2" xfId="180" applyNumberFormat="1"/>
    <xf numFmtId="0" fontId="2" fillId="0" borderId="2" xfId="3080" applyFont="1" applyAlignment="1">
      <alignment wrapText="1"/>
    </xf>
    <xf numFmtId="0" fontId="2" fillId="0" borderId="2" xfId="3080" applyFont="1"/>
    <xf numFmtId="9" fontId="2" fillId="0" borderId="2" xfId="3080" applyNumberFormat="1" applyFont="1"/>
    <xf numFmtId="0" fontId="2" fillId="0" borderId="2" xfId="3080" applyFont="1" applyAlignment="1">
      <alignment horizontal="center" vertical="center" wrapText="1"/>
    </xf>
    <xf numFmtId="0" fontId="2" fillId="0" borderId="2" xfId="3080" applyFont="1" applyAlignment="1">
      <alignment vertical="center" wrapText="1"/>
    </xf>
    <xf numFmtId="4" fontId="0" fillId="0" borderId="27" xfId="0" applyNumberFormat="1" applyFont="1" applyBorder="1" applyAlignment="1"/>
    <xf numFmtId="3" fontId="0" fillId="0" borderId="27" xfId="0" applyNumberFormat="1" applyFont="1" applyBorder="1" applyAlignment="1"/>
    <xf numFmtId="0" fontId="5" fillId="0" borderId="27" xfId="0" applyFont="1" applyBorder="1" applyAlignment="1"/>
    <xf numFmtId="4" fontId="35" fillId="0" borderId="27" xfId="0" applyNumberFormat="1" applyFont="1" applyBorder="1" applyAlignment="1"/>
    <xf numFmtId="9" fontId="0" fillId="0" borderId="27" xfId="0" applyNumberFormat="1" applyFont="1" applyBorder="1" applyAlignment="1"/>
    <xf numFmtId="9" fontId="5" fillId="0" borderId="27" xfId="0" applyNumberFormat="1" applyFont="1" applyBorder="1" applyAlignment="1"/>
    <xf numFmtId="0" fontId="0" fillId="7" borderId="27" xfId="0" applyFont="1" applyFill="1" applyBorder="1" applyAlignment="1"/>
    <xf numFmtId="4" fontId="0" fillId="7" borderId="27" xfId="0" applyNumberFormat="1" applyFont="1" applyFill="1" applyBorder="1" applyAlignment="1"/>
    <xf numFmtId="0" fontId="2" fillId="0" borderId="27" xfId="0" applyFont="1" applyBorder="1" applyAlignment="1"/>
    <xf numFmtId="0" fontId="84" fillId="45" borderId="27" xfId="6045" applyFont="1" applyFill="1" applyBorder="1" applyAlignment="1">
      <alignment vertical="center" wrapText="1"/>
    </xf>
    <xf numFmtId="4" fontId="2" fillId="0" borderId="27" xfId="6045" applyNumberFormat="1" applyFont="1" applyBorder="1" applyAlignment="1"/>
    <xf numFmtId="4" fontId="2" fillId="7" borderId="27" xfId="6045" applyNumberFormat="1" applyFont="1" applyFill="1" applyBorder="1" applyAlignment="1"/>
    <xf numFmtId="0" fontId="2" fillId="7" borderId="2" xfId="6045" applyFont="1" applyFill="1" applyAlignment="1"/>
    <xf numFmtId="0" fontId="2" fillId="0" borderId="2" xfId="6045" applyFont="1" applyAlignment="1"/>
    <xf numFmtId="0" fontId="84" fillId="45" borderId="27" xfId="6045" applyFont="1" applyFill="1" applyBorder="1" applyAlignment="1">
      <alignment horizontal="center" vertical="center" wrapText="1"/>
    </xf>
    <xf numFmtId="0" fontId="2" fillId="0" borderId="27" xfId="6045" applyFont="1" applyBorder="1" applyAlignment="1">
      <alignment vertical="center" wrapText="1"/>
    </xf>
    <xf numFmtId="0" fontId="2" fillId="0" borderId="27" xfId="6045" applyFont="1" applyBorder="1" applyAlignment="1"/>
    <xf numFmtId="0" fontId="2" fillId="7" borderId="27" xfId="6045" applyFont="1" applyFill="1" applyBorder="1" applyAlignment="1"/>
    <xf numFmtId="0" fontId="84" fillId="45" borderId="27" xfId="6045" applyFont="1" applyFill="1" applyBorder="1" applyAlignment="1">
      <alignment horizontal="justify" vertical="center" wrapText="1"/>
    </xf>
    <xf numFmtId="0" fontId="83" fillId="45" borderId="27" xfId="6045" applyFont="1" applyFill="1" applyBorder="1" applyAlignment="1">
      <alignment vertical="center" wrapText="1"/>
    </xf>
    <xf numFmtId="0" fontId="83" fillId="45" borderId="27" xfId="6045" applyFont="1" applyFill="1" applyBorder="1" applyAlignment="1">
      <alignment horizontal="right" vertical="center" wrapText="1"/>
    </xf>
    <xf numFmtId="0" fontId="83" fillId="70" borderId="27" xfId="6045" applyFont="1" applyFill="1" applyBorder="1" applyAlignment="1">
      <alignment vertical="center" wrapText="1"/>
    </xf>
    <xf numFmtId="0" fontId="83" fillId="70" borderId="27" xfId="6045" applyFont="1" applyFill="1" applyBorder="1" applyAlignment="1">
      <alignment horizontal="right" vertical="center" wrapText="1"/>
    </xf>
    <xf numFmtId="0" fontId="2" fillId="70" borderId="27" xfId="6045" applyFont="1" applyFill="1" applyBorder="1" applyAlignment="1"/>
    <xf numFmtId="0" fontId="83" fillId="70" borderId="2" xfId="6045" applyFont="1" applyFill="1" applyBorder="1" applyAlignment="1">
      <alignment vertical="center" wrapText="1"/>
    </xf>
    <xf numFmtId="0" fontId="83" fillId="70" borderId="67" xfId="6045" applyFont="1" applyFill="1" applyBorder="1" applyAlignment="1">
      <alignment vertical="center" wrapText="1"/>
    </xf>
    <xf numFmtId="0" fontId="83" fillId="70" borderId="67" xfId="6045" applyFont="1" applyFill="1" applyBorder="1" applyAlignment="1">
      <alignment horizontal="right" vertical="center" wrapText="1"/>
    </xf>
    <xf numFmtId="0" fontId="2" fillId="70" borderId="67" xfId="6045" applyFont="1" applyFill="1" applyBorder="1" applyAlignment="1"/>
    <xf numFmtId="0" fontId="2" fillId="7" borderId="67" xfId="6045" applyFont="1" applyFill="1" applyBorder="1" applyAlignment="1"/>
    <xf numFmtId="0" fontId="83" fillId="70" borderId="68" xfId="6045" applyFont="1" applyFill="1" applyBorder="1" applyAlignment="1">
      <alignment vertical="center" wrapText="1"/>
    </xf>
    <xf numFmtId="0" fontId="83" fillId="70" borderId="68" xfId="6045" applyFont="1" applyFill="1" applyBorder="1" applyAlignment="1">
      <alignment horizontal="right" vertical="center" wrapText="1"/>
    </xf>
    <xf numFmtId="0" fontId="2" fillId="70" borderId="68" xfId="6045" applyFont="1" applyFill="1" applyBorder="1" applyAlignment="1"/>
    <xf numFmtId="0" fontId="2" fillId="7" borderId="68" xfId="6045" applyFont="1" applyFill="1" applyBorder="1" applyAlignment="1"/>
    <xf numFmtId="0" fontId="0" fillId="0" borderId="2" xfId="6045" applyFont="1" applyAlignment="1"/>
    <xf numFmtId="0" fontId="83" fillId="45" borderId="33" xfId="6045" applyFont="1" applyFill="1" applyBorder="1" applyAlignment="1">
      <alignment vertical="center" wrapText="1"/>
    </xf>
    <xf numFmtId="0" fontId="2" fillId="7" borderId="33" xfId="6045" applyFont="1" applyFill="1" applyBorder="1" applyAlignment="1"/>
    <xf numFmtId="0" fontId="83" fillId="45" borderId="68" xfId="6045" applyFont="1" applyFill="1" applyBorder="1" applyAlignment="1">
      <alignment vertical="center" wrapText="1"/>
    </xf>
    <xf numFmtId="0" fontId="83" fillId="45" borderId="68" xfId="6045" applyFont="1" applyFill="1" applyBorder="1" applyAlignment="1">
      <alignment horizontal="right" vertical="center" wrapText="1"/>
    </xf>
    <xf numFmtId="0" fontId="2" fillId="0" borderId="68" xfId="6045" applyFont="1" applyBorder="1" applyAlignment="1"/>
    <xf numFmtId="0" fontId="83" fillId="42" borderId="68" xfId="6045" applyFont="1" applyFill="1" applyBorder="1" applyAlignment="1">
      <alignment vertical="center" wrapText="1"/>
    </xf>
    <xf numFmtId="0" fontId="2" fillId="7" borderId="2" xfId="6045" applyFont="1" applyFill="1" applyAlignment="1">
      <alignment wrapText="1"/>
    </xf>
    <xf numFmtId="0" fontId="83" fillId="7" borderId="68" xfId="6045" applyFont="1" applyFill="1" applyBorder="1" applyAlignment="1">
      <alignment vertical="center" wrapText="1"/>
    </xf>
    <xf numFmtId="0" fontId="147" fillId="7" borderId="2" xfId="6045" applyFont="1" applyFill="1" applyAlignment="1"/>
    <xf numFmtId="0" fontId="83" fillId="9" borderId="68" xfId="6045" applyFont="1" applyFill="1" applyBorder="1" applyAlignment="1">
      <alignment vertical="center" wrapText="1"/>
    </xf>
    <xf numFmtId="0" fontId="83" fillId="9" borderId="68" xfId="6045" applyFont="1" applyFill="1" applyBorder="1" applyAlignment="1">
      <alignment horizontal="right" vertical="center" wrapText="1"/>
    </xf>
    <xf numFmtId="0" fontId="83" fillId="45" borderId="68" xfId="6045" applyFont="1" applyFill="1" applyBorder="1" applyAlignment="1">
      <alignment horizontal="justify" vertical="center" wrapText="1"/>
    </xf>
    <xf numFmtId="0" fontId="84" fillId="45" borderId="68" xfId="6045" applyFont="1" applyFill="1" applyBorder="1" applyAlignment="1">
      <alignment horizontal="justify" vertical="center" wrapText="1"/>
    </xf>
    <xf numFmtId="0" fontId="78" fillId="0" borderId="2" xfId="6045" applyFont="1" applyAlignment="1"/>
    <xf numFmtId="0" fontId="2" fillId="9" borderId="68" xfId="6045" applyFont="1" applyFill="1" applyBorder="1" applyAlignment="1"/>
    <xf numFmtId="4" fontId="0" fillId="0" borderId="2" xfId="6045" applyNumberFormat="1" applyFont="1" applyAlignment="1"/>
    <xf numFmtId="0" fontId="83" fillId="45" borderId="68" xfId="6045" applyFont="1" applyFill="1" applyBorder="1" applyAlignment="1">
      <alignment horizontal="center" vertical="center" wrapText="1"/>
    </xf>
    <xf numFmtId="4" fontId="81" fillId="0" borderId="68" xfId="6045" applyNumberFormat="1" applyFont="1" applyBorder="1" applyAlignment="1">
      <alignment vertical="center"/>
    </xf>
    <xf numFmtId="4" fontId="81" fillId="0" borderId="68" xfId="6045" applyNumberFormat="1" applyFont="1" applyBorder="1" applyAlignment="1"/>
    <xf numFmtId="0" fontId="84" fillId="45" borderId="68" xfId="6045" applyFont="1" applyFill="1" applyBorder="1" applyAlignment="1">
      <alignment horizontal="left" vertical="center" wrapText="1" indent="1"/>
    </xf>
    <xf numFmtId="1" fontId="2" fillId="0" borderId="68" xfId="6045" applyNumberFormat="1" applyFont="1" applyBorder="1" applyAlignment="1"/>
    <xf numFmtId="1" fontId="2" fillId="7" borderId="68" xfId="6045" applyNumberFormat="1" applyFont="1" applyFill="1" applyBorder="1" applyAlignment="1"/>
    <xf numFmtId="0" fontId="2" fillId="0" borderId="68" xfId="6045" applyFont="1" applyBorder="1" applyAlignment="1">
      <alignment vertical="top" wrapText="1"/>
    </xf>
    <xf numFmtId="0" fontId="0" fillId="0" borderId="68" xfId="6045" applyFont="1" applyBorder="1" applyAlignment="1"/>
    <xf numFmtId="0" fontId="83" fillId="45" borderId="68" xfId="6045" applyFont="1" applyFill="1" applyBorder="1" applyAlignment="1">
      <alignment vertical="top" wrapText="1"/>
    </xf>
    <xf numFmtId="0" fontId="148" fillId="7" borderId="2" xfId="6045" applyFont="1" applyFill="1" applyAlignment="1">
      <alignment wrapText="1"/>
    </xf>
    <xf numFmtId="4" fontId="0" fillId="0" borderId="68" xfId="6045" applyNumberFormat="1" applyFont="1" applyBorder="1" applyAlignment="1">
      <alignment wrapText="1"/>
    </xf>
    <xf numFmtId="4" fontId="0" fillId="0" borderId="68" xfId="6045" applyNumberFormat="1" applyFont="1" applyBorder="1" applyAlignment="1"/>
    <xf numFmtId="4" fontId="2" fillId="0" borderId="68" xfId="6045" applyNumberFormat="1" applyFont="1" applyBorder="1" applyAlignment="1"/>
    <xf numFmtId="0" fontId="81" fillId="0" borderId="68" xfId="6046" applyFont="1" applyBorder="1" applyAlignment="1">
      <alignment vertical="center" wrapText="1"/>
    </xf>
    <xf numFmtId="4" fontId="81" fillId="0" borderId="68" xfId="6046" applyNumberFormat="1" applyFont="1" applyBorder="1" applyAlignment="1">
      <alignment horizontal="center" vertical="center" wrapText="1"/>
    </xf>
    <xf numFmtId="0" fontId="81" fillId="0" borderId="68" xfId="6047" applyFont="1" applyBorder="1" applyAlignment="1">
      <alignment vertical="center" wrapText="1"/>
    </xf>
    <xf numFmtId="4" fontId="81" fillId="0" borderId="68" xfId="6047" applyNumberFormat="1" applyFont="1" applyBorder="1" applyAlignment="1">
      <alignment horizontal="center" vertical="center" wrapText="1"/>
    </xf>
    <xf numFmtId="0" fontId="71" fillId="2" borderId="68" xfId="6045" applyFont="1" applyFill="1" applyBorder="1" applyAlignment="1">
      <alignment vertical="center" wrapText="1"/>
    </xf>
    <xf numFmtId="4" fontId="2" fillId="0" borderId="68" xfId="6045" applyNumberFormat="1" applyFont="1" applyBorder="1" applyAlignment="1">
      <alignment vertical="top" wrapText="1"/>
    </xf>
    <xf numFmtId="0" fontId="2" fillId="0" borderId="68" xfId="6048" applyFont="1" applyBorder="1" applyAlignment="1">
      <alignment wrapText="1"/>
    </xf>
    <xf numFmtId="0" fontId="2" fillId="0" borderId="68" xfId="6048" applyBorder="1"/>
    <xf numFmtId="0" fontId="2" fillId="0" borderId="68" xfId="6048" applyBorder="1" applyAlignment="1">
      <alignment wrapText="1"/>
    </xf>
    <xf numFmtId="0" fontId="83" fillId="7" borderId="2" xfId="6045" applyFont="1" applyFill="1" applyBorder="1" applyAlignment="1">
      <alignment vertical="center" wrapText="1"/>
    </xf>
    <xf numFmtId="0" fontId="2" fillId="0" borderId="2" xfId="6045" applyFont="1" applyAlignment="1">
      <alignment wrapText="1"/>
    </xf>
    <xf numFmtId="0" fontId="0" fillId="9" borderId="2" xfId="6045" applyFont="1" applyFill="1" applyAlignment="1"/>
    <xf numFmtId="0" fontId="85" fillId="7" borderId="2" xfId="6045" applyFont="1" applyFill="1" applyAlignment="1"/>
    <xf numFmtId="9" fontId="2" fillId="0" borderId="2" xfId="6045" applyNumberFormat="1" applyFont="1" applyAlignment="1"/>
    <xf numFmtId="0" fontId="35" fillId="7" borderId="2" xfId="6045" applyFont="1" applyFill="1" applyAlignment="1"/>
    <xf numFmtId="0" fontId="2" fillId="0" borderId="0" xfId="0" applyFont="1" applyAlignment="1"/>
    <xf numFmtId="0" fontId="0" fillId="0" borderId="69" xfId="0" applyBorder="1"/>
    <xf numFmtId="0" fontId="24" fillId="2" borderId="3" xfId="0" applyFont="1" applyFill="1" applyBorder="1" applyAlignment="1">
      <alignment horizontal="center" vertical="top" wrapText="1"/>
    </xf>
    <xf numFmtId="0" fontId="24" fillId="2" borderId="6" xfId="0" applyFont="1" applyFill="1" applyBorder="1" applyAlignment="1">
      <alignment horizontal="center" vertical="top" wrapText="1"/>
    </xf>
    <xf numFmtId="0" fontId="24" fillId="2" borderId="7" xfId="0" applyFont="1" applyFill="1" applyBorder="1" applyAlignment="1">
      <alignment horizontal="center" vertical="top" wrapText="1"/>
    </xf>
    <xf numFmtId="0" fontId="29" fillId="3" borderId="4" xfId="0" applyFont="1" applyFill="1" applyBorder="1" applyAlignment="1">
      <alignment horizontal="left"/>
    </xf>
    <xf numFmtId="0" fontId="29" fillId="3" borderId="5" xfId="0" applyFont="1" applyFill="1" applyBorder="1" applyAlignment="1">
      <alignment horizontal="left"/>
    </xf>
    <xf numFmtId="0" fontId="91" fillId="9" borderId="12" xfId="180" applyFont="1" applyFill="1" applyBorder="1" applyAlignment="1">
      <alignment horizontal="center" vertical="center" textRotation="90" wrapText="1"/>
    </xf>
    <xf numFmtId="0" fontId="88" fillId="8" borderId="12" xfId="180" applyFont="1" applyFill="1" applyBorder="1" applyAlignment="1">
      <alignment vertical="center" wrapText="1"/>
    </xf>
    <xf numFmtId="0" fontId="88" fillId="9" borderId="12" xfId="180" applyFont="1" applyFill="1" applyBorder="1" applyAlignment="1">
      <alignment horizontal="center" vertical="center" wrapText="1"/>
    </xf>
    <xf numFmtId="3" fontId="88" fillId="9" borderId="12" xfId="180" applyNumberFormat="1" applyFont="1" applyFill="1" applyBorder="1" applyAlignment="1">
      <alignment horizontal="right" vertical="center" wrapText="1"/>
    </xf>
    <xf numFmtId="0" fontId="88" fillId="9" borderId="12" xfId="180" applyFont="1" applyFill="1" applyBorder="1" applyAlignment="1">
      <alignment horizontal="right" vertical="center" wrapText="1"/>
    </xf>
    <xf numFmtId="3" fontId="88" fillId="9" borderId="12" xfId="180" applyNumberFormat="1" applyFont="1" applyFill="1" applyBorder="1" applyAlignment="1">
      <alignment horizontal="center" vertical="center" wrapText="1"/>
    </xf>
    <xf numFmtId="0" fontId="91" fillId="9" borderId="39" xfId="180" applyFont="1" applyFill="1" applyBorder="1" applyAlignment="1">
      <alignment horizontal="center" vertical="center" textRotation="90" wrapText="1"/>
    </xf>
    <xf numFmtId="0" fontId="91" fillId="9" borderId="44" xfId="180" applyFont="1" applyFill="1" applyBorder="1" applyAlignment="1">
      <alignment horizontal="center" vertical="center" textRotation="90" wrapText="1"/>
    </xf>
    <xf numFmtId="0" fontId="91" fillId="9" borderId="33" xfId="180" applyFont="1" applyFill="1" applyBorder="1" applyAlignment="1">
      <alignment horizontal="center" vertical="center" textRotation="90" wrapText="1"/>
    </xf>
    <xf numFmtId="0" fontId="91" fillId="9" borderId="39" xfId="180" applyFont="1" applyFill="1" applyBorder="1" applyAlignment="1">
      <alignment horizontal="right" vertical="center" textRotation="90" wrapText="1"/>
    </xf>
    <xf numFmtId="0" fontId="91" fillId="9" borderId="44" xfId="180" applyFont="1" applyFill="1" applyBorder="1" applyAlignment="1">
      <alignment horizontal="right" vertical="center" textRotation="90" wrapText="1"/>
    </xf>
    <xf numFmtId="0" fontId="91" fillId="9" borderId="33" xfId="180" applyFont="1" applyFill="1" applyBorder="1" applyAlignment="1">
      <alignment horizontal="right" vertical="center" textRotation="90" wrapText="1"/>
    </xf>
    <xf numFmtId="0" fontId="95" fillId="9" borderId="66" xfId="0" applyFont="1" applyFill="1" applyBorder="1" applyAlignment="1">
      <alignment horizontal="left" wrapText="1"/>
    </xf>
    <xf numFmtId="0" fontId="95" fillId="9" borderId="43" xfId="0" applyFont="1" applyFill="1" applyBorder="1" applyAlignment="1">
      <alignment horizontal="left" wrapText="1"/>
    </xf>
    <xf numFmtId="0" fontId="91" fillId="9" borderId="39" xfId="180" applyFont="1" applyFill="1" applyBorder="1" applyAlignment="1">
      <alignment horizontal="center" vertical="center" wrapText="1"/>
    </xf>
    <xf numFmtId="0" fontId="91" fillId="9" borderId="44" xfId="180" applyFont="1" applyFill="1" applyBorder="1" applyAlignment="1">
      <alignment horizontal="center" vertical="center" wrapText="1"/>
    </xf>
    <xf numFmtId="0" fontId="91" fillId="9" borderId="33" xfId="180" applyFont="1" applyFill="1" applyBorder="1" applyAlignment="1">
      <alignment horizontal="center" vertical="center" wrapText="1"/>
    </xf>
    <xf numFmtId="0" fontId="69" fillId="2" borderId="4" xfId="3079" applyFont="1" applyFill="1" applyBorder="1" applyAlignment="1">
      <alignment horizontal="right"/>
    </xf>
    <xf numFmtId="0" fontId="26" fillId="9" borderId="5" xfId="3079" applyFont="1" applyFill="1" applyBorder="1"/>
    <xf numFmtId="0" fontId="26" fillId="9" borderId="8" xfId="3079" applyFont="1" applyFill="1" applyBorder="1"/>
    <xf numFmtId="0" fontId="69" fillId="2" borderId="2" xfId="3079" applyFont="1" applyFill="1" applyBorder="1" applyAlignment="1">
      <alignment horizontal="center" vertical="top" wrapText="1"/>
    </xf>
    <xf numFmtId="0" fontId="26" fillId="0" borderId="2" xfId="3079" applyFont="1" applyBorder="1"/>
    <xf numFmtId="0" fontId="69" fillId="5" borderId="4" xfId="3079" applyFont="1" applyFill="1" applyBorder="1" applyAlignment="1">
      <alignment horizontal="center" vertical="center" wrapText="1"/>
    </xf>
    <xf numFmtId="0" fontId="26" fillId="0" borderId="8" xfId="3079" applyFont="1" applyBorder="1"/>
    <xf numFmtId="0" fontId="26" fillId="0" borderId="5" xfId="3079" applyFont="1" applyBorder="1"/>
    <xf numFmtId="0" fontId="69" fillId="2" borderId="4" xfId="3079" applyFont="1" applyFill="1" applyBorder="1" applyAlignment="1">
      <alignment horizontal="left" vertical="center" wrapText="1"/>
    </xf>
    <xf numFmtId="0" fontId="71" fillId="2" borderId="4" xfId="3079" applyFont="1" applyFill="1" applyBorder="1" applyAlignment="1">
      <alignment horizontal="left" vertical="center" wrapText="1"/>
    </xf>
    <xf numFmtId="0" fontId="71" fillId="9" borderId="4" xfId="3084" applyFont="1" applyFill="1" applyBorder="1" applyAlignment="1">
      <alignment horizontal="left" vertical="center" wrapText="1"/>
    </xf>
    <xf numFmtId="0" fontId="26" fillId="9" borderId="5" xfId="3084" applyFont="1" applyFill="1" applyBorder="1"/>
    <xf numFmtId="0" fontId="26" fillId="9" borderId="8" xfId="3084" applyFont="1" applyFill="1" applyBorder="1"/>
    <xf numFmtId="0" fontId="71" fillId="2" borderId="28" xfId="3079" applyFont="1" applyFill="1" applyBorder="1" applyAlignment="1">
      <alignment vertical="center" wrapText="1"/>
    </xf>
    <xf numFmtId="0" fontId="26" fillId="9" borderId="28" xfId="3079" applyFont="1" applyFill="1" applyBorder="1"/>
    <xf numFmtId="0" fontId="26" fillId="9" borderId="29" xfId="3079" applyFont="1" applyFill="1" applyBorder="1"/>
    <xf numFmtId="4" fontId="69" fillId="64" borderId="4" xfId="3079" applyNumberFormat="1" applyFont="1" applyFill="1" applyBorder="1" applyAlignment="1">
      <alignment horizontal="center" vertical="center"/>
    </xf>
    <xf numFmtId="4" fontId="69" fillId="2" borderId="9" xfId="3079" applyNumberFormat="1" applyFont="1" applyFill="1" applyBorder="1" applyAlignment="1">
      <alignment horizontal="left" vertical="center"/>
    </xf>
    <xf numFmtId="0" fontId="71" fillId="2" borderId="10" xfId="3079" applyFont="1" applyFill="1" applyBorder="1" applyAlignment="1">
      <alignment horizontal="left" vertical="center" wrapText="1"/>
    </xf>
    <xf numFmtId="0" fontId="26" fillId="9" borderId="30" xfId="3079" applyFont="1" applyFill="1" applyBorder="1"/>
    <xf numFmtId="0" fontId="71" fillId="2" borderId="4" xfId="0" applyFont="1" applyFill="1" applyBorder="1" applyAlignment="1">
      <alignment horizontal="left" vertical="center" wrapText="1"/>
    </xf>
    <xf numFmtId="0" fontId="26" fillId="9" borderId="5" xfId="0" applyFont="1" applyFill="1" applyBorder="1"/>
    <xf numFmtId="0" fontId="26" fillId="9" borderId="8" xfId="0" applyFont="1" applyFill="1" applyBorder="1"/>
    <xf numFmtId="0" fontId="71" fillId="65" borderId="4" xfId="3079" applyFont="1" applyFill="1" applyBorder="1" applyAlignment="1">
      <alignment wrapText="1"/>
    </xf>
    <xf numFmtId="0" fontId="71" fillId="65" borderId="5" xfId="3079" applyFont="1" applyFill="1" applyBorder="1" applyAlignment="1">
      <alignment wrapText="1"/>
    </xf>
    <xf numFmtId="0" fontId="71" fillId="9" borderId="4" xfId="3079" applyFont="1" applyFill="1" applyBorder="1" applyAlignment="1">
      <alignment horizontal="left" vertical="center" wrapText="1"/>
    </xf>
    <xf numFmtId="0" fontId="71" fillId="9" borderId="4" xfId="3079" applyFont="1" applyFill="1" applyBorder="1" applyAlignment="1">
      <alignment horizontal="left" wrapText="1"/>
    </xf>
    <xf numFmtId="0" fontId="71" fillId="2" borderId="5" xfId="3084" applyFont="1" applyFill="1" applyBorder="1" applyAlignment="1">
      <alignment horizontal="left" vertical="center" wrapText="1"/>
    </xf>
    <xf numFmtId="0" fontId="73" fillId="9" borderId="9" xfId="0" applyFont="1" applyFill="1" applyBorder="1" applyAlignment="1">
      <alignment horizontal="left" vertical="center" wrapText="1"/>
    </xf>
    <xf numFmtId="0" fontId="26" fillId="9" borderId="29" xfId="0" applyFont="1" applyFill="1" applyBorder="1"/>
    <xf numFmtId="0" fontId="73" fillId="9" borderId="28" xfId="0" applyFont="1" applyFill="1" applyBorder="1" applyAlignment="1">
      <alignment horizontal="left" vertical="center" wrapText="1"/>
    </xf>
    <xf numFmtId="0" fontId="26" fillId="9" borderId="28" xfId="0" applyFont="1" applyFill="1" applyBorder="1"/>
    <xf numFmtId="0" fontId="75" fillId="9" borderId="9" xfId="3079" applyFont="1" applyFill="1" applyBorder="1" applyAlignment="1">
      <alignment horizontal="right" vertical="center" wrapText="1"/>
    </xf>
    <xf numFmtId="0" fontId="73" fillId="9" borderId="28" xfId="3079" applyFont="1" applyFill="1" applyBorder="1" applyAlignment="1">
      <alignment horizontal="left" vertical="center" wrapText="1"/>
    </xf>
    <xf numFmtId="0" fontId="76" fillId="64" borderId="9" xfId="3079" applyFont="1" applyFill="1" applyBorder="1" applyAlignment="1">
      <alignment horizontal="left" vertical="center" wrapText="1"/>
    </xf>
    <xf numFmtId="0" fontId="71" fillId="2" borderId="28" xfId="3079" applyFont="1" applyFill="1" applyBorder="1" applyAlignment="1">
      <alignment horizontal="left" vertical="center" wrapText="1"/>
    </xf>
    <xf numFmtId="0" fontId="69" fillId="2" borderId="28" xfId="3079" applyFont="1" applyFill="1" applyBorder="1" applyAlignment="1">
      <alignment horizontal="right" vertical="center" wrapText="1"/>
    </xf>
    <xf numFmtId="0" fontId="77" fillId="66" borderId="28" xfId="3079" applyFont="1" applyFill="1" applyBorder="1" applyAlignment="1">
      <alignment horizontal="left" wrapText="1"/>
    </xf>
    <xf numFmtId="0" fontId="71" fillId="2" borderId="8" xfId="0" applyFont="1" applyFill="1" applyBorder="1" applyAlignment="1">
      <alignment horizontal="left" vertical="center" wrapText="1"/>
    </xf>
    <xf numFmtId="0" fontId="86" fillId="2" borderId="4" xfId="0" applyFont="1" applyFill="1" applyBorder="1" applyAlignment="1">
      <alignment horizontal="left" vertical="center" wrapText="1"/>
    </xf>
    <xf numFmtId="0" fontId="86" fillId="2" borderId="5" xfId="0" applyFont="1" applyFill="1" applyBorder="1" applyAlignment="1">
      <alignment horizontal="left" vertical="center" wrapText="1"/>
    </xf>
    <xf numFmtId="0" fontId="86" fillId="2" borderId="8" xfId="0" applyFont="1" applyFill="1" applyBorder="1" applyAlignment="1">
      <alignment horizontal="left" vertical="center" wrapText="1"/>
    </xf>
    <xf numFmtId="0" fontId="71" fillId="2" borderId="10" xfId="3079" applyFont="1" applyFill="1" applyBorder="1" applyAlignment="1">
      <alignment horizontal="right" vertical="center" wrapText="1"/>
    </xf>
    <xf numFmtId="0" fontId="26" fillId="9" borderId="11" xfId="3079" applyFont="1" applyFill="1" applyBorder="1"/>
    <xf numFmtId="0" fontId="69" fillId="67" borderId="10" xfId="3079" applyFont="1" applyFill="1" applyBorder="1" applyAlignment="1">
      <alignment horizontal="left" vertical="center" wrapText="1"/>
    </xf>
    <xf numFmtId="14" fontId="71" fillId="2" borderId="9" xfId="3079" applyNumberFormat="1" applyFont="1" applyFill="1" applyBorder="1" applyAlignment="1">
      <alignment horizontal="left" vertical="center" wrapText="1"/>
    </xf>
    <xf numFmtId="14" fontId="71" fillId="2" borderId="4" xfId="3079" applyNumberFormat="1" applyFont="1" applyFill="1" applyBorder="1" applyAlignment="1">
      <alignment horizontal="left" vertical="center" wrapText="1"/>
    </xf>
    <xf numFmtId="0" fontId="69" fillId="2" borderId="9" xfId="3079" applyFont="1" applyFill="1" applyBorder="1" applyAlignment="1">
      <alignment horizontal="right" vertical="center" wrapText="1"/>
    </xf>
    <xf numFmtId="0" fontId="71" fillId="2" borderId="4" xfId="3079" applyFont="1" applyFill="1" applyBorder="1" applyAlignment="1">
      <alignment horizontal="center" vertical="center" wrapText="1"/>
    </xf>
    <xf numFmtId="0" fontId="69" fillId="2" borderId="4" xfId="0" applyFont="1" applyFill="1" applyBorder="1" applyAlignment="1">
      <alignment horizontal="left" vertical="center" wrapText="1"/>
    </xf>
    <xf numFmtId="0" fontId="35" fillId="7" borderId="2" xfId="3079" applyFont="1" applyFill="1" applyAlignment="1">
      <alignment horizontal="center"/>
    </xf>
    <xf numFmtId="0" fontId="17" fillId="7" borderId="2" xfId="3079" applyFont="1" applyFill="1" applyAlignment="1"/>
    <xf numFmtId="0" fontId="17" fillId="0" borderId="2" xfId="3079" applyFont="1" applyAlignment="1">
      <alignment horizontal="center" wrapText="1"/>
    </xf>
    <xf numFmtId="0" fontId="17" fillId="0" borderId="2" xfId="3079" applyFont="1" applyAlignment="1"/>
    <xf numFmtId="175" fontId="104" fillId="50" borderId="42" xfId="3091" applyNumberFormat="1" applyFont="1" applyFill="1" applyBorder="1" applyAlignment="1">
      <alignment horizontal="center" vertical="center" wrapText="1"/>
    </xf>
    <xf numFmtId="175" fontId="104" fillId="50" borderId="43" xfId="3091" applyNumberFormat="1" applyFont="1" applyFill="1" applyBorder="1" applyAlignment="1">
      <alignment horizontal="center" vertical="center" wrapText="1"/>
    </xf>
    <xf numFmtId="175" fontId="104" fillId="50" borderId="45" xfId="3091" applyNumberFormat="1" applyFont="1" applyFill="1" applyBorder="1" applyAlignment="1">
      <alignment horizontal="center" vertical="center" wrapText="1"/>
    </xf>
    <xf numFmtId="175" fontId="104" fillId="50" borderId="34" xfId="3091" applyNumberFormat="1" applyFont="1" applyFill="1" applyBorder="1" applyAlignment="1">
      <alignment horizontal="center" vertical="center" wrapText="1"/>
    </xf>
    <xf numFmtId="175" fontId="104" fillId="50" borderId="46" xfId="3091" applyNumberFormat="1" applyFont="1" applyFill="1" applyBorder="1" applyAlignment="1">
      <alignment horizontal="center" vertical="center" wrapText="1"/>
    </xf>
    <xf numFmtId="175" fontId="104" fillId="50" borderId="37" xfId="3091" applyNumberFormat="1" applyFont="1" applyFill="1" applyBorder="1" applyAlignment="1">
      <alignment horizontal="center" vertical="center" wrapText="1"/>
    </xf>
    <xf numFmtId="175" fontId="102" fillId="50" borderId="39" xfId="3091" applyNumberFormat="1" applyFont="1" applyFill="1" applyBorder="1" applyAlignment="1">
      <alignment horizontal="center" vertical="center" wrapText="1"/>
    </xf>
    <xf numFmtId="175" fontId="102" fillId="50" borderId="44" xfId="3091" applyNumberFormat="1" applyFont="1" applyFill="1" applyBorder="1" applyAlignment="1">
      <alignment horizontal="center" vertical="center" wrapText="1"/>
    </xf>
    <xf numFmtId="175" fontId="102" fillId="50" borderId="33" xfId="3091" applyNumberFormat="1" applyFont="1" applyFill="1" applyBorder="1" applyAlignment="1">
      <alignment horizontal="center" vertical="center" wrapText="1"/>
    </xf>
    <xf numFmtId="176" fontId="103" fillId="51" borderId="31" xfId="3092" applyNumberFormat="1" applyFont="1" applyFill="1" applyBorder="1" applyAlignment="1" applyProtection="1">
      <alignment horizontal="center" vertical="center" wrapText="1"/>
    </xf>
    <xf numFmtId="176" fontId="103" fillId="51" borderId="23" xfId="3092" applyNumberFormat="1" applyFont="1" applyFill="1" applyBorder="1" applyAlignment="1" applyProtection="1">
      <alignment horizontal="center" vertical="center" wrapText="1"/>
    </xf>
    <xf numFmtId="176" fontId="103" fillId="51" borderId="32" xfId="3092" applyNumberFormat="1" applyFont="1" applyFill="1" applyBorder="1" applyAlignment="1" applyProtection="1">
      <alignment horizontal="center" vertical="center" wrapText="1"/>
    </xf>
    <xf numFmtId="0" fontId="35" fillId="7" borderId="44" xfId="3091" applyFont="1" applyFill="1" applyBorder="1" applyAlignment="1">
      <alignment horizontal="center" vertical="top" wrapText="1"/>
    </xf>
    <xf numFmtId="0" fontId="35" fillId="7" borderId="33" xfId="3091" applyFont="1" applyFill="1" applyBorder="1" applyAlignment="1">
      <alignment horizontal="center" vertical="top" wrapText="1"/>
    </xf>
    <xf numFmtId="0" fontId="35" fillId="0" borderId="2" xfId="180" applyFont="1" applyAlignment="1">
      <alignment horizontal="center" vertical="top" wrapText="1"/>
    </xf>
    <xf numFmtId="0" fontId="62" fillId="56" borderId="12" xfId="3099" applyFont="1" applyFill="1" applyBorder="1" applyAlignment="1">
      <alignment horizontal="left" vertical="center" wrapText="1"/>
    </xf>
    <xf numFmtId="0" fontId="123" fillId="56" borderId="12" xfId="3099" applyFont="1" applyFill="1" applyBorder="1" applyAlignment="1">
      <alignment horizontal="center" vertical="center" wrapText="1"/>
    </xf>
    <xf numFmtId="0" fontId="40" fillId="57" borderId="12" xfId="3099" applyFill="1" applyBorder="1" applyAlignment="1">
      <alignment horizontal="center"/>
    </xf>
    <xf numFmtId="4" fontId="69" fillId="40" borderId="10" xfId="3080" applyNumberFormat="1" applyFont="1" applyFill="1" applyBorder="1" applyAlignment="1">
      <alignment horizontal="center" vertical="center"/>
    </xf>
    <xf numFmtId="0" fontId="26" fillId="0" borderId="11" xfId="3080" applyFont="1" applyBorder="1"/>
    <xf numFmtId="0" fontId="26" fillId="0" borderId="30" xfId="3080" applyFont="1" applyBorder="1"/>
    <xf numFmtId="0" fontId="71" fillId="2" borderId="4" xfId="3080" applyFont="1" applyFill="1" applyBorder="1" applyAlignment="1">
      <alignment horizontal="left" vertical="center" wrapText="1"/>
    </xf>
    <xf numFmtId="0" fontId="26" fillId="0" borderId="5" xfId="3080" applyFont="1" applyBorder="1"/>
    <xf numFmtId="0" fontId="26" fillId="0" borderId="8" xfId="3080" applyFont="1" applyBorder="1"/>
    <xf numFmtId="0" fontId="69" fillId="40" borderId="4" xfId="3080" applyFont="1" applyFill="1" applyBorder="1" applyAlignment="1">
      <alignment horizontal="right"/>
    </xf>
    <xf numFmtId="14" fontId="71" fillId="2" borderId="9" xfId="3080" applyNumberFormat="1" applyFont="1" applyFill="1" applyBorder="1" applyAlignment="1">
      <alignment horizontal="left" vertical="center" wrapText="1"/>
    </xf>
    <xf numFmtId="0" fontId="26" fillId="0" borderId="29" xfId="3080" applyFont="1" applyBorder="1"/>
    <xf numFmtId="0" fontId="69" fillId="33" borderId="4" xfId="3080" applyFont="1" applyFill="1" applyBorder="1" applyAlignment="1">
      <alignment horizontal="left" vertical="center" wrapText="1"/>
    </xf>
    <xf numFmtId="0" fontId="69" fillId="2" borderId="4" xfId="3080" applyFont="1" applyFill="1" applyBorder="1" applyAlignment="1">
      <alignment horizontal="left" vertical="center" wrapText="1"/>
    </xf>
    <xf numFmtId="0" fontId="71" fillId="2" borderId="4" xfId="3080" applyFont="1" applyFill="1" applyBorder="1" applyAlignment="1">
      <alignment horizontal="center" vertical="center" wrapText="1"/>
    </xf>
    <xf numFmtId="0" fontId="71" fillId="0" borderId="4" xfId="3080" applyFont="1" applyBorder="1" applyAlignment="1">
      <alignment horizontal="left" vertical="center" wrapText="1"/>
    </xf>
    <xf numFmtId="0" fontId="69" fillId="33" borderId="4" xfId="3080" applyFont="1" applyFill="1" applyBorder="1" applyAlignment="1">
      <alignment horizontal="left" wrapText="1"/>
    </xf>
    <xf numFmtId="0" fontId="71" fillId="2" borderId="4" xfId="3080" applyFont="1" applyFill="1" applyBorder="1" applyAlignment="1">
      <alignment vertical="center" wrapText="1"/>
    </xf>
    <xf numFmtId="0" fontId="71" fillId="2" borderId="28" xfId="3080" applyFont="1" applyFill="1" applyBorder="1" applyAlignment="1">
      <alignment vertical="center" wrapText="1"/>
    </xf>
    <xf numFmtId="0" fontId="26" fillId="0" borderId="28" xfId="3080" applyFont="1" applyBorder="1"/>
    <xf numFmtId="0" fontId="69" fillId="33" borderId="10" xfId="3080" applyFont="1" applyFill="1" applyBorder="1" applyAlignment="1">
      <alignment horizontal="left" vertical="center" wrapText="1"/>
    </xf>
    <xf numFmtId="0" fontId="71" fillId="34" borderId="10" xfId="3080" applyFont="1" applyFill="1" applyBorder="1" applyAlignment="1">
      <alignment horizontal="left" vertical="center" wrapText="1"/>
    </xf>
    <xf numFmtId="172" fontId="71" fillId="34" borderId="10" xfId="3080" applyNumberFormat="1" applyFont="1" applyFill="1" applyBorder="1" applyAlignment="1">
      <alignment horizontal="left" vertical="center" wrapText="1"/>
    </xf>
    <xf numFmtId="0" fontId="71" fillId="0" borderId="4" xfId="3080" applyFont="1" applyBorder="1" applyAlignment="1">
      <alignment horizontal="left" wrapText="1"/>
    </xf>
    <xf numFmtId="4" fontId="69" fillId="40" borderId="4" xfId="3080" applyNumberFormat="1" applyFont="1" applyFill="1" applyBorder="1" applyAlignment="1">
      <alignment horizontal="center" vertical="center"/>
    </xf>
    <xf numFmtId="4" fontId="69" fillId="33" borderId="4" xfId="3080" applyNumberFormat="1" applyFont="1" applyFill="1" applyBorder="1" applyAlignment="1">
      <alignment horizontal="left" vertical="center"/>
    </xf>
    <xf numFmtId="0" fontId="75" fillId="33" borderId="9" xfId="3080" applyFont="1" applyFill="1" applyBorder="1" applyAlignment="1">
      <alignment horizontal="left" vertical="center" wrapText="1"/>
    </xf>
    <xf numFmtId="0" fontId="69" fillId="40" borderId="2" xfId="3080" applyFont="1" applyFill="1" applyBorder="1" applyAlignment="1">
      <alignment horizontal="center" vertical="top" wrapText="1"/>
    </xf>
    <xf numFmtId="0" fontId="26" fillId="0" borderId="2" xfId="3080" applyFont="1" applyBorder="1"/>
    <xf numFmtId="0" fontId="69" fillId="33" borderId="4" xfId="3080" applyFont="1" applyFill="1" applyBorder="1" applyAlignment="1">
      <alignment horizontal="center" vertical="center" wrapText="1"/>
    </xf>
    <xf numFmtId="2" fontId="42" fillId="9" borderId="26" xfId="60" applyNumberFormat="1" applyFont="1" applyFill="1" applyBorder="1" applyAlignment="1">
      <alignment horizontal="right" vertical="center" wrapText="1"/>
    </xf>
    <xf numFmtId="2" fontId="42" fillId="9" borderId="2" xfId="60" applyNumberFormat="1" applyFont="1" applyFill="1" applyBorder="1" applyAlignment="1">
      <alignment horizontal="right" vertical="center" wrapText="1"/>
    </xf>
    <xf numFmtId="4" fontId="42" fillId="32" borderId="22" xfId="60" applyNumberFormat="1" applyFont="1" applyFill="1" applyBorder="1" applyAlignment="1">
      <alignment horizontal="center" vertical="center" wrapText="1"/>
    </xf>
    <xf numFmtId="4" fontId="42" fillId="32" borderId="23" xfId="60" applyNumberFormat="1" applyFont="1" applyFill="1" applyBorder="1" applyAlignment="1">
      <alignment horizontal="center" vertical="center" wrapText="1"/>
    </xf>
    <xf numFmtId="4" fontId="42" fillId="32" borderId="24" xfId="60" applyNumberFormat="1" applyFont="1" applyFill="1" applyBorder="1" applyAlignment="1">
      <alignment horizontal="center" vertical="center" wrapText="1"/>
    </xf>
    <xf numFmtId="2" fontId="41" fillId="9" borderId="2" xfId="60" applyNumberFormat="1" applyFont="1" applyFill="1" applyAlignment="1">
      <alignment horizontal="left" vertical="center" wrapText="1"/>
    </xf>
    <xf numFmtId="2" fontId="42" fillId="9" borderId="2" xfId="60" applyNumberFormat="1" applyFont="1" applyFill="1" applyAlignment="1">
      <alignment horizontal="left" vertical="center" wrapText="1"/>
    </xf>
    <xf numFmtId="2" fontId="42" fillId="9" borderId="2" xfId="4" applyNumberFormat="1" applyFont="1" applyFill="1" applyBorder="1" applyAlignment="1">
      <alignment horizontal="left" vertical="center" wrapText="1"/>
    </xf>
    <xf numFmtId="0" fontId="24" fillId="9" borderId="31" xfId="3080" applyFont="1" applyFill="1" applyBorder="1" applyAlignment="1">
      <alignment horizontal="left"/>
    </xf>
    <xf numFmtId="0" fontId="24" fillId="9" borderId="32" xfId="3080" applyFont="1" applyFill="1" applyBorder="1" applyAlignment="1">
      <alignment horizontal="left"/>
    </xf>
    <xf numFmtId="0" fontId="95" fillId="9" borderId="42" xfId="0" applyFont="1" applyFill="1" applyBorder="1" applyAlignment="1">
      <alignment horizontal="left" wrapText="1"/>
    </xf>
    <xf numFmtId="0" fontId="95" fillId="9" borderId="31" xfId="0" applyFont="1" applyFill="1" applyBorder="1" applyAlignment="1">
      <alignment horizontal="left" wrapText="1"/>
    </xf>
    <xf numFmtId="0" fontId="95" fillId="9" borderId="23" xfId="0" applyFont="1" applyFill="1" applyBorder="1" applyAlignment="1">
      <alignment horizontal="left" wrapText="1"/>
    </xf>
    <xf numFmtId="0" fontId="88" fillId="9" borderId="12" xfId="180" applyFont="1" applyFill="1" applyBorder="1" applyAlignment="1">
      <alignment vertical="center" wrapText="1"/>
    </xf>
    <xf numFmtId="0" fontId="83" fillId="7" borderId="68" xfId="6045" applyFont="1" applyFill="1" applyBorder="1" applyAlignment="1">
      <alignment vertical="center" wrapText="1"/>
    </xf>
    <xf numFmtId="4" fontId="89" fillId="9" borderId="2" xfId="6041" applyNumberFormat="1" applyFont="1" applyFill="1" applyAlignment="1">
      <alignment horizontal="center" vertical="center"/>
    </xf>
    <xf numFmtId="4" fontId="89" fillId="9" borderId="2" xfId="6041" applyNumberFormat="1" applyFont="1" applyFill="1" applyAlignment="1">
      <alignment horizontal="center" vertical="center" wrapText="1"/>
    </xf>
  </cellXfs>
  <cellStyles count="6049">
    <cellStyle name="20% - Accent1" xfId="67"/>
    <cellStyle name="20% - Accent1 2" xfId="68"/>
    <cellStyle name="20% - Accent2" xfId="69"/>
    <cellStyle name="20% - Accent2 2" xfId="70"/>
    <cellStyle name="20% - Accent3" xfId="71"/>
    <cellStyle name="20% - Accent3 2" xfId="72"/>
    <cellStyle name="20% - Accent4" xfId="73"/>
    <cellStyle name="20% - Accent4 2" xfId="74"/>
    <cellStyle name="20% - Accent5" xfId="75"/>
    <cellStyle name="20% - Accent5 2" xfId="76"/>
    <cellStyle name="20% - Accent6" xfId="77"/>
    <cellStyle name="20% - Accent6 2" xfId="78"/>
    <cellStyle name="40% - Accent1" xfId="79"/>
    <cellStyle name="40% - Accent1 2" xfId="80"/>
    <cellStyle name="40% - Accent2" xfId="81"/>
    <cellStyle name="40% - Accent2 2" xfId="82"/>
    <cellStyle name="40% - Accent3" xfId="83"/>
    <cellStyle name="40% - Accent3 2" xfId="84"/>
    <cellStyle name="40% - Accent4" xfId="85"/>
    <cellStyle name="40% - Accent4 2" xfId="86"/>
    <cellStyle name="40% - Accent5" xfId="87"/>
    <cellStyle name="40% - Accent5 2" xfId="88"/>
    <cellStyle name="40% - Accent6" xfId="89"/>
    <cellStyle name="40% - Accent6 2" xfId="90"/>
    <cellStyle name="60% - Accent1" xfId="91"/>
    <cellStyle name="60% - Accent2" xfId="92"/>
    <cellStyle name="60% - Accent3" xfId="93"/>
    <cellStyle name="60% - Accent4" xfId="94"/>
    <cellStyle name="60% - Accent5" xfId="95"/>
    <cellStyle name="60% - Accent6" xfId="96"/>
    <cellStyle name="Accent1" xfId="97"/>
    <cellStyle name="Accent2" xfId="98"/>
    <cellStyle name="Accent3" xfId="99"/>
    <cellStyle name="Accent4" xfId="100"/>
    <cellStyle name="Accent5" xfId="101"/>
    <cellStyle name="Accent6" xfId="102"/>
    <cellStyle name="Bad" xfId="103"/>
    <cellStyle name="Calculation" xfId="104"/>
    <cellStyle name="Calculation 10" xfId="2794"/>
    <cellStyle name="Calculation 10 2" xfId="5741"/>
    <cellStyle name="Calculation 11" xfId="3149"/>
    <cellStyle name="Calculation 2" xfId="443"/>
    <cellStyle name="Calculation 2 2" xfId="1485"/>
    <cellStyle name="Calculation 2 2 2" xfId="1714"/>
    <cellStyle name="Calculation 2 2 2 2" xfId="2941"/>
    <cellStyle name="Calculation 2 2 2 2 2" xfId="5888"/>
    <cellStyle name="Calculation 2 2 2 3" xfId="2858"/>
    <cellStyle name="Calculation 2 2 2 3 2" xfId="5805"/>
    <cellStyle name="Calculation 2 2 2 4" xfId="2850"/>
    <cellStyle name="Calculation 2 2 2 4 2" xfId="5797"/>
    <cellStyle name="Calculation 2 2 2 5" xfId="4661"/>
    <cellStyle name="Calculation 2 2 3" xfId="2563"/>
    <cellStyle name="Calculation 2 2 3 2" xfId="3025"/>
    <cellStyle name="Calculation 2 2 3 2 2" xfId="5972"/>
    <cellStyle name="Calculation 2 2 3 3" xfId="2801"/>
    <cellStyle name="Calculation 2 2 3 3 2" xfId="5748"/>
    <cellStyle name="Calculation 2 2 3 4" xfId="2878"/>
    <cellStyle name="Calculation 2 2 3 4 2" xfId="5825"/>
    <cellStyle name="Calculation 2 2 3 5" xfId="5510"/>
    <cellStyle name="Calculation 2 2 4" xfId="2912"/>
    <cellStyle name="Calculation 2 2 4 2" xfId="5859"/>
    <cellStyle name="Calculation 2 2 5" xfId="3011"/>
    <cellStyle name="Calculation 2 2 5 2" xfId="5958"/>
    <cellStyle name="Calculation 2 2 6" xfId="2828"/>
    <cellStyle name="Calculation 2 2 6 2" xfId="5775"/>
    <cellStyle name="Calculation 2 2 7" xfId="4432"/>
    <cellStyle name="Calculation 2 3" xfId="1706"/>
    <cellStyle name="Calculation 2 3 2" xfId="1730"/>
    <cellStyle name="Calculation 2 3 2 2" xfId="2957"/>
    <cellStyle name="Calculation 2 3 2 2 2" xfId="5904"/>
    <cellStyle name="Calculation 2 3 2 3" xfId="2921"/>
    <cellStyle name="Calculation 2 3 2 3 2" xfId="5868"/>
    <cellStyle name="Calculation 2 3 2 4" xfId="3040"/>
    <cellStyle name="Calculation 2 3 2 4 2" xfId="5987"/>
    <cellStyle name="Calculation 2 3 2 5" xfId="4677"/>
    <cellStyle name="Calculation 2 3 3" xfId="2784"/>
    <cellStyle name="Calculation 2 3 3 2" xfId="3049"/>
    <cellStyle name="Calculation 2 3 3 2 2" xfId="5996"/>
    <cellStyle name="Calculation 2 3 3 3" xfId="3060"/>
    <cellStyle name="Calculation 2 3 3 3 2" xfId="6007"/>
    <cellStyle name="Calculation 2 3 3 4" xfId="3070"/>
    <cellStyle name="Calculation 2 3 3 4 2" xfId="6017"/>
    <cellStyle name="Calculation 2 3 3 5" xfId="5731"/>
    <cellStyle name="Calculation 2 3 4" xfId="2936"/>
    <cellStyle name="Calculation 2 3 4 2" xfId="5883"/>
    <cellStyle name="Calculation 2 3 5" xfId="3008"/>
    <cellStyle name="Calculation 2 3 5 2" xfId="5955"/>
    <cellStyle name="Calculation 2 3 6" xfId="2882"/>
    <cellStyle name="Calculation 2 3 6 2" xfId="5829"/>
    <cellStyle name="Calculation 2 3 7" xfId="4653"/>
    <cellStyle name="Calculation 2 4" xfId="958"/>
    <cellStyle name="Calculation 2 4 2" xfId="2865"/>
    <cellStyle name="Calculation 2 4 2 2" xfId="5812"/>
    <cellStyle name="Calculation 2 4 3" xfId="3022"/>
    <cellStyle name="Calculation 2 4 3 2" xfId="5969"/>
    <cellStyle name="Calculation 2 4 4" xfId="3021"/>
    <cellStyle name="Calculation 2 4 4 2" xfId="5968"/>
    <cellStyle name="Calculation 2 4 5" xfId="3915"/>
    <cellStyle name="Calculation 2 5" xfId="2041"/>
    <cellStyle name="Calculation 2 5 2" xfId="2976"/>
    <cellStyle name="Calculation 2 5 2 2" xfId="5923"/>
    <cellStyle name="Calculation 2 5 3" xfId="2982"/>
    <cellStyle name="Calculation 2 5 3 2" xfId="5929"/>
    <cellStyle name="Calculation 2 5 4" xfId="2791"/>
    <cellStyle name="Calculation 2 5 4 2" xfId="5738"/>
    <cellStyle name="Calculation 2 5 5" xfId="4988"/>
    <cellStyle name="Calculation 2 6" xfId="2823"/>
    <cellStyle name="Calculation 2 6 2" xfId="5770"/>
    <cellStyle name="Calculation 2 7" xfId="3016"/>
    <cellStyle name="Calculation 2 7 2" xfId="5963"/>
    <cellStyle name="Calculation 2 8" xfId="2849"/>
    <cellStyle name="Calculation 2 8 2" xfId="5796"/>
    <cellStyle name="Calculation 2 9" xfId="3420"/>
    <cellStyle name="Calculation 3" xfId="1214"/>
    <cellStyle name="Calculation 3 2" xfId="1715"/>
    <cellStyle name="Calculation 3 2 2" xfId="2942"/>
    <cellStyle name="Calculation 3 2 2 2" xfId="5889"/>
    <cellStyle name="Calculation 3 2 3" xfId="3010"/>
    <cellStyle name="Calculation 3 2 3 2" xfId="5957"/>
    <cellStyle name="Calculation 3 2 4" xfId="2812"/>
    <cellStyle name="Calculation 3 2 4 2" xfId="5759"/>
    <cellStyle name="Calculation 3 2 5" xfId="4662"/>
    <cellStyle name="Calculation 3 3" xfId="2292"/>
    <cellStyle name="Calculation 3 3 2" xfId="2998"/>
    <cellStyle name="Calculation 3 3 2 2" xfId="5945"/>
    <cellStyle name="Calculation 3 3 3" xfId="2804"/>
    <cellStyle name="Calculation 3 3 3 2" xfId="5751"/>
    <cellStyle name="Calculation 3 3 4" xfId="3006"/>
    <cellStyle name="Calculation 3 3 4 2" xfId="5953"/>
    <cellStyle name="Calculation 3 3 5" xfId="5239"/>
    <cellStyle name="Calculation 3 4" xfId="2885"/>
    <cellStyle name="Calculation 3 4 2" xfId="5832"/>
    <cellStyle name="Calculation 3 5" xfId="2903"/>
    <cellStyle name="Calculation 3 5 2" xfId="5850"/>
    <cellStyle name="Calculation 3 6" xfId="2831"/>
    <cellStyle name="Calculation 3 6 2" xfId="5778"/>
    <cellStyle name="Calculation 3 7" xfId="4161"/>
    <cellStyle name="Calculation 4" xfId="1486"/>
    <cellStyle name="Calculation 4 2" xfId="1720"/>
    <cellStyle name="Calculation 4 2 2" xfId="2947"/>
    <cellStyle name="Calculation 4 2 2 2" xfId="5894"/>
    <cellStyle name="Calculation 4 2 3" xfId="2922"/>
    <cellStyle name="Calculation 4 2 3 2" xfId="5869"/>
    <cellStyle name="Calculation 4 2 4" xfId="2818"/>
    <cellStyle name="Calculation 4 2 4 2" xfId="5765"/>
    <cellStyle name="Calculation 4 2 5" xfId="4667"/>
    <cellStyle name="Calculation 4 3" xfId="2564"/>
    <cellStyle name="Calculation 4 3 2" xfId="3026"/>
    <cellStyle name="Calculation 4 3 2 2" xfId="5973"/>
    <cellStyle name="Calculation 4 3 3" xfId="2800"/>
    <cellStyle name="Calculation 4 3 3 2" xfId="5747"/>
    <cellStyle name="Calculation 4 3 4" xfId="2975"/>
    <cellStyle name="Calculation 4 3 4 2" xfId="5922"/>
    <cellStyle name="Calculation 4 3 5" xfId="5511"/>
    <cellStyle name="Calculation 4 4" xfId="2913"/>
    <cellStyle name="Calculation 4 4 2" xfId="5860"/>
    <cellStyle name="Calculation 4 5" xfId="2901"/>
    <cellStyle name="Calculation 4 5 2" xfId="5848"/>
    <cellStyle name="Calculation 4 6" xfId="2905"/>
    <cellStyle name="Calculation 4 6 2" xfId="5852"/>
    <cellStyle name="Calculation 4 7" xfId="4433"/>
    <cellStyle name="Calculation 5" xfId="1708"/>
    <cellStyle name="Calculation 5 2" xfId="1732"/>
    <cellStyle name="Calculation 5 2 2" xfId="2959"/>
    <cellStyle name="Calculation 5 2 2 2" xfId="5906"/>
    <cellStyle name="Calculation 5 2 3" xfId="2808"/>
    <cellStyle name="Calculation 5 2 3 2" xfId="5755"/>
    <cellStyle name="Calculation 5 2 4" xfId="2974"/>
    <cellStyle name="Calculation 5 2 4 2" xfId="5921"/>
    <cellStyle name="Calculation 5 2 5" xfId="4679"/>
    <cellStyle name="Calculation 5 3" xfId="2786"/>
    <cellStyle name="Calculation 5 3 2" xfId="3051"/>
    <cellStyle name="Calculation 5 3 2 2" xfId="5998"/>
    <cellStyle name="Calculation 5 3 3" xfId="3062"/>
    <cellStyle name="Calculation 5 3 3 2" xfId="6009"/>
    <cellStyle name="Calculation 5 3 4" xfId="3072"/>
    <cellStyle name="Calculation 5 3 4 2" xfId="6019"/>
    <cellStyle name="Calculation 5 3 5" xfId="5733"/>
    <cellStyle name="Calculation 5 4" xfId="2938"/>
    <cellStyle name="Calculation 5 4 2" xfId="5885"/>
    <cellStyle name="Calculation 5 5" xfId="2984"/>
    <cellStyle name="Calculation 5 5 2" xfId="5931"/>
    <cellStyle name="Calculation 5 6" xfId="2792"/>
    <cellStyle name="Calculation 5 6 2" xfId="5739"/>
    <cellStyle name="Calculation 5 7" xfId="4655"/>
    <cellStyle name="Calculation 6" xfId="703"/>
    <cellStyle name="Calculation 6 2" xfId="2843"/>
    <cellStyle name="Calculation 6 2 2" xfId="5790"/>
    <cellStyle name="Calculation 6 3" xfId="2971"/>
    <cellStyle name="Calculation 6 3 2" xfId="5918"/>
    <cellStyle name="Calculation 6 4" xfId="2860"/>
    <cellStyle name="Calculation 6 4 2" xfId="5807"/>
    <cellStyle name="Calculation 6 5" xfId="3670"/>
    <cellStyle name="Calculation 7" xfId="708"/>
    <cellStyle name="Calculation 7 2" xfId="2844"/>
    <cellStyle name="Calculation 7 2 2" xfId="5791"/>
    <cellStyle name="Calculation 7 3" xfId="3014"/>
    <cellStyle name="Calculation 7 3 2" xfId="5961"/>
    <cellStyle name="Calculation 7 4" xfId="2904"/>
    <cellStyle name="Calculation 7 4 2" xfId="5851"/>
    <cellStyle name="Calculation 7 5" xfId="3671"/>
    <cellStyle name="Calculation 8" xfId="1724"/>
    <cellStyle name="Calculation 8 2" xfId="2951"/>
    <cellStyle name="Calculation 8 2 2" xfId="5898"/>
    <cellStyle name="Calculation 8 3" xfId="2857"/>
    <cellStyle name="Calculation 8 3 2" xfId="5804"/>
    <cellStyle name="Calculation 8 4" xfId="2859"/>
    <cellStyle name="Calculation 8 4 2" xfId="5806"/>
    <cellStyle name="Calculation 8 5" xfId="4671"/>
    <cellStyle name="Calculation 9" xfId="1770"/>
    <cellStyle name="Calculation 9 2" xfId="2960"/>
    <cellStyle name="Calculation 9 2 2" xfId="5907"/>
    <cellStyle name="Calculation 9 3" xfId="3033"/>
    <cellStyle name="Calculation 9 3 2" xfId="5980"/>
    <cellStyle name="Calculation 9 4" xfId="3019"/>
    <cellStyle name="Calculation 9 4 2" xfId="5966"/>
    <cellStyle name="Calculation 9 5" xfId="4717"/>
    <cellStyle name="Check Cell" xfId="105"/>
    <cellStyle name="Comma 2" xfId="106"/>
    <cellStyle name="Comma 2 2" xfId="107"/>
    <cellStyle name="Comma 2 2 2" xfId="108"/>
    <cellStyle name="Comma 2 2 2 2" xfId="1215"/>
    <cellStyle name="Comma 2 2 2 2 2" xfId="2293"/>
    <cellStyle name="Comma 2 2 2 2 2 2" xfId="5240"/>
    <cellStyle name="Comma 2 2 2 2 3" xfId="4162"/>
    <cellStyle name="Comma 2 2 2 3" xfId="1771"/>
    <cellStyle name="Comma 2 2 2 3 2" xfId="4718"/>
    <cellStyle name="Comma 2 2 2 4" xfId="3150"/>
    <cellStyle name="Comma 2 2 3" xfId="109"/>
    <cellStyle name="Comma 2 2 4" xfId="445"/>
    <cellStyle name="Comma 2 2 4 2" xfId="960"/>
    <cellStyle name="Comma 2 2 5" xfId="705"/>
    <cellStyle name="Comma 2 3" xfId="110"/>
    <cellStyle name="Comma 2 3 2" xfId="1216"/>
    <cellStyle name="Comma 2 3 2 2" xfId="2294"/>
    <cellStyle name="Comma 2 3 2 2 2" xfId="5241"/>
    <cellStyle name="Comma 2 3 2 3" xfId="4163"/>
    <cellStyle name="Comma 2 3 3" xfId="1772"/>
    <cellStyle name="Comma 2 3 3 2" xfId="4719"/>
    <cellStyle name="Comma 2 3 4" xfId="3151"/>
    <cellStyle name="Comma 2 4" xfId="111"/>
    <cellStyle name="Comma 2 5" xfId="444"/>
    <cellStyle name="Comma 2 5 2" xfId="959"/>
    <cellStyle name="Comma 2 6" xfId="704"/>
    <cellStyle name="Comma 3 2" xfId="7"/>
    <cellStyle name="Comma 3 2 2" xfId="22"/>
    <cellStyle name="Comma 3 2 2 2" xfId="43"/>
    <cellStyle name="Comma 3 2 2 2 2" xfId="115"/>
    <cellStyle name="Comma 3 2 2 2 3" xfId="114"/>
    <cellStyle name="Comma 3 2 2 2 3 2" xfId="1217"/>
    <cellStyle name="Comma 3 2 2 2 3 2 2" xfId="2295"/>
    <cellStyle name="Comma 3 2 2 2 3 2 2 2" xfId="5242"/>
    <cellStyle name="Comma 3 2 2 2 3 2 3" xfId="4164"/>
    <cellStyle name="Comma 3 2 2 2 3 3" xfId="1773"/>
    <cellStyle name="Comma 3 2 2 2 3 3 2" xfId="4720"/>
    <cellStyle name="Comma 3 2 2 2 3 4" xfId="3152"/>
    <cellStyle name="Comma 3 2 2 3" xfId="116"/>
    <cellStyle name="Comma 3 2 2 3 2" xfId="117"/>
    <cellStyle name="Comma 3 2 2 3 2 2" xfId="1218"/>
    <cellStyle name="Comma 3 2 2 3 2 2 2" xfId="2296"/>
    <cellStyle name="Comma 3 2 2 3 2 2 2 2" xfId="5243"/>
    <cellStyle name="Comma 3 2 2 3 2 2 3" xfId="4165"/>
    <cellStyle name="Comma 3 2 2 3 2 3" xfId="1774"/>
    <cellStyle name="Comma 3 2 2 3 2 3 2" xfId="4721"/>
    <cellStyle name="Comma 3 2 2 3 2 4" xfId="3153"/>
    <cellStyle name="Comma 3 2 2 4" xfId="118"/>
    <cellStyle name="Comma 3 2 2 4 2" xfId="448"/>
    <cellStyle name="Comma 3 2 2 4 2 2" xfId="963"/>
    <cellStyle name="Comma 3 2 2 4 3" xfId="709"/>
    <cellStyle name="Comma 3 2 2 5" xfId="113"/>
    <cellStyle name="Comma 3 2 2 5 2" xfId="447"/>
    <cellStyle name="Comma 3 2 2 5 2 2" xfId="962"/>
    <cellStyle name="Comma 3 2 2 5 3" xfId="707"/>
    <cellStyle name="Comma 3 2 2 6" xfId="3113"/>
    <cellStyle name="Comma 3 2 3" xfId="40"/>
    <cellStyle name="Comma 3 2 3 2" xfId="120"/>
    <cellStyle name="Comma 3 2 3 2 2" xfId="1220"/>
    <cellStyle name="Comma 3 2 3 2 2 2" xfId="2298"/>
    <cellStyle name="Comma 3 2 3 2 2 2 2" xfId="5245"/>
    <cellStyle name="Comma 3 2 3 2 2 3" xfId="4167"/>
    <cellStyle name="Comma 3 2 3 2 3" xfId="1776"/>
    <cellStyle name="Comma 3 2 3 2 3 2" xfId="4723"/>
    <cellStyle name="Comma 3 2 3 2 4" xfId="3155"/>
    <cellStyle name="Comma 3 2 3 3" xfId="121"/>
    <cellStyle name="Comma 3 2 3 3 2" xfId="1221"/>
    <cellStyle name="Comma 3 2 3 3 2 2" xfId="2299"/>
    <cellStyle name="Comma 3 2 3 3 2 2 2" xfId="5246"/>
    <cellStyle name="Comma 3 2 3 3 2 3" xfId="4168"/>
    <cellStyle name="Comma 3 2 3 3 3" xfId="1777"/>
    <cellStyle name="Comma 3 2 3 3 3 2" xfId="4724"/>
    <cellStyle name="Comma 3 2 3 3 4" xfId="3156"/>
    <cellStyle name="Comma 3 2 3 4" xfId="122"/>
    <cellStyle name="Comma 3 2 3 4 2" xfId="1222"/>
    <cellStyle name="Comma 3 2 3 4 2 2" xfId="2300"/>
    <cellStyle name="Comma 3 2 3 4 2 2 2" xfId="5247"/>
    <cellStyle name="Comma 3 2 3 4 2 3" xfId="4169"/>
    <cellStyle name="Comma 3 2 3 4 3" xfId="1778"/>
    <cellStyle name="Comma 3 2 3 4 3 2" xfId="4725"/>
    <cellStyle name="Comma 3 2 3 4 4" xfId="3157"/>
    <cellStyle name="Comma 3 2 3 5" xfId="123"/>
    <cellStyle name="Comma 3 2 3 6" xfId="119"/>
    <cellStyle name="Comma 3 2 3 6 2" xfId="1219"/>
    <cellStyle name="Comma 3 2 3 6 2 2" xfId="2297"/>
    <cellStyle name="Comma 3 2 3 6 2 2 2" xfId="5244"/>
    <cellStyle name="Comma 3 2 3 6 2 3" xfId="4166"/>
    <cellStyle name="Comma 3 2 3 6 3" xfId="1775"/>
    <cellStyle name="Comma 3 2 3 6 3 2" xfId="4722"/>
    <cellStyle name="Comma 3 2 3 6 4" xfId="3154"/>
    <cellStyle name="Comma 3 2 4" xfId="124"/>
    <cellStyle name="Comma 3 2 4 2" xfId="125"/>
    <cellStyle name="Comma 3 2 4 2 2" xfId="1223"/>
    <cellStyle name="Comma 3 2 4 2 2 2" xfId="2301"/>
    <cellStyle name="Comma 3 2 4 2 2 2 2" xfId="5248"/>
    <cellStyle name="Comma 3 2 4 2 2 3" xfId="4170"/>
    <cellStyle name="Comma 3 2 4 2 3" xfId="1779"/>
    <cellStyle name="Comma 3 2 4 2 3 2" xfId="4726"/>
    <cellStyle name="Comma 3 2 4 2 4" xfId="3158"/>
    <cellStyle name="Comma 3 2 5" xfId="126"/>
    <cellStyle name="Comma 3 2 5 2" xfId="1224"/>
    <cellStyle name="Comma 3 2 5 2 2" xfId="2302"/>
    <cellStyle name="Comma 3 2 5 2 2 2" xfId="5249"/>
    <cellStyle name="Comma 3 2 5 2 3" xfId="4171"/>
    <cellStyle name="Comma 3 2 5 3" xfId="1780"/>
    <cellStyle name="Comma 3 2 5 3 2" xfId="4727"/>
    <cellStyle name="Comma 3 2 5 4" xfId="3159"/>
    <cellStyle name="Comma 3 2 6" xfId="127"/>
    <cellStyle name="Comma 3 2 6 2" xfId="449"/>
    <cellStyle name="Comma 3 2 6 2 2" xfId="964"/>
    <cellStyle name="Comma 3 2 6 3" xfId="710"/>
    <cellStyle name="Comma 3 2 7" xfId="112"/>
    <cellStyle name="Comma 3 2 7 2" xfId="446"/>
    <cellStyle name="Comma 3 2 7 2 2" xfId="961"/>
    <cellStyle name="Comma 3 2 7 3" xfId="706"/>
    <cellStyle name="Comma 3 2 8" xfId="17"/>
    <cellStyle name="Comma 3 2 8 2" xfId="3112"/>
    <cellStyle name="Comma 3 2 9" xfId="3092"/>
    <cellStyle name="Comma 3 2 9 2" xfId="6033"/>
    <cellStyle name="Comma 3 3 2" xfId="24"/>
    <cellStyle name="Comma 3 3 2 2" xfId="44"/>
    <cellStyle name="Comma 3 3 2 2 2" xfId="130"/>
    <cellStyle name="Comma 3 3 2 2 2 2" xfId="1226"/>
    <cellStyle name="Comma 3 3 2 2 2 2 2" xfId="2304"/>
    <cellStyle name="Comma 3 3 2 2 2 2 2 2" xfId="5251"/>
    <cellStyle name="Comma 3 3 2 2 2 2 3" xfId="4173"/>
    <cellStyle name="Comma 3 3 2 2 2 3" xfId="1782"/>
    <cellStyle name="Comma 3 3 2 2 2 3 2" xfId="4729"/>
    <cellStyle name="Comma 3 3 2 2 2 4" xfId="3161"/>
    <cellStyle name="Comma 3 3 2 2 3" xfId="131"/>
    <cellStyle name="Comma 3 3 2 2 4" xfId="129"/>
    <cellStyle name="Comma 3 3 2 2 4 2" xfId="1225"/>
    <cellStyle name="Comma 3 3 2 2 4 2 2" xfId="2303"/>
    <cellStyle name="Comma 3 3 2 2 4 2 2 2" xfId="5250"/>
    <cellStyle name="Comma 3 3 2 2 4 2 3" xfId="4172"/>
    <cellStyle name="Comma 3 3 2 2 4 3" xfId="1781"/>
    <cellStyle name="Comma 3 3 2 2 4 3 2" xfId="4728"/>
    <cellStyle name="Comma 3 3 2 2 4 4" xfId="3160"/>
    <cellStyle name="Comma 3 3 2 3" xfId="132"/>
    <cellStyle name="Comma 3 3 2 3 2" xfId="133"/>
    <cellStyle name="Comma 3 3 2 3 2 2" xfId="1227"/>
    <cellStyle name="Comma 3 3 2 3 2 2 2" xfId="2305"/>
    <cellStyle name="Comma 3 3 2 3 2 2 2 2" xfId="5252"/>
    <cellStyle name="Comma 3 3 2 3 2 2 3" xfId="4174"/>
    <cellStyle name="Comma 3 3 2 3 2 3" xfId="1783"/>
    <cellStyle name="Comma 3 3 2 3 2 3 2" xfId="4730"/>
    <cellStyle name="Comma 3 3 2 3 2 4" xfId="3162"/>
    <cellStyle name="Comma 3 3 2 4" xfId="134"/>
    <cellStyle name="Comma 3 3 2 4 2" xfId="451"/>
    <cellStyle name="Comma 3 3 2 4 2 2" xfId="966"/>
    <cellStyle name="Comma 3 3 2 4 3" xfId="712"/>
    <cellStyle name="Comma 3 3 2 5" xfId="128"/>
    <cellStyle name="Comma 3 3 2 5 2" xfId="450"/>
    <cellStyle name="Comma 3 3 2 5 2 2" xfId="965"/>
    <cellStyle name="Comma 3 3 2 5 3" xfId="711"/>
    <cellStyle name="Comma 3 3 2 6" xfId="3114"/>
    <cellStyle name="Currency 2 2" xfId="19"/>
    <cellStyle name="Currency 2 2 2" xfId="41"/>
    <cellStyle name="Currency 2 2 3" xfId="135"/>
    <cellStyle name="Explanatory Text" xfId="136"/>
    <cellStyle name="Good" xfId="137"/>
    <cellStyle name="Heading 1" xfId="138"/>
    <cellStyle name="Heading 2" xfId="139"/>
    <cellStyle name="Heading 3" xfId="140"/>
    <cellStyle name="Heading 4" xfId="141"/>
    <cellStyle name="Hyperlink 2" xfId="3095"/>
    <cellStyle name="Input" xfId="142"/>
    <cellStyle name="Input 10" xfId="2908"/>
    <cellStyle name="Input 10 2" xfId="5855"/>
    <cellStyle name="Input 11" xfId="3163"/>
    <cellStyle name="Input 2" xfId="452"/>
    <cellStyle name="Input 2 2" xfId="1487"/>
    <cellStyle name="Input 2 2 2" xfId="1721"/>
    <cellStyle name="Input 2 2 2 2" xfId="2948"/>
    <cellStyle name="Input 2 2 2 2 2" xfId="5895"/>
    <cellStyle name="Input 2 2 2 3" xfId="2833"/>
    <cellStyle name="Input 2 2 2 3 2" xfId="5780"/>
    <cellStyle name="Input 2 2 2 4" xfId="2853"/>
    <cellStyle name="Input 2 2 2 4 2" xfId="5800"/>
    <cellStyle name="Input 2 2 2 5" xfId="4668"/>
    <cellStyle name="Input 2 2 3" xfId="2565"/>
    <cellStyle name="Input 2 2 3 2" xfId="3027"/>
    <cellStyle name="Input 2 2 3 2 2" xfId="5974"/>
    <cellStyle name="Input 2 2 3 3" xfId="2961"/>
    <cellStyle name="Input 2 2 3 3 2" xfId="5908"/>
    <cellStyle name="Input 2 2 3 4" xfId="2995"/>
    <cellStyle name="Input 2 2 3 4 2" xfId="5942"/>
    <cellStyle name="Input 2 2 3 5" xfId="5512"/>
    <cellStyle name="Input 2 2 4" xfId="2914"/>
    <cellStyle name="Input 2 2 4 2" xfId="5861"/>
    <cellStyle name="Input 2 2 5" xfId="2988"/>
    <cellStyle name="Input 2 2 5 2" xfId="5935"/>
    <cellStyle name="Input 2 2 6" xfId="2795"/>
    <cellStyle name="Input 2 2 6 2" xfId="5742"/>
    <cellStyle name="Input 2 2 7" xfId="4434"/>
    <cellStyle name="Input 2 3" xfId="1700"/>
    <cellStyle name="Input 2 3 2" xfId="1725"/>
    <cellStyle name="Input 2 3 2 2" xfId="2952"/>
    <cellStyle name="Input 2 3 2 2 2" xfId="5899"/>
    <cellStyle name="Input 2 3 2 3" xfId="3009"/>
    <cellStyle name="Input 2 3 2 3 2" xfId="5956"/>
    <cellStyle name="Input 2 3 2 4" xfId="2806"/>
    <cellStyle name="Input 2 3 2 4 2" xfId="5753"/>
    <cellStyle name="Input 2 3 2 5" xfId="4672"/>
    <cellStyle name="Input 2 3 3" xfId="2778"/>
    <cellStyle name="Input 2 3 3 2" xfId="3043"/>
    <cellStyle name="Input 2 3 3 2 2" xfId="5990"/>
    <cellStyle name="Input 2 3 3 3" xfId="3054"/>
    <cellStyle name="Input 2 3 3 3 2" xfId="6001"/>
    <cellStyle name="Input 2 3 3 4" xfId="3064"/>
    <cellStyle name="Input 2 3 3 4 2" xfId="6011"/>
    <cellStyle name="Input 2 3 3 5" xfId="5725"/>
    <cellStyle name="Input 2 3 4" xfId="2930"/>
    <cellStyle name="Input 2 3 4 2" xfId="5877"/>
    <cellStyle name="Input 2 3 5" xfId="2923"/>
    <cellStyle name="Input 2 3 5 2" xfId="5870"/>
    <cellStyle name="Input 2 3 6" xfId="2820"/>
    <cellStyle name="Input 2 3 6 2" xfId="5767"/>
    <cellStyle name="Input 2 3 7" xfId="4647"/>
    <cellStyle name="Input 2 4" xfId="967"/>
    <cellStyle name="Input 2 4 2" xfId="2867"/>
    <cellStyle name="Input 2 4 2 2" xfId="5814"/>
    <cellStyle name="Input 2 4 3" xfId="3039"/>
    <cellStyle name="Input 2 4 3 2" xfId="5986"/>
    <cellStyle name="Input 2 4 4" xfId="2987"/>
    <cellStyle name="Input 2 4 4 2" xfId="5934"/>
    <cellStyle name="Input 2 4 5" xfId="3916"/>
    <cellStyle name="Input 2 5" xfId="2042"/>
    <cellStyle name="Input 2 5 2" xfId="2977"/>
    <cellStyle name="Input 2 5 2 2" xfId="5924"/>
    <cellStyle name="Input 2 5 3" xfId="2873"/>
    <cellStyle name="Input 2 5 3 2" xfId="5820"/>
    <cellStyle name="Input 2 5 4" xfId="3015"/>
    <cellStyle name="Input 2 5 4 2" xfId="5962"/>
    <cellStyle name="Input 2 5 5" xfId="4989"/>
    <cellStyle name="Input 2 6" xfId="2824"/>
    <cellStyle name="Input 2 6 2" xfId="5771"/>
    <cellStyle name="Input 2 7" xfId="2864"/>
    <cellStyle name="Input 2 7 2" xfId="5811"/>
    <cellStyle name="Input 2 8" xfId="2836"/>
    <cellStyle name="Input 2 8 2" xfId="5783"/>
    <cellStyle name="Input 2 9" xfId="3421"/>
    <cellStyle name="Input 3" xfId="1228"/>
    <cellStyle name="Input 3 2" xfId="1722"/>
    <cellStyle name="Input 3 2 2" xfId="2949"/>
    <cellStyle name="Input 3 2 2 2" xfId="5896"/>
    <cellStyle name="Input 3 2 3" xfId="2809"/>
    <cellStyle name="Input 3 2 3 2" xfId="5756"/>
    <cellStyle name="Input 3 2 4" xfId="2863"/>
    <cellStyle name="Input 3 2 4 2" xfId="5810"/>
    <cellStyle name="Input 3 2 5" xfId="4669"/>
    <cellStyle name="Input 3 3" xfId="2306"/>
    <cellStyle name="Input 3 3 2" xfId="3001"/>
    <cellStyle name="Input 3 3 2 2" xfId="5948"/>
    <cellStyle name="Input 3 3 3" xfId="3005"/>
    <cellStyle name="Input 3 3 3 2" xfId="5952"/>
    <cellStyle name="Input 3 3 4" xfId="2830"/>
    <cellStyle name="Input 3 3 4 2" xfId="5777"/>
    <cellStyle name="Input 3 3 5" xfId="5253"/>
    <cellStyle name="Input 3 4" xfId="2887"/>
    <cellStyle name="Input 3 4 2" xfId="5834"/>
    <cellStyle name="Input 3 5" xfId="2926"/>
    <cellStyle name="Input 3 5 2" xfId="5873"/>
    <cellStyle name="Input 3 6" xfId="3018"/>
    <cellStyle name="Input 3 6 2" xfId="5965"/>
    <cellStyle name="Input 3 7" xfId="4175"/>
    <cellStyle name="Input 4" xfId="1213"/>
    <cellStyle name="Input 4 2" xfId="1717"/>
    <cellStyle name="Input 4 2 2" xfId="2944"/>
    <cellStyle name="Input 4 2 2 2" xfId="5891"/>
    <cellStyle name="Input 4 2 3" xfId="2986"/>
    <cellStyle name="Input 4 2 3 2" xfId="5933"/>
    <cellStyle name="Input 4 2 4" xfId="2816"/>
    <cellStyle name="Input 4 2 4 2" xfId="5763"/>
    <cellStyle name="Input 4 2 5" xfId="4664"/>
    <cellStyle name="Input 4 3" xfId="2291"/>
    <cellStyle name="Input 4 3 2" xfId="2997"/>
    <cellStyle name="Input 4 3 2 2" xfId="5944"/>
    <cellStyle name="Input 4 3 3" xfId="2805"/>
    <cellStyle name="Input 4 3 3 2" xfId="5752"/>
    <cellStyle name="Input 4 3 4" xfId="2990"/>
    <cellStyle name="Input 4 3 4 2" xfId="5937"/>
    <cellStyle name="Input 4 3 5" xfId="5238"/>
    <cellStyle name="Input 4 4" xfId="2884"/>
    <cellStyle name="Input 4 4 2" xfId="5831"/>
    <cellStyle name="Input 4 5" xfId="3013"/>
    <cellStyle name="Input 4 5 2" xfId="5960"/>
    <cellStyle name="Input 4 6" xfId="2991"/>
    <cellStyle name="Input 4 6 2" xfId="5938"/>
    <cellStyle name="Input 4 7" xfId="4160"/>
    <cellStyle name="Input 5" xfId="1703"/>
    <cellStyle name="Input 5 2" xfId="1727"/>
    <cellStyle name="Input 5 2 2" xfId="2954"/>
    <cellStyle name="Input 5 2 2 2" xfId="5901"/>
    <cellStyle name="Input 5 2 3" xfId="2985"/>
    <cellStyle name="Input 5 2 3 2" xfId="5932"/>
    <cellStyle name="Input 5 2 4" xfId="2797"/>
    <cellStyle name="Input 5 2 4 2" xfId="5744"/>
    <cellStyle name="Input 5 2 5" xfId="4674"/>
    <cellStyle name="Input 5 3" xfId="2781"/>
    <cellStyle name="Input 5 3 2" xfId="3046"/>
    <cellStyle name="Input 5 3 2 2" xfId="5993"/>
    <cellStyle name="Input 5 3 3" xfId="3057"/>
    <cellStyle name="Input 5 3 3 2" xfId="6004"/>
    <cellStyle name="Input 5 3 4" xfId="3067"/>
    <cellStyle name="Input 5 3 4 2" xfId="6014"/>
    <cellStyle name="Input 5 3 5" xfId="5728"/>
    <cellStyle name="Input 5 4" xfId="2933"/>
    <cellStyle name="Input 5 4 2" xfId="5880"/>
    <cellStyle name="Input 5 5" xfId="2810"/>
    <cellStyle name="Input 5 5 2" xfId="5757"/>
    <cellStyle name="Input 5 6" xfId="2871"/>
    <cellStyle name="Input 5 6 2" xfId="5818"/>
    <cellStyle name="Input 5 7" xfId="4650"/>
    <cellStyle name="Input 6" xfId="713"/>
    <cellStyle name="Input 6 2" xfId="2845"/>
    <cellStyle name="Input 6 2 2" xfId="5792"/>
    <cellStyle name="Input 6 3" xfId="3052"/>
    <cellStyle name="Input 6 3 2" xfId="5999"/>
    <cellStyle name="Input 6 4" xfId="3012"/>
    <cellStyle name="Input 6 4 2" xfId="5959"/>
    <cellStyle name="Input 6 5" xfId="3672"/>
    <cellStyle name="Input 7" xfId="702"/>
    <cellStyle name="Input 7 2" xfId="2842"/>
    <cellStyle name="Input 7 2 2" xfId="5789"/>
    <cellStyle name="Input 7 3" xfId="2817"/>
    <cellStyle name="Input 7 3 2" xfId="5764"/>
    <cellStyle name="Input 7 4" xfId="2880"/>
    <cellStyle name="Input 7 4 2" xfId="5827"/>
    <cellStyle name="Input 7 5" xfId="3669"/>
    <cellStyle name="Input 8" xfId="1716"/>
    <cellStyle name="Input 8 2" xfId="2943"/>
    <cellStyle name="Input 8 2 2" xfId="5890"/>
    <cellStyle name="Input 8 3" xfId="2900"/>
    <cellStyle name="Input 8 3 2" xfId="5847"/>
    <cellStyle name="Input 8 4" xfId="2918"/>
    <cellStyle name="Input 8 4 2" xfId="5865"/>
    <cellStyle name="Input 8 5" xfId="4663"/>
    <cellStyle name="Input 9" xfId="1784"/>
    <cellStyle name="Input 9 2" xfId="2962"/>
    <cellStyle name="Input 9 2 2" xfId="5909"/>
    <cellStyle name="Input 9 3" xfId="2855"/>
    <cellStyle name="Input 9 3 2" xfId="5802"/>
    <cellStyle name="Input 9 4" xfId="2877"/>
    <cellStyle name="Input 9 4 2" xfId="5824"/>
    <cellStyle name="Input 9 5" xfId="4731"/>
    <cellStyle name="Linked Cell" xfId="143"/>
    <cellStyle name="Neutral" xfId="144"/>
    <cellStyle name="Normal 2" xfId="9"/>
    <cellStyle name="Normal 2 2" xfId="5"/>
    <cellStyle name="Normal 2 2 2" xfId="21"/>
    <cellStyle name="Normal 2 2 2 2" xfId="146"/>
    <cellStyle name="Normal 2 2 3" xfId="145"/>
    <cellStyle name="Normal 2 2 4 2" xfId="3093"/>
    <cellStyle name="Normal 2_Приложение 6_Список сотрудников_апр-дек'2013" xfId="23"/>
    <cellStyle name="Normal 3 2" xfId="3096"/>
    <cellStyle name="Normal 3 2 2" xfId="6034"/>
    <cellStyle name="Note" xfId="147"/>
    <cellStyle name="Note 2" xfId="453"/>
    <cellStyle name="Note 2 2" xfId="1488"/>
    <cellStyle name="Note 2 2 2" xfId="2566"/>
    <cellStyle name="Note 2 2 2 2" xfId="3028"/>
    <cellStyle name="Note 2 2 2 2 2" xfId="5975"/>
    <cellStyle name="Note 2 2 2 3" xfId="3000"/>
    <cellStyle name="Note 2 2 2 3 2" xfId="5947"/>
    <cellStyle name="Note 2 2 2 4" xfId="2967"/>
    <cellStyle name="Note 2 2 2 4 2" xfId="5914"/>
    <cellStyle name="Note 2 2 2 5" xfId="5513"/>
    <cellStyle name="Note 2 2 3" xfId="2915"/>
    <cellStyle name="Note 2 2 3 2" xfId="5862"/>
    <cellStyle name="Note 2 2 4" xfId="2876"/>
    <cellStyle name="Note 2 2 4 2" xfId="5823"/>
    <cellStyle name="Note 2 2 5" xfId="2835"/>
    <cellStyle name="Note 2 2 5 2" xfId="5782"/>
    <cellStyle name="Note 2 2 6" xfId="4435"/>
    <cellStyle name="Note 2 3" xfId="1699"/>
    <cellStyle name="Note 2 3 2" xfId="2777"/>
    <cellStyle name="Note 2 3 2 2" xfId="3042"/>
    <cellStyle name="Note 2 3 2 2 2" xfId="5989"/>
    <cellStyle name="Note 2 3 2 3" xfId="3053"/>
    <cellStyle name="Note 2 3 2 3 2" xfId="6000"/>
    <cellStyle name="Note 2 3 2 4" xfId="3063"/>
    <cellStyle name="Note 2 3 2 4 2" xfId="6010"/>
    <cellStyle name="Note 2 3 2 5" xfId="5724"/>
    <cellStyle name="Note 2 3 3" xfId="2929"/>
    <cellStyle name="Note 2 3 3 2" xfId="5876"/>
    <cellStyle name="Note 2 3 4" xfId="3036"/>
    <cellStyle name="Note 2 3 4 2" xfId="5983"/>
    <cellStyle name="Note 2 3 5" xfId="2993"/>
    <cellStyle name="Note 2 3 5 2" xfId="5940"/>
    <cellStyle name="Note 2 3 6" xfId="4646"/>
    <cellStyle name="Note 2 4" xfId="968"/>
    <cellStyle name="Note 2 4 2" xfId="2868"/>
    <cellStyle name="Note 2 4 2 2" xfId="5815"/>
    <cellStyle name="Note 2 4 3" xfId="2927"/>
    <cellStyle name="Note 2 4 3 2" xfId="5874"/>
    <cellStyle name="Note 2 4 4" xfId="2840"/>
    <cellStyle name="Note 2 4 4 2" xfId="5787"/>
    <cellStyle name="Note 2 4 5" xfId="3917"/>
    <cellStyle name="Note 2 5" xfId="2043"/>
    <cellStyle name="Note 2 5 2" xfId="2978"/>
    <cellStyle name="Note 2 5 2 2" xfId="5925"/>
    <cellStyle name="Note 2 5 3" xfId="3031"/>
    <cellStyle name="Note 2 5 3 2" xfId="5978"/>
    <cellStyle name="Note 2 5 4" xfId="2972"/>
    <cellStyle name="Note 2 5 4 2" xfId="5919"/>
    <cellStyle name="Note 2 5 5" xfId="4990"/>
    <cellStyle name="Note 2 6" xfId="2825"/>
    <cellStyle name="Note 2 6 2" xfId="5772"/>
    <cellStyle name="Note 2 7" xfId="3023"/>
    <cellStyle name="Note 2 7 2" xfId="5970"/>
    <cellStyle name="Note 2 8" xfId="2881"/>
    <cellStyle name="Note 2 8 2" xfId="5828"/>
    <cellStyle name="Note 2 9" xfId="3422"/>
    <cellStyle name="Note 3" xfId="1229"/>
    <cellStyle name="Note 3 2" xfId="2307"/>
    <cellStyle name="Note 3 2 2" xfId="3002"/>
    <cellStyle name="Note 3 2 2 2" xfId="5949"/>
    <cellStyle name="Note 3 2 3" xfId="2893"/>
    <cellStyle name="Note 3 2 3 2" xfId="5840"/>
    <cellStyle name="Note 3 2 4" xfId="2815"/>
    <cellStyle name="Note 3 2 4 2" xfId="5762"/>
    <cellStyle name="Note 3 2 5" xfId="5254"/>
    <cellStyle name="Note 3 3" xfId="2888"/>
    <cellStyle name="Note 3 3 2" xfId="5835"/>
    <cellStyle name="Note 3 4" xfId="2837"/>
    <cellStyle name="Note 3 4 2" xfId="5784"/>
    <cellStyle name="Note 3 5" xfId="2895"/>
    <cellStyle name="Note 3 5 2" xfId="5842"/>
    <cellStyle name="Note 3 6" xfId="4176"/>
    <cellStyle name="Note 4" xfId="1702"/>
    <cellStyle name="Note 4 2" xfId="2780"/>
    <cellStyle name="Note 4 2 2" xfId="3045"/>
    <cellStyle name="Note 4 2 2 2" xfId="5992"/>
    <cellStyle name="Note 4 2 3" xfId="3056"/>
    <cellStyle name="Note 4 2 3 2" xfId="6003"/>
    <cellStyle name="Note 4 2 4" xfId="3066"/>
    <cellStyle name="Note 4 2 4 2" xfId="6013"/>
    <cellStyle name="Note 4 2 5" xfId="5727"/>
    <cellStyle name="Note 4 3" xfId="2932"/>
    <cellStyle name="Note 4 3 2" xfId="5879"/>
    <cellStyle name="Note 4 4" xfId="2811"/>
    <cellStyle name="Note 4 4 2" xfId="5758"/>
    <cellStyle name="Note 4 5" xfId="2910"/>
    <cellStyle name="Note 4 5 2" xfId="5857"/>
    <cellStyle name="Note 4 6" xfId="4649"/>
    <cellStyle name="Note 5" xfId="714"/>
    <cellStyle name="Note 5 2" xfId="2846"/>
    <cellStyle name="Note 5 2 2" xfId="5793"/>
    <cellStyle name="Note 5 3" xfId="2939"/>
    <cellStyle name="Note 5 3 2" xfId="5886"/>
    <cellStyle name="Note 5 4" xfId="2819"/>
    <cellStyle name="Note 5 4 2" xfId="5766"/>
    <cellStyle name="Note 5 5" xfId="3673"/>
    <cellStyle name="Note 6" xfId="1785"/>
    <cellStyle name="Note 6 2" xfId="2963"/>
    <cellStyle name="Note 6 2 2" xfId="5910"/>
    <cellStyle name="Note 6 3" xfId="3007"/>
    <cellStyle name="Note 6 3 2" xfId="5954"/>
    <cellStyle name="Note 6 4" xfId="2894"/>
    <cellStyle name="Note 6 4 2" xfId="5841"/>
    <cellStyle name="Note 6 5" xfId="4732"/>
    <cellStyle name="Note 7" xfId="2839"/>
    <cellStyle name="Note 7 2" xfId="5786"/>
    <cellStyle name="Note 8" xfId="3164"/>
    <cellStyle name="Output" xfId="148"/>
    <cellStyle name="Output 10" xfId="3165"/>
    <cellStyle name="Output 2" xfId="454"/>
    <cellStyle name="Output 2 2" xfId="1489"/>
    <cellStyle name="Output 2 2 2" xfId="1713"/>
    <cellStyle name="Output 2 2 2 2" xfId="2940"/>
    <cellStyle name="Output 2 2 2 2 2" xfId="5887"/>
    <cellStyle name="Output 2 2 2 3" xfId="2970"/>
    <cellStyle name="Output 2 2 2 3 2" xfId="5917"/>
    <cellStyle name="Output 2 2 2 4" xfId="2883"/>
    <cellStyle name="Output 2 2 2 4 2" xfId="5830"/>
    <cellStyle name="Output 2 2 2 5" xfId="4660"/>
    <cellStyle name="Output 2 2 3" xfId="2567"/>
    <cellStyle name="Output 2 2 3 2" xfId="3029"/>
    <cellStyle name="Output 2 2 3 2 2" xfId="5976"/>
    <cellStyle name="Output 2 2 3 3" xfId="2886"/>
    <cellStyle name="Output 2 2 3 3 2" xfId="5833"/>
    <cellStyle name="Output 2 2 3 4" xfId="2851"/>
    <cellStyle name="Output 2 2 3 4 2" xfId="5798"/>
    <cellStyle name="Output 2 2 3 5" xfId="5514"/>
    <cellStyle name="Output 2 2 4" xfId="2916"/>
    <cellStyle name="Output 2 2 4 2" xfId="5863"/>
    <cellStyle name="Output 2 2 5" xfId="3037"/>
    <cellStyle name="Output 2 2 5 2" xfId="5984"/>
    <cellStyle name="Output 2 2 6" xfId="2907"/>
    <cellStyle name="Output 2 2 6 2" xfId="5854"/>
    <cellStyle name="Output 2 2 7" xfId="4436"/>
    <cellStyle name="Output 2 3" xfId="1704"/>
    <cellStyle name="Output 2 3 2" xfId="1728"/>
    <cellStyle name="Output 2 3 2 2" xfId="2955"/>
    <cellStyle name="Output 2 3 2 2 2" xfId="5902"/>
    <cellStyle name="Output 2 3 2 3" xfId="2874"/>
    <cellStyle name="Output 2 3 2 3 2" xfId="5821"/>
    <cellStyle name="Output 2 3 2 4" xfId="2909"/>
    <cellStyle name="Output 2 3 2 4 2" xfId="5856"/>
    <cellStyle name="Output 2 3 2 5" xfId="4675"/>
    <cellStyle name="Output 2 3 3" xfId="2782"/>
    <cellStyle name="Output 2 3 3 2" xfId="3047"/>
    <cellStyle name="Output 2 3 3 2 2" xfId="5994"/>
    <cellStyle name="Output 2 3 3 3" xfId="3058"/>
    <cellStyle name="Output 2 3 3 3 2" xfId="6005"/>
    <cellStyle name="Output 2 3 3 4" xfId="3068"/>
    <cellStyle name="Output 2 3 3 4 2" xfId="6015"/>
    <cellStyle name="Output 2 3 3 5" xfId="5729"/>
    <cellStyle name="Output 2 3 4" xfId="2934"/>
    <cellStyle name="Output 2 3 4 2" xfId="5881"/>
    <cellStyle name="Output 2 3 5" xfId="2968"/>
    <cellStyle name="Output 2 3 5 2" xfId="5915"/>
    <cellStyle name="Output 2 3 6" xfId="2902"/>
    <cellStyle name="Output 2 3 6 2" xfId="5849"/>
    <cellStyle name="Output 2 3 7" xfId="4651"/>
    <cellStyle name="Output 2 4" xfId="969"/>
    <cellStyle name="Output 2 4 2" xfId="2869"/>
    <cellStyle name="Output 2 4 2 2" xfId="5816"/>
    <cellStyle name="Output 2 4 3" xfId="2838"/>
    <cellStyle name="Output 2 4 3 2" xfId="5785"/>
    <cellStyle name="Output 2 4 4" xfId="2807"/>
    <cellStyle name="Output 2 4 4 2" xfId="5754"/>
    <cellStyle name="Output 2 4 5" xfId="3918"/>
    <cellStyle name="Output 2 5" xfId="2044"/>
    <cellStyle name="Output 2 5 2" xfId="2979"/>
    <cellStyle name="Output 2 5 2 2" xfId="5926"/>
    <cellStyle name="Output 2 5 3" xfId="2919"/>
    <cellStyle name="Output 2 5 3 2" xfId="5866"/>
    <cellStyle name="Output 2 5 4" xfId="2821"/>
    <cellStyle name="Output 2 5 4 2" xfId="5768"/>
    <cellStyle name="Output 2 5 5" xfId="4991"/>
    <cellStyle name="Output 2 6" xfId="2826"/>
    <cellStyle name="Output 2 6 2" xfId="5773"/>
    <cellStyle name="Output 2 7" xfId="2911"/>
    <cellStyle name="Output 2 7 2" xfId="5858"/>
    <cellStyle name="Output 2 8" xfId="2994"/>
    <cellStyle name="Output 2 8 2" xfId="5941"/>
    <cellStyle name="Output 2 9" xfId="3423"/>
    <cellStyle name="Output 3" xfId="1230"/>
    <cellStyle name="Output 3 2" xfId="1719"/>
    <cellStyle name="Output 3 2 2" xfId="2946"/>
    <cellStyle name="Output 3 2 2 2" xfId="5893"/>
    <cellStyle name="Output 3 2 3" xfId="3035"/>
    <cellStyle name="Output 3 2 3 2" xfId="5982"/>
    <cellStyle name="Output 3 2 4" xfId="2862"/>
    <cellStyle name="Output 3 2 4 2" xfId="5809"/>
    <cellStyle name="Output 3 2 5" xfId="4666"/>
    <cellStyle name="Output 3 3" xfId="2308"/>
    <cellStyle name="Output 3 3 2" xfId="3003"/>
    <cellStyle name="Output 3 3 2 2" xfId="5950"/>
    <cellStyle name="Output 3 3 3" xfId="2981"/>
    <cellStyle name="Output 3 3 3 2" xfId="5928"/>
    <cellStyle name="Output 3 3 4" xfId="2798"/>
    <cellStyle name="Output 3 3 4 2" xfId="5745"/>
    <cellStyle name="Output 3 3 5" xfId="5255"/>
    <cellStyle name="Output 3 4" xfId="2889"/>
    <cellStyle name="Output 3 4 2" xfId="5836"/>
    <cellStyle name="Output 3 5" xfId="2813"/>
    <cellStyle name="Output 3 5 2" xfId="5760"/>
    <cellStyle name="Output 3 6" xfId="2928"/>
    <cellStyle name="Output 3 6 2" xfId="5875"/>
    <cellStyle name="Output 3 7" xfId="4177"/>
    <cellStyle name="Output 4" xfId="1707"/>
    <cellStyle name="Output 4 2" xfId="1731"/>
    <cellStyle name="Output 4 2 2" xfId="2958"/>
    <cellStyle name="Output 4 2 2 2" xfId="5905"/>
    <cellStyle name="Output 4 2 3" xfId="2832"/>
    <cellStyle name="Output 4 2 3 2" xfId="5779"/>
    <cellStyle name="Output 4 2 4" xfId="2966"/>
    <cellStyle name="Output 4 2 4 2" xfId="5913"/>
    <cellStyle name="Output 4 2 5" xfId="4678"/>
    <cellStyle name="Output 4 3" xfId="2785"/>
    <cellStyle name="Output 4 3 2" xfId="3050"/>
    <cellStyle name="Output 4 3 2 2" xfId="5997"/>
    <cellStyle name="Output 4 3 3" xfId="3061"/>
    <cellStyle name="Output 4 3 3 2" xfId="6008"/>
    <cellStyle name="Output 4 3 4" xfId="3071"/>
    <cellStyle name="Output 4 3 4 2" xfId="6018"/>
    <cellStyle name="Output 4 3 5" xfId="5732"/>
    <cellStyle name="Output 4 4" xfId="2937"/>
    <cellStyle name="Output 4 4 2" xfId="5884"/>
    <cellStyle name="Output 4 5" xfId="2898"/>
    <cellStyle name="Output 4 5 2" xfId="5845"/>
    <cellStyle name="Output 4 6" xfId="2796"/>
    <cellStyle name="Output 4 6 2" xfId="5743"/>
    <cellStyle name="Output 4 7" xfId="4654"/>
    <cellStyle name="Output 5" xfId="715"/>
    <cellStyle name="Output 5 2" xfId="2847"/>
    <cellStyle name="Output 5 2 2" xfId="5794"/>
    <cellStyle name="Output 5 3" xfId="2996"/>
    <cellStyle name="Output 5 3 2" xfId="5943"/>
    <cellStyle name="Output 5 4" xfId="3032"/>
    <cellStyle name="Output 5 4 2" xfId="5979"/>
    <cellStyle name="Output 5 5" xfId="3674"/>
    <cellStyle name="Output 6" xfId="1786"/>
    <cellStyle name="Output 6 2" xfId="2964"/>
    <cellStyle name="Output 6 2 2" xfId="5911"/>
    <cellStyle name="Output 6 3" xfId="2897"/>
    <cellStyle name="Output 6 3 2" xfId="5844"/>
    <cellStyle name="Output 6 4" xfId="2879"/>
    <cellStyle name="Output 6 4 2" xfId="5826"/>
    <cellStyle name="Output 6 5" xfId="4733"/>
    <cellStyle name="Output 7" xfId="2802"/>
    <cellStyle name="Output 7 2" xfId="5749"/>
    <cellStyle name="Output 8" xfId="2973"/>
    <cellStyle name="Output 8 2" xfId="5920"/>
    <cellStyle name="Output 9" xfId="2992"/>
    <cellStyle name="Output 9 2" xfId="5939"/>
    <cellStyle name="Title" xfId="149"/>
    <cellStyle name="Total" xfId="150"/>
    <cellStyle name="Total 10" xfId="3166"/>
    <cellStyle name="Total 2" xfId="455"/>
    <cellStyle name="Total 2 2" xfId="1490"/>
    <cellStyle name="Total 2 2 2" xfId="1718"/>
    <cellStyle name="Total 2 2 2 2" xfId="2945"/>
    <cellStyle name="Total 2 2 2 2 2" xfId="5892"/>
    <cellStyle name="Total 2 2 2 3" xfId="2875"/>
    <cellStyle name="Total 2 2 2 3 2" xfId="5822"/>
    <cellStyle name="Total 2 2 2 4" xfId="2999"/>
    <cellStyle name="Total 2 2 2 4 2" xfId="5946"/>
    <cellStyle name="Total 2 2 2 5" xfId="4665"/>
    <cellStyle name="Total 2 2 3" xfId="2568"/>
    <cellStyle name="Total 2 2 3 2" xfId="3030"/>
    <cellStyle name="Total 2 2 3 2 2" xfId="5977"/>
    <cellStyle name="Total 2 2 3 3" xfId="2799"/>
    <cellStyle name="Total 2 2 3 3 2" xfId="5746"/>
    <cellStyle name="Total 2 2 3 4" xfId="3038"/>
    <cellStyle name="Total 2 2 3 4 2" xfId="5985"/>
    <cellStyle name="Total 2 2 3 5" xfId="5515"/>
    <cellStyle name="Total 2 2 4" xfId="2917"/>
    <cellStyle name="Total 2 2 4 2" xfId="5864"/>
    <cellStyle name="Total 2 2 5" xfId="2925"/>
    <cellStyle name="Total 2 2 5 2" xfId="5872"/>
    <cellStyle name="Total 2 2 6" xfId="3017"/>
    <cellStyle name="Total 2 2 6 2" xfId="5964"/>
    <cellStyle name="Total 2 2 7" xfId="4437"/>
    <cellStyle name="Total 2 3" xfId="1705"/>
    <cellStyle name="Total 2 3 2" xfId="1729"/>
    <cellStyle name="Total 2 3 2 2" xfId="2956"/>
    <cellStyle name="Total 2 3 2 2 2" xfId="5903"/>
    <cellStyle name="Total 2 3 2 3" xfId="3034"/>
    <cellStyle name="Total 2 3 2 3 2" xfId="5981"/>
    <cellStyle name="Total 2 3 2 4" xfId="2861"/>
    <cellStyle name="Total 2 3 2 4 2" xfId="5808"/>
    <cellStyle name="Total 2 3 2 5" xfId="4676"/>
    <cellStyle name="Total 2 3 3" xfId="2783"/>
    <cellStyle name="Total 2 3 3 2" xfId="3048"/>
    <cellStyle name="Total 2 3 3 2 2" xfId="5995"/>
    <cellStyle name="Total 2 3 3 3" xfId="3059"/>
    <cellStyle name="Total 2 3 3 3 2" xfId="6006"/>
    <cellStyle name="Total 2 3 3 4" xfId="3069"/>
    <cellStyle name="Total 2 3 3 4 2" xfId="6016"/>
    <cellStyle name="Total 2 3 3 5" xfId="5730"/>
    <cellStyle name="Total 2 3 4" xfId="2935"/>
    <cellStyle name="Total 2 3 4 2" xfId="5882"/>
    <cellStyle name="Total 2 3 5" xfId="2856"/>
    <cellStyle name="Total 2 3 5 2" xfId="5803"/>
    <cellStyle name="Total 2 3 6" xfId="2852"/>
    <cellStyle name="Total 2 3 6 2" xfId="5799"/>
    <cellStyle name="Total 2 3 7" xfId="4652"/>
    <cellStyle name="Total 2 4" xfId="970"/>
    <cellStyle name="Total 2 4 2" xfId="2870"/>
    <cellStyle name="Total 2 4 2 2" xfId="5817"/>
    <cellStyle name="Total 2 4 3" xfId="2814"/>
    <cellStyle name="Total 2 4 3 2" xfId="5761"/>
    <cellStyle name="Total 2 4 4" xfId="2906"/>
    <cellStyle name="Total 2 4 4 2" xfId="5853"/>
    <cellStyle name="Total 2 4 5" xfId="3919"/>
    <cellStyle name="Total 2 5" xfId="2045"/>
    <cellStyle name="Total 2 5 2" xfId="2980"/>
    <cellStyle name="Total 2 5 2 2" xfId="5927"/>
    <cellStyle name="Total 2 5 3" xfId="2829"/>
    <cellStyle name="Total 2 5 3 2" xfId="5776"/>
    <cellStyle name="Total 2 5 4" xfId="2920"/>
    <cellStyle name="Total 2 5 4 2" xfId="5867"/>
    <cellStyle name="Total 2 5 5" xfId="4992"/>
    <cellStyle name="Total 2 6" xfId="2827"/>
    <cellStyle name="Total 2 6 2" xfId="5774"/>
    <cellStyle name="Total 2 7" xfId="2822"/>
    <cellStyle name="Total 2 7 2" xfId="5769"/>
    <cellStyle name="Total 2 8" xfId="2854"/>
    <cellStyle name="Total 2 8 2" xfId="5801"/>
    <cellStyle name="Total 2 9" xfId="3424"/>
    <cellStyle name="Total 3" xfId="1231"/>
    <cellStyle name="Total 3 2" xfId="1723"/>
    <cellStyle name="Total 3 2 2" xfId="2950"/>
    <cellStyle name="Total 3 2 2 2" xfId="5897"/>
    <cellStyle name="Total 3 2 3" xfId="2969"/>
    <cellStyle name="Total 3 2 3 2" xfId="5916"/>
    <cellStyle name="Total 3 2 4" xfId="2892"/>
    <cellStyle name="Total 3 2 4 2" xfId="5839"/>
    <cellStyle name="Total 3 2 5" xfId="4670"/>
    <cellStyle name="Total 3 3" xfId="2309"/>
    <cellStyle name="Total 3 3 2" xfId="3004"/>
    <cellStyle name="Total 3 3 2 2" xfId="5951"/>
    <cellStyle name="Total 3 3 3" xfId="2872"/>
    <cellStyle name="Total 3 3 3 2" xfId="5819"/>
    <cellStyle name="Total 3 3 4" xfId="2924"/>
    <cellStyle name="Total 3 3 4 2" xfId="5871"/>
    <cellStyle name="Total 3 3 5" xfId="5256"/>
    <cellStyle name="Total 3 4" xfId="2890"/>
    <cellStyle name="Total 3 4 2" xfId="5837"/>
    <cellStyle name="Total 3 5" xfId="2793"/>
    <cellStyle name="Total 3 5 2" xfId="5740"/>
    <cellStyle name="Total 3 6" xfId="2891"/>
    <cellStyle name="Total 3 6 2" xfId="5838"/>
    <cellStyle name="Total 3 7" xfId="4178"/>
    <cellStyle name="Total 4" xfId="1701"/>
    <cellStyle name="Total 4 2" xfId="1726"/>
    <cellStyle name="Total 4 2 2" xfId="2953"/>
    <cellStyle name="Total 4 2 2 2" xfId="5900"/>
    <cellStyle name="Total 4 2 3" xfId="2899"/>
    <cellStyle name="Total 4 2 3 2" xfId="5846"/>
    <cellStyle name="Total 4 2 4" xfId="2841"/>
    <cellStyle name="Total 4 2 4 2" xfId="5788"/>
    <cellStyle name="Total 4 2 5" xfId="4673"/>
    <cellStyle name="Total 4 3" xfId="2779"/>
    <cellStyle name="Total 4 3 2" xfId="3044"/>
    <cellStyle name="Total 4 3 2 2" xfId="5991"/>
    <cellStyle name="Total 4 3 3" xfId="3055"/>
    <cellStyle name="Total 4 3 3 2" xfId="6002"/>
    <cellStyle name="Total 4 3 4" xfId="3065"/>
    <cellStyle name="Total 4 3 4 2" xfId="6012"/>
    <cellStyle name="Total 4 3 5" xfId="5726"/>
    <cellStyle name="Total 4 4" xfId="2931"/>
    <cellStyle name="Total 4 4 2" xfId="5878"/>
    <cellStyle name="Total 4 5" xfId="2834"/>
    <cellStyle name="Total 4 5 2" xfId="5781"/>
    <cellStyle name="Total 4 6" xfId="2896"/>
    <cellStyle name="Total 4 6 2" xfId="5843"/>
    <cellStyle name="Total 4 7" xfId="4648"/>
    <cellStyle name="Total 5" xfId="716"/>
    <cellStyle name="Total 5 2" xfId="2848"/>
    <cellStyle name="Total 5 2 2" xfId="5795"/>
    <cellStyle name="Total 5 3" xfId="3041"/>
    <cellStyle name="Total 5 3 2" xfId="5988"/>
    <cellStyle name="Total 5 4" xfId="3024"/>
    <cellStyle name="Total 5 4 2" xfId="5971"/>
    <cellStyle name="Total 5 5" xfId="3675"/>
    <cellStyle name="Total 6" xfId="1787"/>
    <cellStyle name="Total 6 2" xfId="2965"/>
    <cellStyle name="Total 6 2 2" xfId="5912"/>
    <cellStyle name="Total 6 3" xfId="2983"/>
    <cellStyle name="Total 6 3 2" xfId="5930"/>
    <cellStyle name="Total 6 4" xfId="2866"/>
    <cellStyle name="Total 6 4 2" xfId="5813"/>
    <cellStyle name="Total 6 5" xfId="4734"/>
    <cellStyle name="Total 7" xfId="2803"/>
    <cellStyle name="Total 7 2" xfId="5750"/>
    <cellStyle name="Total 8" xfId="3020"/>
    <cellStyle name="Total 8 2" xfId="5967"/>
    <cellStyle name="Total 9" xfId="2989"/>
    <cellStyle name="Total 9 2" xfId="5936"/>
    <cellStyle name="Warning Text" xfId="151"/>
    <cellStyle name="Гиперссылка 2" xfId="3101"/>
    <cellStyle name="Денежный 2" xfId="152"/>
    <cellStyle name="Денежный 2 2" xfId="153"/>
    <cellStyle name="Денежный 2 2 2" xfId="457"/>
    <cellStyle name="Денежный 2 2 2 2" xfId="1492"/>
    <cellStyle name="Денежный 2 2 2 2 2" xfId="2570"/>
    <cellStyle name="Денежный 2 2 2 2 2 2" xfId="5517"/>
    <cellStyle name="Денежный 2 2 2 2 3" xfId="4439"/>
    <cellStyle name="Денежный 2 2 2 3" xfId="972"/>
    <cellStyle name="Денежный 2 2 2 3 2" xfId="3921"/>
    <cellStyle name="Денежный 2 2 2 4" xfId="2047"/>
    <cellStyle name="Денежный 2 2 2 4 2" xfId="4994"/>
    <cellStyle name="Денежный 2 2 2 5" xfId="3426"/>
    <cellStyle name="Денежный 2 2 3" xfId="1233"/>
    <cellStyle name="Денежный 2 2 3 2" xfId="2311"/>
    <cellStyle name="Денежный 2 2 3 2 2" xfId="5258"/>
    <cellStyle name="Денежный 2 2 3 3" xfId="4180"/>
    <cellStyle name="Денежный 2 2 4" xfId="718"/>
    <cellStyle name="Денежный 2 2 4 2" xfId="3677"/>
    <cellStyle name="Денежный 2 2 5" xfId="1789"/>
    <cellStyle name="Денежный 2 2 5 2" xfId="4736"/>
    <cellStyle name="Денежный 2 2 6" xfId="3168"/>
    <cellStyle name="Денежный 2 3" xfId="456"/>
    <cellStyle name="Денежный 2 3 2" xfId="1491"/>
    <cellStyle name="Денежный 2 3 2 2" xfId="2569"/>
    <cellStyle name="Денежный 2 3 2 2 2" xfId="5516"/>
    <cellStyle name="Денежный 2 3 2 3" xfId="4438"/>
    <cellStyle name="Денежный 2 3 3" xfId="971"/>
    <cellStyle name="Денежный 2 3 3 2" xfId="3920"/>
    <cellStyle name="Денежный 2 3 4" xfId="2046"/>
    <cellStyle name="Денежный 2 3 4 2" xfId="4993"/>
    <cellStyle name="Денежный 2 3 5" xfId="3425"/>
    <cellStyle name="Денежный 2 4" xfId="1232"/>
    <cellStyle name="Денежный 2 4 2" xfId="2310"/>
    <cellStyle name="Денежный 2 4 2 2" xfId="5257"/>
    <cellStyle name="Денежный 2 4 3" xfId="4179"/>
    <cellStyle name="Денежный 2 5" xfId="717"/>
    <cellStyle name="Денежный 2 5 2" xfId="3676"/>
    <cellStyle name="Денежный 2 6" xfId="1788"/>
    <cellStyle name="Денежный 2 6 2" xfId="4735"/>
    <cellStyle name="Денежный 2 7" xfId="3077"/>
    <cellStyle name="Денежный 2 8" xfId="3167"/>
    <cellStyle name="Денежный 3" xfId="6044"/>
    <cellStyle name="Обычный" xfId="0" builtinId="0"/>
    <cellStyle name="Обычный 10" xfId="6"/>
    <cellStyle name="Обычный 10 2" xfId="154"/>
    <cellStyle name="Обычный 11" xfId="60"/>
    <cellStyle name="Обычный 11 10" xfId="6041"/>
    <cellStyle name="Обычный 11 2" xfId="156"/>
    <cellStyle name="Обычный 11 2 2" xfId="459"/>
    <cellStyle name="Обычный 11 2 2 2" xfId="1494"/>
    <cellStyle name="Обычный 11 2 2 2 2" xfId="2572"/>
    <cellStyle name="Обычный 11 2 2 2 2 2" xfId="5519"/>
    <cellStyle name="Обычный 11 2 2 2 3" xfId="4441"/>
    <cellStyle name="Обычный 11 2 2 3" xfId="974"/>
    <cellStyle name="Обычный 11 2 2 3 2" xfId="3923"/>
    <cellStyle name="Обычный 11 2 2 4" xfId="2049"/>
    <cellStyle name="Обычный 11 2 2 4 2" xfId="4996"/>
    <cellStyle name="Обычный 11 2 2 5" xfId="3428"/>
    <cellStyle name="Обычный 11 2 3" xfId="1235"/>
    <cellStyle name="Обычный 11 2 3 2" xfId="2313"/>
    <cellStyle name="Обычный 11 2 3 2 2" xfId="5260"/>
    <cellStyle name="Обычный 11 2 3 3" xfId="4182"/>
    <cellStyle name="Обычный 11 2 4" xfId="720"/>
    <cellStyle name="Обычный 11 2 4 2" xfId="3679"/>
    <cellStyle name="Обычный 11 2 5" xfId="1791"/>
    <cellStyle name="Обычный 11 2 5 2" xfId="4738"/>
    <cellStyle name="Обычный 11 2 6" xfId="3170"/>
    <cellStyle name="Обычный 11 3" xfId="157"/>
    <cellStyle name="Обычный 11 3 2" xfId="460"/>
    <cellStyle name="Обычный 11 3 2 2" xfId="1495"/>
    <cellStyle name="Обычный 11 3 2 2 2" xfId="2573"/>
    <cellStyle name="Обычный 11 3 2 2 2 2" xfId="5520"/>
    <cellStyle name="Обычный 11 3 2 2 3" xfId="4442"/>
    <cellStyle name="Обычный 11 3 2 3" xfId="975"/>
    <cellStyle name="Обычный 11 3 2 3 2" xfId="3924"/>
    <cellStyle name="Обычный 11 3 2 4" xfId="2050"/>
    <cellStyle name="Обычный 11 3 2 4 2" xfId="4997"/>
    <cellStyle name="Обычный 11 3 2 5" xfId="3429"/>
    <cellStyle name="Обычный 11 3 3" xfId="1236"/>
    <cellStyle name="Обычный 11 3 3 2" xfId="2314"/>
    <cellStyle name="Обычный 11 3 3 2 2" xfId="5261"/>
    <cellStyle name="Обычный 11 3 3 3" xfId="4183"/>
    <cellStyle name="Обычный 11 3 4" xfId="721"/>
    <cellStyle name="Обычный 11 3 4 2" xfId="3680"/>
    <cellStyle name="Обычный 11 3 5" xfId="1792"/>
    <cellStyle name="Обычный 11 3 5 2" xfId="4739"/>
    <cellStyle name="Обычный 11 3 6" xfId="3171"/>
    <cellStyle name="Обычный 11 4" xfId="155"/>
    <cellStyle name="Обычный 11 4 2" xfId="458"/>
    <cellStyle name="Обычный 11 4 2 2" xfId="1493"/>
    <cellStyle name="Обычный 11 4 2 2 2" xfId="2571"/>
    <cellStyle name="Обычный 11 4 2 2 2 2" xfId="5518"/>
    <cellStyle name="Обычный 11 4 2 2 3" xfId="4440"/>
    <cellStyle name="Обычный 11 4 2 3" xfId="973"/>
    <cellStyle name="Обычный 11 4 2 3 2" xfId="3922"/>
    <cellStyle name="Обычный 11 4 2 4" xfId="2048"/>
    <cellStyle name="Обычный 11 4 2 4 2" xfId="4995"/>
    <cellStyle name="Обычный 11 4 2 5" xfId="3427"/>
    <cellStyle name="Обычный 11 4 3" xfId="1234"/>
    <cellStyle name="Обычный 11 4 3 2" xfId="2312"/>
    <cellStyle name="Обычный 11 4 3 2 2" xfId="5259"/>
    <cellStyle name="Обычный 11 4 3 3" xfId="4181"/>
    <cellStyle name="Обычный 11 4 4" xfId="719"/>
    <cellStyle name="Обычный 11 4 4 2" xfId="3678"/>
    <cellStyle name="Обычный 11 4 5" xfId="1790"/>
    <cellStyle name="Обычный 11 4 5 2" xfId="4737"/>
    <cellStyle name="Обычный 11 4 6" xfId="3169"/>
    <cellStyle name="Обычный 11 5" xfId="435"/>
    <cellStyle name="Обычный 11 5 2" xfId="1477"/>
    <cellStyle name="Обычный 11 5 2 2" xfId="2555"/>
    <cellStyle name="Обычный 11 5 2 2 2" xfId="5502"/>
    <cellStyle name="Обычный 11 5 2 3" xfId="4424"/>
    <cellStyle name="Обычный 11 5 3" xfId="950"/>
    <cellStyle name="Обычный 11 5 3 2" xfId="3907"/>
    <cellStyle name="Обычный 11 5 4" xfId="2033"/>
    <cellStyle name="Обычный 11 5 4 2" xfId="4980"/>
    <cellStyle name="Обычный 11 5 5" xfId="3412"/>
    <cellStyle name="Обычный 11 6" xfId="1205"/>
    <cellStyle name="Обычный 11 6 2" xfId="2283"/>
    <cellStyle name="Обычный 11 6 2 2" xfId="5230"/>
    <cellStyle name="Обычный 11 6 3" xfId="4152"/>
    <cellStyle name="Обычный 11 7" xfId="694"/>
    <cellStyle name="Обычный 11 7 2" xfId="3661"/>
    <cellStyle name="Обычный 11 8" xfId="1762"/>
    <cellStyle name="Обычный 11 8 2" xfId="4709"/>
    <cellStyle name="Обычный 11 9" xfId="3142"/>
    <cellStyle name="Обычный 12" xfId="65"/>
    <cellStyle name="Обычный 12 2" xfId="158"/>
    <cellStyle name="Обычный 12 3" xfId="441"/>
    <cellStyle name="Обычный 12 3 2" xfId="1483"/>
    <cellStyle name="Обычный 12 3 2 2" xfId="2561"/>
    <cellStyle name="Обычный 12 3 2 2 2" xfId="5508"/>
    <cellStyle name="Обычный 12 3 2 3" xfId="4430"/>
    <cellStyle name="Обычный 12 3 3" xfId="956"/>
    <cellStyle name="Обычный 12 3 3 2" xfId="3913"/>
    <cellStyle name="Обычный 12 3 4" xfId="2039"/>
    <cellStyle name="Обычный 12 3 4 2" xfId="4986"/>
    <cellStyle name="Обычный 12 3 5" xfId="3418"/>
    <cellStyle name="Обычный 12 4" xfId="1211"/>
    <cellStyle name="Обычный 12 4 2" xfId="2289"/>
    <cellStyle name="Обычный 12 4 2 2" xfId="5236"/>
    <cellStyle name="Обычный 12 4 3" xfId="4158"/>
    <cellStyle name="Обычный 12 5" xfId="700"/>
    <cellStyle name="Обычный 12 5 2" xfId="3667"/>
    <cellStyle name="Обычный 12 6" xfId="1768"/>
    <cellStyle name="Обычный 12 6 2" xfId="4715"/>
    <cellStyle name="Обычный 12 7" xfId="3147"/>
    <cellStyle name="Обычный 13" xfId="159"/>
    <cellStyle name="Обычный 13 2" xfId="160"/>
    <cellStyle name="Обычный 13 2 2" xfId="462"/>
    <cellStyle name="Обычный 13 2 2 2" xfId="1497"/>
    <cellStyle name="Обычный 13 2 2 2 2" xfId="2575"/>
    <cellStyle name="Обычный 13 2 2 2 2 2" xfId="5522"/>
    <cellStyle name="Обычный 13 2 2 2 3" xfId="4444"/>
    <cellStyle name="Обычный 13 2 2 3" xfId="977"/>
    <cellStyle name="Обычный 13 2 2 3 2" xfId="3926"/>
    <cellStyle name="Обычный 13 2 2 4" xfId="2052"/>
    <cellStyle name="Обычный 13 2 2 4 2" xfId="4999"/>
    <cellStyle name="Обычный 13 2 2 5" xfId="3431"/>
    <cellStyle name="Обычный 13 2 3" xfId="1238"/>
    <cellStyle name="Обычный 13 2 3 2" xfId="2316"/>
    <cellStyle name="Обычный 13 2 3 2 2" xfId="5263"/>
    <cellStyle name="Обычный 13 2 3 3" xfId="4185"/>
    <cellStyle name="Обычный 13 2 4" xfId="723"/>
    <cellStyle name="Обычный 13 2 4 2" xfId="3682"/>
    <cellStyle name="Обычный 13 2 5" xfId="1794"/>
    <cellStyle name="Обычный 13 2 5 2" xfId="4741"/>
    <cellStyle name="Обычный 13 2 6" xfId="3173"/>
    <cellStyle name="Обычный 13 3" xfId="161"/>
    <cellStyle name="Обычный 13 3 2" xfId="463"/>
    <cellStyle name="Обычный 13 3 2 2" xfId="1498"/>
    <cellStyle name="Обычный 13 3 2 2 2" xfId="2576"/>
    <cellStyle name="Обычный 13 3 2 2 2 2" xfId="5523"/>
    <cellStyle name="Обычный 13 3 2 2 3" xfId="4445"/>
    <cellStyle name="Обычный 13 3 2 3" xfId="978"/>
    <cellStyle name="Обычный 13 3 2 3 2" xfId="3927"/>
    <cellStyle name="Обычный 13 3 2 4" xfId="2053"/>
    <cellStyle name="Обычный 13 3 2 4 2" xfId="5000"/>
    <cellStyle name="Обычный 13 3 2 5" xfId="3432"/>
    <cellStyle name="Обычный 13 3 3" xfId="1239"/>
    <cellStyle name="Обычный 13 3 3 2" xfId="2317"/>
    <cellStyle name="Обычный 13 3 3 2 2" xfId="5264"/>
    <cellStyle name="Обычный 13 3 3 3" xfId="4186"/>
    <cellStyle name="Обычный 13 3 4" xfId="724"/>
    <cellStyle name="Обычный 13 3 4 2" xfId="3683"/>
    <cellStyle name="Обычный 13 3 5" xfId="1795"/>
    <cellStyle name="Обычный 13 3 5 2" xfId="4742"/>
    <cellStyle name="Обычный 13 3 6" xfId="3174"/>
    <cellStyle name="Обычный 13 4" xfId="461"/>
    <cellStyle name="Обычный 13 4 2" xfId="1496"/>
    <cellStyle name="Обычный 13 4 2 2" xfId="2574"/>
    <cellStyle name="Обычный 13 4 2 2 2" xfId="5521"/>
    <cellStyle name="Обычный 13 4 2 3" xfId="4443"/>
    <cellStyle name="Обычный 13 4 3" xfId="976"/>
    <cellStyle name="Обычный 13 4 3 2" xfId="3925"/>
    <cellStyle name="Обычный 13 4 4" xfId="2051"/>
    <cellStyle name="Обычный 13 4 4 2" xfId="4998"/>
    <cellStyle name="Обычный 13 4 5" xfId="3430"/>
    <cellStyle name="Обычный 13 5" xfId="1237"/>
    <cellStyle name="Обычный 13 5 2" xfId="2315"/>
    <cellStyle name="Обычный 13 5 2 2" xfId="5262"/>
    <cellStyle name="Обычный 13 5 3" xfId="4184"/>
    <cellStyle name="Обычный 13 6" xfId="722"/>
    <cellStyle name="Обычный 13 6 2" xfId="3681"/>
    <cellStyle name="Обычный 13 7" xfId="1793"/>
    <cellStyle name="Обычный 13 7 2" xfId="4740"/>
    <cellStyle name="Обычный 13 8" xfId="3172"/>
    <cellStyle name="Обычный 14" xfId="162"/>
    <cellStyle name="Обычный 14 2" xfId="163"/>
    <cellStyle name="Обычный 14 2 2" xfId="164"/>
    <cellStyle name="Обычный 14 2 2 2" xfId="466"/>
    <cellStyle name="Обычный 14 2 2 2 2" xfId="1501"/>
    <cellStyle name="Обычный 14 2 2 2 2 2" xfId="2579"/>
    <cellStyle name="Обычный 14 2 2 2 2 2 2" xfId="5526"/>
    <cellStyle name="Обычный 14 2 2 2 2 3" xfId="4448"/>
    <cellStyle name="Обычный 14 2 2 2 3" xfId="981"/>
    <cellStyle name="Обычный 14 2 2 2 3 2" xfId="3930"/>
    <cellStyle name="Обычный 14 2 2 2 4" xfId="2056"/>
    <cellStyle name="Обычный 14 2 2 2 4 2" xfId="5003"/>
    <cellStyle name="Обычный 14 2 2 2 5" xfId="3435"/>
    <cellStyle name="Обычный 14 2 2 3" xfId="1242"/>
    <cellStyle name="Обычный 14 2 2 3 2" xfId="2320"/>
    <cellStyle name="Обычный 14 2 2 3 2 2" xfId="5267"/>
    <cellStyle name="Обычный 14 2 2 3 3" xfId="4189"/>
    <cellStyle name="Обычный 14 2 2 4" xfId="727"/>
    <cellStyle name="Обычный 14 2 2 4 2" xfId="3686"/>
    <cellStyle name="Обычный 14 2 2 5" xfId="1798"/>
    <cellStyle name="Обычный 14 2 2 5 2" xfId="4745"/>
    <cellStyle name="Обычный 14 2 2 6" xfId="3177"/>
    <cellStyle name="Обычный 14 2 3" xfId="165"/>
    <cellStyle name="Обычный 14 2 3 2" xfId="467"/>
    <cellStyle name="Обычный 14 2 3 2 2" xfId="1502"/>
    <cellStyle name="Обычный 14 2 3 2 2 2" xfId="2580"/>
    <cellStyle name="Обычный 14 2 3 2 2 2 2" xfId="5527"/>
    <cellStyle name="Обычный 14 2 3 2 2 3" xfId="4449"/>
    <cellStyle name="Обычный 14 2 3 2 3" xfId="982"/>
    <cellStyle name="Обычный 14 2 3 2 3 2" xfId="3931"/>
    <cellStyle name="Обычный 14 2 3 2 4" xfId="2057"/>
    <cellStyle name="Обычный 14 2 3 2 4 2" xfId="5004"/>
    <cellStyle name="Обычный 14 2 3 2 5" xfId="3436"/>
    <cellStyle name="Обычный 14 2 3 3" xfId="1243"/>
    <cellStyle name="Обычный 14 2 3 3 2" xfId="2321"/>
    <cellStyle name="Обычный 14 2 3 3 2 2" xfId="5268"/>
    <cellStyle name="Обычный 14 2 3 3 3" xfId="4190"/>
    <cellStyle name="Обычный 14 2 3 4" xfId="728"/>
    <cellStyle name="Обычный 14 2 3 4 2" xfId="3687"/>
    <cellStyle name="Обычный 14 2 3 5" xfId="1799"/>
    <cellStyle name="Обычный 14 2 3 5 2" xfId="4746"/>
    <cellStyle name="Обычный 14 2 3 6" xfId="3178"/>
    <cellStyle name="Обычный 14 2 4" xfId="465"/>
    <cellStyle name="Обычный 14 2 4 2" xfId="1500"/>
    <cellStyle name="Обычный 14 2 4 2 2" xfId="2578"/>
    <cellStyle name="Обычный 14 2 4 2 2 2" xfId="5525"/>
    <cellStyle name="Обычный 14 2 4 2 3" xfId="4447"/>
    <cellStyle name="Обычный 14 2 4 3" xfId="980"/>
    <cellStyle name="Обычный 14 2 4 3 2" xfId="3929"/>
    <cellStyle name="Обычный 14 2 4 4" xfId="2055"/>
    <cellStyle name="Обычный 14 2 4 4 2" xfId="5002"/>
    <cellStyle name="Обычный 14 2 4 5" xfId="3434"/>
    <cellStyle name="Обычный 14 2 5" xfId="1241"/>
    <cellStyle name="Обычный 14 2 5 2" xfId="2319"/>
    <cellStyle name="Обычный 14 2 5 2 2" xfId="5266"/>
    <cellStyle name="Обычный 14 2 5 3" xfId="4188"/>
    <cellStyle name="Обычный 14 2 6" xfId="726"/>
    <cellStyle name="Обычный 14 2 6 2" xfId="3685"/>
    <cellStyle name="Обычный 14 2 7" xfId="1797"/>
    <cellStyle name="Обычный 14 2 7 2" xfId="4744"/>
    <cellStyle name="Обычный 14 2 8" xfId="3176"/>
    <cellStyle name="Обычный 14 3" xfId="166"/>
    <cellStyle name="Обычный 14 3 2" xfId="468"/>
    <cellStyle name="Обычный 14 3 2 2" xfId="1503"/>
    <cellStyle name="Обычный 14 3 2 2 2" xfId="2581"/>
    <cellStyle name="Обычный 14 3 2 2 2 2" xfId="5528"/>
    <cellStyle name="Обычный 14 3 2 2 3" xfId="4450"/>
    <cellStyle name="Обычный 14 3 2 3" xfId="983"/>
    <cellStyle name="Обычный 14 3 2 3 2" xfId="3932"/>
    <cellStyle name="Обычный 14 3 2 4" xfId="2058"/>
    <cellStyle name="Обычный 14 3 2 4 2" xfId="5005"/>
    <cellStyle name="Обычный 14 3 2 5" xfId="3437"/>
    <cellStyle name="Обычный 14 3 3" xfId="1244"/>
    <cellStyle name="Обычный 14 3 3 2" xfId="2322"/>
    <cellStyle name="Обычный 14 3 3 2 2" xfId="5269"/>
    <cellStyle name="Обычный 14 3 3 3" xfId="4191"/>
    <cellStyle name="Обычный 14 3 4" xfId="729"/>
    <cellStyle name="Обычный 14 3 4 2" xfId="3688"/>
    <cellStyle name="Обычный 14 3 5" xfId="1800"/>
    <cellStyle name="Обычный 14 3 5 2" xfId="4747"/>
    <cellStyle name="Обычный 14 3 6" xfId="3179"/>
    <cellStyle name="Обычный 14 4" xfId="464"/>
    <cellStyle name="Обычный 14 4 2" xfId="1499"/>
    <cellStyle name="Обычный 14 4 2 2" xfId="2577"/>
    <cellStyle name="Обычный 14 4 2 2 2" xfId="5524"/>
    <cellStyle name="Обычный 14 4 2 3" xfId="4446"/>
    <cellStyle name="Обычный 14 4 3" xfId="979"/>
    <cellStyle name="Обычный 14 4 3 2" xfId="3928"/>
    <cellStyle name="Обычный 14 4 4" xfId="2054"/>
    <cellStyle name="Обычный 14 4 4 2" xfId="5001"/>
    <cellStyle name="Обычный 14 4 5" xfId="3433"/>
    <cellStyle name="Обычный 14 5" xfId="1240"/>
    <cellStyle name="Обычный 14 5 2" xfId="2318"/>
    <cellStyle name="Обычный 14 5 2 2" xfId="5265"/>
    <cellStyle name="Обычный 14 5 3" xfId="4187"/>
    <cellStyle name="Обычный 14 6" xfId="725"/>
    <cellStyle name="Обычный 14 6 2" xfId="3684"/>
    <cellStyle name="Обычный 14 7" xfId="1796"/>
    <cellStyle name="Обычный 14 7 2" xfId="4743"/>
    <cellStyle name="Обычный 14 8" xfId="3175"/>
    <cellStyle name="Обычный 15" xfId="167"/>
    <cellStyle name="Обычный 15 2" xfId="168"/>
    <cellStyle name="Обычный 15 2 2" xfId="169"/>
    <cellStyle name="Обычный 15 2 2 2" xfId="471"/>
    <cellStyle name="Обычный 15 2 2 2 2" xfId="1506"/>
    <cellStyle name="Обычный 15 2 2 2 2 2" xfId="2584"/>
    <cellStyle name="Обычный 15 2 2 2 2 2 2" xfId="5531"/>
    <cellStyle name="Обычный 15 2 2 2 2 3" xfId="4453"/>
    <cellStyle name="Обычный 15 2 2 2 3" xfId="986"/>
    <cellStyle name="Обычный 15 2 2 2 3 2" xfId="3935"/>
    <cellStyle name="Обычный 15 2 2 2 4" xfId="2061"/>
    <cellStyle name="Обычный 15 2 2 2 4 2" xfId="5008"/>
    <cellStyle name="Обычный 15 2 2 2 5" xfId="3440"/>
    <cellStyle name="Обычный 15 2 2 3" xfId="1247"/>
    <cellStyle name="Обычный 15 2 2 3 2" xfId="2325"/>
    <cellStyle name="Обычный 15 2 2 3 2 2" xfId="5272"/>
    <cellStyle name="Обычный 15 2 2 3 3" xfId="4194"/>
    <cellStyle name="Обычный 15 2 2 4" xfId="732"/>
    <cellStyle name="Обычный 15 2 2 4 2" xfId="3691"/>
    <cellStyle name="Обычный 15 2 2 5" xfId="1803"/>
    <cellStyle name="Обычный 15 2 2 5 2" xfId="4750"/>
    <cellStyle name="Обычный 15 2 2 6" xfId="3182"/>
    <cellStyle name="Обычный 15 2 3" xfId="170"/>
    <cellStyle name="Обычный 15 2 3 2" xfId="472"/>
    <cellStyle name="Обычный 15 2 3 2 2" xfId="1507"/>
    <cellStyle name="Обычный 15 2 3 2 2 2" xfId="2585"/>
    <cellStyle name="Обычный 15 2 3 2 2 2 2" xfId="5532"/>
    <cellStyle name="Обычный 15 2 3 2 2 3" xfId="4454"/>
    <cellStyle name="Обычный 15 2 3 2 3" xfId="987"/>
    <cellStyle name="Обычный 15 2 3 2 3 2" xfId="3936"/>
    <cellStyle name="Обычный 15 2 3 2 4" xfId="2062"/>
    <cellStyle name="Обычный 15 2 3 2 4 2" xfId="5009"/>
    <cellStyle name="Обычный 15 2 3 2 5" xfId="3441"/>
    <cellStyle name="Обычный 15 2 3 3" xfId="1248"/>
    <cellStyle name="Обычный 15 2 3 3 2" xfId="2326"/>
    <cellStyle name="Обычный 15 2 3 3 2 2" xfId="5273"/>
    <cellStyle name="Обычный 15 2 3 3 3" xfId="4195"/>
    <cellStyle name="Обычный 15 2 3 4" xfId="733"/>
    <cellStyle name="Обычный 15 2 3 4 2" xfId="3692"/>
    <cellStyle name="Обычный 15 2 3 5" xfId="1804"/>
    <cellStyle name="Обычный 15 2 3 5 2" xfId="4751"/>
    <cellStyle name="Обычный 15 2 3 6" xfId="3183"/>
    <cellStyle name="Обычный 15 2 4" xfId="470"/>
    <cellStyle name="Обычный 15 2 4 2" xfId="1505"/>
    <cellStyle name="Обычный 15 2 4 2 2" xfId="2583"/>
    <cellStyle name="Обычный 15 2 4 2 2 2" xfId="5530"/>
    <cellStyle name="Обычный 15 2 4 2 3" xfId="4452"/>
    <cellStyle name="Обычный 15 2 4 3" xfId="985"/>
    <cellStyle name="Обычный 15 2 4 3 2" xfId="3934"/>
    <cellStyle name="Обычный 15 2 4 4" xfId="2060"/>
    <cellStyle name="Обычный 15 2 4 4 2" xfId="5007"/>
    <cellStyle name="Обычный 15 2 4 5" xfId="3439"/>
    <cellStyle name="Обычный 15 2 5" xfId="1246"/>
    <cellStyle name="Обычный 15 2 5 2" xfId="2324"/>
    <cellStyle name="Обычный 15 2 5 2 2" xfId="5271"/>
    <cellStyle name="Обычный 15 2 5 3" xfId="4193"/>
    <cellStyle name="Обычный 15 2 6" xfId="731"/>
    <cellStyle name="Обычный 15 2 6 2" xfId="3690"/>
    <cellStyle name="Обычный 15 2 7" xfId="1802"/>
    <cellStyle name="Обычный 15 2 7 2" xfId="4749"/>
    <cellStyle name="Обычный 15 2 8" xfId="3181"/>
    <cellStyle name="Обычный 15 3" xfId="171"/>
    <cellStyle name="Обычный 15 3 2" xfId="473"/>
    <cellStyle name="Обычный 15 3 2 2" xfId="1508"/>
    <cellStyle name="Обычный 15 3 2 2 2" xfId="2586"/>
    <cellStyle name="Обычный 15 3 2 2 2 2" xfId="5533"/>
    <cellStyle name="Обычный 15 3 2 2 3" xfId="4455"/>
    <cellStyle name="Обычный 15 3 2 3" xfId="988"/>
    <cellStyle name="Обычный 15 3 2 3 2" xfId="3937"/>
    <cellStyle name="Обычный 15 3 2 4" xfId="2063"/>
    <cellStyle name="Обычный 15 3 2 4 2" xfId="5010"/>
    <cellStyle name="Обычный 15 3 2 5" xfId="3442"/>
    <cellStyle name="Обычный 15 3 3" xfId="1249"/>
    <cellStyle name="Обычный 15 3 3 2" xfId="2327"/>
    <cellStyle name="Обычный 15 3 3 2 2" xfId="5274"/>
    <cellStyle name="Обычный 15 3 3 3" xfId="4196"/>
    <cellStyle name="Обычный 15 3 4" xfId="734"/>
    <cellStyle name="Обычный 15 3 4 2" xfId="3693"/>
    <cellStyle name="Обычный 15 3 5" xfId="1805"/>
    <cellStyle name="Обычный 15 3 5 2" xfId="4752"/>
    <cellStyle name="Обычный 15 3 6" xfId="3184"/>
    <cellStyle name="Обычный 15 4" xfId="172"/>
    <cellStyle name="Обычный 15 5" xfId="469"/>
    <cellStyle name="Обычный 15 5 2" xfId="1504"/>
    <cellStyle name="Обычный 15 5 2 2" xfId="2582"/>
    <cellStyle name="Обычный 15 5 2 2 2" xfId="5529"/>
    <cellStyle name="Обычный 15 5 2 3" xfId="4451"/>
    <cellStyle name="Обычный 15 5 3" xfId="984"/>
    <cellStyle name="Обычный 15 5 3 2" xfId="3933"/>
    <cellStyle name="Обычный 15 5 4" xfId="2059"/>
    <cellStyle name="Обычный 15 5 4 2" xfId="5006"/>
    <cellStyle name="Обычный 15 5 5" xfId="3438"/>
    <cellStyle name="Обычный 15 6" xfId="1245"/>
    <cellStyle name="Обычный 15 6 2" xfId="2323"/>
    <cellStyle name="Обычный 15 6 2 2" xfId="5270"/>
    <cellStyle name="Обычный 15 6 3" xfId="4192"/>
    <cellStyle name="Обычный 15 7" xfId="730"/>
    <cellStyle name="Обычный 15 7 2" xfId="3689"/>
    <cellStyle name="Обычный 15 8" xfId="1801"/>
    <cellStyle name="Обычный 15 8 2" xfId="4748"/>
    <cellStyle name="Обычный 15 9" xfId="3180"/>
    <cellStyle name="Обычный 16" xfId="173"/>
    <cellStyle name="Обычный 16 2" xfId="174"/>
    <cellStyle name="Обычный 16 2 2" xfId="475"/>
    <cellStyle name="Обычный 16 2 2 2" xfId="1510"/>
    <cellStyle name="Обычный 16 2 2 2 2" xfId="2588"/>
    <cellStyle name="Обычный 16 2 2 2 2 2" xfId="5535"/>
    <cellStyle name="Обычный 16 2 2 2 3" xfId="4457"/>
    <cellStyle name="Обычный 16 2 2 3" xfId="990"/>
    <cellStyle name="Обычный 16 2 2 3 2" xfId="3939"/>
    <cellStyle name="Обычный 16 2 2 4" xfId="2065"/>
    <cellStyle name="Обычный 16 2 2 4 2" xfId="5012"/>
    <cellStyle name="Обычный 16 2 2 5" xfId="3444"/>
    <cellStyle name="Обычный 16 2 3" xfId="1251"/>
    <cellStyle name="Обычный 16 2 3 2" xfId="2329"/>
    <cellStyle name="Обычный 16 2 3 2 2" xfId="5276"/>
    <cellStyle name="Обычный 16 2 3 3" xfId="4198"/>
    <cellStyle name="Обычный 16 2 4" xfId="736"/>
    <cellStyle name="Обычный 16 2 4 2" xfId="3695"/>
    <cellStyle name="Обычный 16 2 5" xfId="1807"/>
    <cellStyle name="Обычный 16 2 5 2" xfId="4754"/>
    <cellStyle name="Обычный 16 2 6" xfId="3186"/>
    <cellStyle name="Обычный 16 3" xfId="175"/>
    <cellStyle name="Обычный 16 3 2" xfId="476"/>
    <cellStyle name="Обычный 16 3 2 2" xfId="1511"/>
    <cellStyle name="Обычный 16 3 2 2 2" xfId="2589"/>
    <cellStyle name="Обычный 16 3 2 2 2 2" xfId="5536"/>
    <cellStyle name="Обычный 16 3 2 2 3" xfId="4458"/>
    <cellStyle name="Обычный 16 3 2 3" xfId="991"/>
    <cellStyle name="Обычный 16 3 2 3 2" xfId="3940"/>
    <cellStyle name="Обычный 16 3 2 4" xfId="2066"/>
    <cellStyle name="Обычный 16 3 2 4 2" xfId="5013"/>
    <cellStyle name="Обычный 16 3 2 5" xfId="3445"/>
    <cellStyle name="Обычный 16 3 3" xfId="1252"/>
    <cellStyle name="Обычный 16 3 3 2" xfId="2330"/>
    <cellStyle name="Обычный 16 3 3 2 2" xfId="5277"/>
    <cellStyle name="Обычный 16 3 3 3" xfId="4199"/>
    <cellStyle name="Обычный 16 3 4" xfId="737"/>
    <cellStyle name="Обычный 16 3 4 2" xfId="3696"/>
    <cellStyle name="Обычный 16 3 5" xfId="1808"/>
    <cellStyle name="Обычный 16 3 5 2" xfId="4755"/>
    <cellStyle name="Обычный 16 3 6" xfId="3187"/>
    <cellStyle name="Обычный 16 4" xfId="176"/>
    <cellStyle name="Обычный 16 5" xfId="474"/>
    <cellStyle name="Обычный 16 5 2" xfId="1509"/>
    <cellStyle name="Обычный 16 5 2 2" xfId="2587"/>
    <cellStyle name="Обычный 16 5 2 2 2" xfId="5534"/>
    <cellStyle name="Обычный 16 5 2 3" xfId="4456"/>
    <cellStyle name="Обычный 16 5 3" xfId="989"/>
    <cellStyle name="Обычный 16 5 3 2" xfId="3938"/>
    <cellStyle name="Обычный 16 5 4" xfId="2064"/>
    <cellStyle name="Обычный 16 5 4 2" xfId="5011"/>
    <cellStyle name="Обычный 16 5 5" xfId="3443"/>
    <cellStyle name="Обычный 16 6" xfId="1250"/>
    <cellStyle name="Обычный 16 6 2" xfId="2328"/>
    <cellStyle name="Обычный 16 6 2 2" xfId="5275"/>
    <cellStyle name="Обычный 16 6 3" xfId="4197"/>
    <cellStyle name="Обычный 16 7" xfId="735"/>
    <cellStyle name="Обычный 16 7 2" xfId="3694"/>
    <cellStyle name="Обычный 16 8" xfId="1806"/>
    <cellStyle name="Обычный 16 8 2" xfId="4753"/>
    <cellStyle name="Обычный 16 9" xfId="3185"/>
    <cellStyle name="Обычный 17" xfId="177"/>
    <cellStyle name="Обычный 17 2" xfId="178"/>
    <cellStyle name="Обычный 17 2 2" xfId="179"/>
    <cellStyle name="Обычный 17 2 3" xfId="180"/>
    <cellStyle name="Обычный 17 3" xfId="181"/>
    <cellStyle name="Обычный 17 3 2" xfId="478"/>
    <cellStyle name="Обычный 17 3 2 2" xfId="1513"/>
    <cellStyle name="Обычный 17 3 2 2 2" xfId="2591"/>
    <cellStyle name="Обычный 17 3 2 2 2 2" xfId="5538"/>
    <cellStyle name="Обычный 17 3 2 2 3" xfId="4460"/>
    <cellStyle name="Обычный 17 3 2 3" xfId="993"/>
    <cellStyle name="Обычный 17 3 2 3 2" xfId="3942"/>
    <cellStyle name="Обычный 17 3 2 4" xfId="2068"/>
    <cellStyle name="Обычный 17 3 2 4 2" xfId="5015"/>
    <cellStyle name="Обычный 17 3 2 5" xfId="3447"/>
    <cellStyle name="Обычный 17 3 3" xfId="1254"/>
    <cellStyle name="Обычный 17 3 3 2" xfId="2332"/>
    <cellStyle name="Обычный 17 3 3 2 2" xfId="5279"/>
    <cellStyle name="Обычный 17 3 3 3" xfId="4201"/>
    <cellStyle name="Обычный 17 3 4" xfId="739"/>
    <cellStyle name="Обычный 17 3 4 2" xfId="3698"/>
    <cellStyle name="Обычный 17 3 5" xfId="1810"/>
    <cellStyle name="Обычный 17 3 5 2" xfId="4757"/>
    <cellStyle name="Обычный 17 3 6" xfId="3189"/>
    <cellStyle name="Обычный 17 4" xfId="182"/>
    <cellStyle name="Обычный 17 4 2" xfId="479"/>
    <cellStyle name="Обычный 17 4 2 2" xfId="1514"/>
    <cellStyle name="Обычный 17 4 2 2 2" xfId="2592"/>
    <cellStyle name="Обычный 17 4 2 2 2 2" xfId="5539"/>
    <cellStyle name="Обычный 17 4 2 2 3" xfId="4461"/>
    <cellStyle name="Обычный 17 4 2 3" xfId="994"/>
    <cellStyle name="Обычный 17 4 2 3 2" xfId="3943"/>
    <cellStyle name="Обычный 17 4 2 4" xfId="2069"/>
    <cellStyle name="Обычный 17 4 2 4 2" xfId="5016"/>
    <cellStyle name="Обычный 17 4 2 5" xfId="3448"/>
    <cellStyle name="Обычный 17 4 3" xfId="1255"/>
    <cellStyle name="Обычный 17 4 3 2" xfId="2333"/>
    <cellStyle name="Обычный 17 4 3 2 2" xfId="5280"/>
    <cellStyle name="Обычный 17 4 3 3" xfId="4202"/>
    <cellStyle name="Обычный 17 4 4" xfId="740"/>
    <cellStyle name="Обычный 17 4 4 2" xfId="3699"/>
    <cellStyle name="Обычный 17 4 5" xfId="1811"/>
    <cellStyle name="Обычный 17 4 5 2" xfId="4758"/>
    <cellStyle name="Обычный 17 4 6" xfId="3190"/>
    <cellStyle name="Обычный 17 5" xfId="477"/>
    <cellStyle name="Обычный 17 5 2" xfId="1512"/>
    <cellStyle name="Обычный 17 5 2 2" xfId="2590"/>
    <cellStyle name="Обычный 17 5 2 2 2" xfId="5537"/>
    <cellStyle name="Обычный 17 5 2 3" xfId="4459"/>
    <cellStyle name="Обычный 17 5 3" xfId="992"/>
    <cellStyle name="Обычный 17 5 3 2" xfId="3941"/>
    <cellStyle name="Обычный 17 5 4" xfId="2067"/>
    <cellStyle name="Обычный 17 5 4 2" xfId="5014"/>
    <cellStyle name="Обычный 17 5 5" xfId="3446"/>
    <cellStyle name="Обычный 17 6" xfId="1253"/>
    <cellStyle name="Обычный 17 6 2" xfId="2331"/>
    <cellStyle name="Обычный 17 6 2 2" xfId="5278"/>
    <cellStyle name="Обычный 17 6 3" xfId="4200"/>
    <cellStyle name="Обычный 17 7" xfId="738"/>
    <cellStyle name="Обычный 17 7 2" xfId="3697"/>
    <cellStyle name="Обычный 17 8" xfId="1809"/>
    <cellStyle name="Обычный 17 8 2" xfId="4756"/>
    <cellStyle name="Обычный 17 9" xfId="3188"/>
    <cellStyle name="Обычный 18" xfId="183"/>
    <cellStyle name="Обычный 19" xfId="184"/>
    <cellStyle name="Обычный 19 2" xfId="185"/>
    <cellStyle name="Обычный 19 2 2" xfId="186"/>
    <cellStyle name="Обычный 19 2 2 2" xfId="482"/>
    <cellStyle name="Обычный 19 2 2 2 2" xfId="1517"/>
    <cellStyle name="Обычный 19 2 2 2 2 2" xfId="2595"/>
    <cellStyle name="Обычный 19 2 2 2 2 2 2" xfId="5542"/>
    <cellStyle name="Обычный 19 2 2 2 2 3" xfId="4464"/>
    <cellStyle name="Обычный 19 2 2 2 3" xfId="997"/>
    <cellStyle name="Обычный 19 2 2 2 3 2" xfId="3946"/>
    <cellStyle name="Обычный 19 2 2 2 4" xfId="2072"/>
    <cellStyle name="Обычный 19 2 2 2 4 2" xfId="5019"/>
    <cellStyle name="Обычный 19 2 2 2 5" xfId="3451"/>
    <cellStyle name="Обычный 19 2 2 3" xfId="1258"/>
    <cellStyle name="Обычный 19 2 2 3 2" xfId="2336"/>
    <cellStyle name="Обычный 19 2 2 3 2 2" xfId="5283"/>
    <cellStyle name="Обычный 19 2 2 3 3" xfId="4205"/>
    <cellStyle name="Обычный 19 2 2 4" xfId="743"/>
    <cellStyle name="Обычный 19 2 2 4 2" xfId="3702"/>
    <cellStyle name="Обычный 19 2 2 5" xfId="1814"/>
    <cellStyle name="Обычный 19 2 2 5 2" xfId="4761"/>
    <cellStyle name="Обычный 19 2 2 6" xfId="3193"/>
    <cellStyle name="Обычный 19 2 3" xfId="187"/>
    <cellStyle name="Обычный 19 2 3 2" xfId="483"/>
    <cellStyle name="Обычный 19 2 3 2 2" xfId="1518"/>
    <cellStyle name="Обычный 19 2 3 2 2 2" xfId="2596"/>
    <cellStyle name="Обычный 19 2 3 2 2 2 2" xfId="5543"/>
    <cellStyle name="Обычный 19 2 3 2 2 3" xfId="4465"/>
    <cellStyle name="Обычный 19 2 3 2 3" xfId="998"/>
    <cellStyle name="Обычный 19 2 3 2 3 2" xfId="3947"/>
    <cellStyle name="Обычный 19 2 3 2 4" xfId="2073"/>
    <cellStyle name="Обычный 19 2 3 2 4 2" xfId="5020"/>
    <cellStyle name="Обычный 19 2 3 2 5" xfId="3452"/>
    <cellStyle name="Обычный 19 2 3 3" xfId="1259"/>
    <cellStyle name="Обычный 19 2 3 3 2" xfId="2337"/>
    <cellStyle name="Обычный 19 2 3 3 2 2" xfId="5284"/>
    <cellStyle name="Обычный 19 2 3 3 3" xfId="4206"/>
    <cellStyle name="Обычный 19 2 3 4" xfId="744"/>
    <cellStyle name="Обычный 19 2 3 4 2" xfId="3703"/>
    <cellStyle name="Обычный 19 2 3 5" xfId="1815"/>
    <cellStyle name="Обычный 19 2 3 5 2" xfId="4762"/>
    <cellStyle name="Обычный 19 2 3 6" xfId="3194"/>
    <cellStyle name="Обычный 19 2 4" xfId="481"/>
    <cellStyle name="Обычный 19 2 4 2" xfId="1516"/>
    <cellStyle name="Обычный 19 2 4 2 2" xfId="2594"/>
    <cellStyle name="Обычный 19 2 4 2 2 2" xfId="5541"/>
    <cellStyle name="Обычный 19 2 4 2 3" xfId="4463"/>
    <cellStyle name="Обычный 19 2 4 3" xfId="996"/>
    <cellStyle name="Обычный 19 2 4 3 2" xfId="3945"/>
    <cellStyle name="Обычный 19 2 4 4" xfId="2071"/>
    <cellStyle name="Обычный 19 2 4 4 2" xfId="5018"/>
    <cellStyle name="Обычный 19 2 4 5" xfId="3450"/>
    <cellStyle name="Обычный 19 2 5" xfId="1257"/>
    <cellStyle name="Обычный 19 2 5 2" xfId="2335"/>
    <cellStyle name="Обычный 19 2 5 2 2" xfId="5282"/>
    <cellStyle name="Обычный 19 2 5 3" xfId="4204"/>
    <cellStyle name="Обычный 19 2 6" xfId="742"/>
    <cellStyle name="Обычный 19 2 6 2" xfId="3701"/>
    <cellStyle name="Обычный 19 2 7" xfId="1813"/>
    <cellStyle name="Обычный 19 2 7 2" xfId="4760"/>
    <cellStyle name="Обычный 19 2 8" xfId="3192"/>
    <cellStyle name="Обычный 19 3" xfId="188"/>
    <cellStyle name="Обычный 19 3 2" xfId="484"/>
    <cellStyle name="Обычный 19 3 2 2" xfId="1519"/>
    <cellStyle name="Обычный 19 3 2 2 2" xfId="2597"/>
    <cellStyle name="Обычный 19 3 2 2 2 2" xfId="5544"/>
    <cellStyle name="Обычный 19 3 2 2 3" xfId="4466"/>
    <cellStyle name="Обычный 19 3 2 3" xfId="999"/>
    <cellStyle name="Обычный 19 3 2 3 2" xfId="3948"/>
    <cellStyle name="Обычный 19 3 2 4" xfId="2074"/>
    <cellStyle name="Обычный 19 3 2 4 2" xfId="5021"/>
    <cellStyle name="Обычный 19 3 2 5" xfId="3453"/>
    <cellStyle name="Обычный 19 3 3" xfId="1260"/>
    <cellStyle name="Обычный 19 3 3 2" xfId="2338"/>
    <cellStyle name="Обычный 19 3 3 2 2" xfId="5285"/>
    <cellStyle name="Обычный 19 3 3 3" xfId="4207"/>
    <cellStyle name="Обычный 19 3 4" xfId="745"/>
    <cellStyle name="Обычный 19 3 4 2" xfId="3704"/>
    <cellStyle name="Обычный 19 3 5" xfId="1816"/>
    <cellStyle name="Обычный 19 3 5 2" xfId="4763"/>
    <cellStyle name="Обычный 19 3 6" xfId="3195"/>
    <cellStyle name="Обычный 19 4" xfId="189"/>
    <cellStyle name="Обычный 19 4 2" xfId="485"/>
    <cellStyle name="Обычный 19 4 2 2" xfId="1520"/>
    <cellStyle name="Обычный 19 4 2 2 2" xfId="2598"/>
    <cellStyle name="Обычный 19 4 2 2 2 2" xfId="5545"/>
    <cellStyle name="Обычный 19 4 2 2 3" xfId="4467"/>
    <cellStyle name="Обычный 19 4 2 3" xfId="1000"/>
    <cellStyle name="Обычный 19 4 2 3 2" xfId="3949"/>
    <cellStyle name="Обычный 19 4 2 4" xfId="2075"/>
    <cellStyle name="Обычный 19 4 2 4 2" xfId="5022"/>
    <cellStyle name="Обычный 19 4 2 5" xfId="3454"/>
    <cellStyle name="Обычный 19 4 3" xfId="1261"/>
    <cellStyle name="Обычный 19 4 3 2" xfId="2339"/>
    <cellStyle name="Обычный 19 4 3 2 2" xfId="5286"/>
    <cellStyle name="Обычный 19 4 3 3" xfId="4208"/>
    <cellStyle name="Обычный 19 4 4" xfId="746"/>
    <cellStyle name="Обычный 19 4 4 2" xfId="3705"/>
    <cellStyle name="Обычный 19 4 5" xfId="1817"/>
    <cellStyle name="Обычный 19 4 5 2" xfId="4764"/>
    <cellStyle name="Обычный 19 4 6" xfId="3196"/>
    <cellStyle name="Обычный 19 5" xfId="480"/>
    <cellStyle name="Обычный 19 5 2" xfId="1515"/>
    <cellStyle name="Обычный 19 5 2 2" xfId="2593"/>
    <cellStyle name="Обычный 19 5 2 2 2" xfId="5540"/>
    <cellStyle name="Обычный 19 5 2 3" xfId="4462"/>
    <cellStyle name="Обычный 19 5 3" xfId="995"/>
    <cellStyle name="Обычный 19 5 3 2" xfId="3944"/>
    <cellStyle name="Обычный 19 5 4" xfId="2070"/>
    <cellStyle name="Обычный 19 5 4 2" xfId="5017"/>
    <cellStyle name="Обычный 19 5 5" xfId="3449"/>
    <cellStyle name="Обычный 19 6" xfId="1256"/>
    <cellStyle name="Обычный 19 6 2" xfId="2334"/>
    <cellStyle name="Обычный 19 6 2 2" xfId="5281"/>
    <cellStyle name="Обычный 19 6 3" xfId="4203"/>
    <cellStyle name="Обычный 19 7" xfId="741"/>
    <cellStyle name="Обычный 19 7 2" xfId="3700"/>
    <cellStyle name="Обычный 19 8" xfId="1812"/>
    <cellStyle name="Обычный 19 8 2" xfId="4759"/>
    <cellStyle name="Обычный 19 9" xfId="3191"/>
    <cellStyle name="Обычный 2" xfId="16"/>
    <cellStyle name="Обычный 2 2" xfId="3"/>
    <cellStyle name="Обычный 2 2 10" xfId="190"/>
    <cellStyle name="Обычный 2 2 10 2" xfId="486"/>
    <cellStyle name="Обычный 2 2 10 2 2" xfId="1521"/>
    <cellStyle name="Обычный 2 2 10 2 2 2" xfId="2599"/>
    <cellStyle name="Обычный 2 2 10 2 2 2 2" xfId="5546"/>
    <cellStyle name="Обычный 2 2 10 2 2 3" xfId="4468"/>
    <cellStyle name="Обычный 2 2 10 2 3" xfId="1001"/>
    <cellStyle name="Обычный 2 2 10 2 3 2" xfId="3950"/>
    <cellStyle name="Обычный 2 2 10 2 4" xfId="2076"/>
    <cellStyle name="Обычный 2 2 10 2 4 2" xfId="5023"/>
    <cellStyle name="Обычный 2 2 10 2 5" xfId="3455"/>
    <cellStyle name="Обычный 2 2 10 3" xfId="1262"/>
    <cellStyle name="Обычный 2 2 10 3 2" xfId="2340"/>
    <cellStyle name="Обычный 2 2 10 3 2 2" xfId="5287"/>
    <cellStyle name="Обычный 2 2 10 3 3" xfId="4209"/>
    <cellStyle name="Обычный 2 2 10 4" xfId="747"/>
    <cellStyle name="Обычный 2 2 10 4 2" xfId="3706"/>
    <cellStyle name="Обычный 2 2 10 5" xfId="1818"/>
    <cellStyle name="Обычный 2 2 10 5 2" xfId="4765"/>
    <cellStyle name="Обычный 2 2 10 6" xfId="3197"/>
    <cellStyle name="Обычный 2 2 11" xfId="3086"/>
    <cellStyle name="Обычный 2 2 11 2" xfId="6027"/>
    <cellStyle name="Обычный 2 2 11 2 2" xfId="6047"/>
    <cellStyle name="Обычный 2 2 12" xfId="6037"/>
    <cellStyle name="Обычный 2 2 2" xfId="191"/>
    <cellStyle name="Обычный 2 2 2 10" xfId="3198"/>
    <cellStyle name="Обычный 2 2 2 2" xfId="192"/>
    <cellStyle name="Обычный 2 2 2 2 2" xfId="193"/>
    <cellStyle name="Обычный 2 2 2 2 2 2" xfId="488"/>
    <cellStyle name="Обычный 2 2 2 2 2 2 2" xfId="1523"/>
    <cellStyle name="Обычный 2 2 2 2 2 2 2 2" xfId="2601"/>
    <cellStyle name="Обычный 2 2 2 2 2 2 2 2 2" xfId="5548"/>
    <cellStyle name="Обычный 2 2 2 2 2 2 2 3" xfId="4470"/>
    <cellStyle name="Обычный 2 2 2 2 2 2 3" xfId="1003"/>
    <cellStyle name="Обычный 2 2 2 2 2 2 3 2" xfId="3952"/>
    <cellStyle name="Обычный 2 2 2 2 2 2 4" xfId="2078"/>
    <cellStyle name="Обычный 2 2 2 2 2 2 4 2" xfId="5025"/>
    <cellStyle name="Обычный 2 2 2 2 2 2 5" xfId="3457"/>
    <cellStyle name="Обычный 2 2 2 2 2 3" xfId="1264"/>
    <cellStyle name="Обычный 2 2 2 2 2 3 2" xfId="2342"/>
    <cellStyle name="Обычный 2 2 2 2 2 3 2 2" xfId="5289"/>
    <cellStyle name="Обычный 2 2 2 2 2 3 3" xfId="4211"/>
    <cellStyle name="Обычный 2 2 2 2 2 4" xfId="749"/>
    <cellStyle name="Обычный 2 2 2 2 2 4 2" xfId="3708"/>
    <cellStyle name="Обычный 2 2 2 2 2 5" xfId="1820"/>
    <cellStyle name="Обычный 2 2 2 2 2 5 2" xfId="4767"/>
    <cellStyle name="Обычный 2 2 2 2 2 6" xfId="3199"/>
    <cellStyle name="Обычный 2 2 2 3" xfId="194"/>
    <cellStyle name="Обычный 2 2 2 3 2" xfId="489"/>
    <cellStyle name="Обычный 2 2 2 3 2 2" xfId="1524"/>
    <cellStyle name="Обычный 2 2 2 3 2 2 2" xfId="2602"/>
    <cellStyle name="Обычный 2 2 2 3 2 2 2 2" xfId="5549"/>
    <cellStyle name="Обычный 2 2 2 3 2 2 3" xfId="4471"/>
    <cellStyle name="Обычный 2 2 2 3 2 3" xfId="1004"/>
    <cellStyle name="Обычный 2 2 2 3 2 3 2" xfId="3953"/>
    <cellStyle name="Обычный 2 2 2 3 2 4" xfId="2079"/>
    <cellStyle name="Обычный 2 2 2 3 2 4 2" xfId="5026"/>
    <cellStyle name="Обычный 2 2 2 3 2 5" xfId="3458"/>
    <cellStyle name="Обычный 2 2 2 3 3" xfId="1265"/>
    <cellStyle name="Обычный 2 2 2 3 3 2" xfId="2343"/>
    <cellStyle name="Обычный 2 2 2 3 3 2 2" xfId="5290"/>
    <cellStyle name="Обычный 2 2 2 3 3 3" xfId="4212"/>
    <cellStyle name="Обычный 2 2 2 3 4" xfId="750"/>
    <cellStyle name="Обычный 2 2 2 3 4 2" xfId="3709"/>
    <cellStyle name="Обычный 2 2 2 3 5" xfId="1821"/>
    <cellStyle name="Обычный 2 2 2 3 5 2" xfId="4768"/>
    <cellStyle name="Обычный 2 2 2 3 6" xfId="3200"/>
    <cellStyle name="Обычный 2 2 2 4" xfId="195"/>
    <cellStyle name="Обычный 2 2 2 4 2" xfId="490"/>
    <cellStyle name="Обычный 2 2 2 4 2 2" xfId="1525"/>
    <cellStyle name="Обычный 2 2 2 4 2 2 2" xfId="2603"/>
    <cellStyle name="Обычный 2 2 2 4 2 2 2 2" xfId="5550"/>
    <cellStyle name="Обычный 2 2 2 4 2 2 3" xfId="4472"/>
    <cellStyle name="Обычный 2 2 2 4 2 3" xfId="1005"/>
    <cellStyle name="Обычный 2 2 2 4 2 3 2" xfId="3954"/>
    <cellStyle name="Обычный 2 2 2 4 2 4" xfId="2080"/>
    <cellStyle name="Обычный 2 2 2 4 2 4 2" xfId="5027"/>
    <cellStyle name="Обычный 2 2 2 4 2 5" xfId="3459"/>
    <cellStyle name="Обычный 2 2 2 4 3" xfId="1266"/>
    <cellStyle name="Обычный 2 2 2 4 3 2" xfId="2344"/>
    <cellStyle name="Обычный 2 2 2 4 3 2 2" xfId="5291"/>
    <cellStyle name="Обычный 2 2 2 4 3 3" xfId="4213"/>
    <cellStyle name="Обычный 2 2 2 4 4" xfId="751"/>
    <cellStyle name="Обычный 2 2 2 4 4 2" xfId="3710"/>
    <cellStyle name="Обычный 2 2 2 4 5" xfId="1822"/>
    <cellStyle name="Обычный 2 2 2 4 5 2" xfId="4769"/>
    <cellStyle name="Обычный 2 2 2 4 6" xfId="3201"/>
    <cellStyle name="Обычный 2 2 2 5" xfId="196"/>
    <cellStyle name="Обычный 2 2 2 5 2" xfId="491"/>
    <cellStyle name="Обычный 2 2 2 5 2 2" xfId="1526"/>
    <cellStyle name="Обычный 2 2 2 5 2 2 2" xfId="2604"/>
    <cellStyle name="Обычный 2 2 2 5 2 2 2 2" xfId="5551"/>
    <cellStyle name="Обычный 2 2 2 5 2 2 3" xfId="4473"/>
    <cellStyle name="Обычный 2 2 2 5 2 3" xfId="1006"/>
    <cellStyle name="Обычный 2 2 2 5 2 3 2" xfId="3955"/>
    <cellStyle name="Обычный 2 2 2 5 2 4" xfId="2081"/>
    <cellStyle name="Обычный 2 2 2 5 2 4 2" xfId="5028"/>
    <cellStyle name="Обычный 2 2 2 5 2 5" xfId="3460"/>
    <cellStyle name="Обычный 2 2 2 5 3" xfId="1267"/>
    <cellStyle name="Обычный 2 2 2 5 3 2" xfId="2345"/>
    <cellStyle name="Обычный 2 2 2 5 3 2 2" xfId="5292"/>
    <cellStyle name="Обычный 2 2 2 5 3 3" xfId="4214"/>
    <cellStyle name="Обычный 2 2 2 5 4" xfId="752"/>
    <cellStyle name="Обычный 2 2 2 5 4 2" xfId="3711"/>
    <cellStyle name="Обычный 2 2 2 5 5" xfId="1823"/>
    <cellStyle name="Обычный 2 2 2 5 5 2" xfId="4770"/>
    <cellStyle name="Обычный 2 2 2 5 6" xfId="3202"/>
    <cellStyle name="Обычный 2 2 2 6" xfId="487"/>
    <cellStyle name="Обычный 2 2 2 6 2" xfId="1522"/>
    <cellStyle name="Обычный 2 2 2 6 2 2" xfId="2600"/>
    <cellStyle name="Обычный 2 2 2 6 2 2 2" xfId="5547"/>
    <cellStyle name="Обычный 2 2 2 6 2 3" xfId="4469"/>
    <cellStyle name="Обычный 2 2 2 6 3" xfId="1002"/>
    <cellStyle name="Обычный 2 2 2 6 3 2" xfId="3951"/>
    <cellStyle name="Обычный 2 2 2 6 4" xfId="2077"/>
    <cellStyle name="Обычный 2 2 2 6 4 2" xfId="5024"/>
    <cellStyle name="Обычный 2 2 2 6 5" xfId="3456"/>
    <cellStyle name="Обычный 2 2 2 7" xfId="1263"/>
    <cellStyle name="Обычный 2 2 2 7 2" xfId="2341"/>
    <cellStyle name="Обычный 2 2 2 7 2 2" xfId="5288"/>
    <cellStyle name="Обычный 2 2 2 7 3" xfId="4210"/>
    <cellStyle name="Обычный 2 2 2 8" xfId="748"/>
    <cellStyle name="Обычный 2 2 2 8 2" xfId="3707"/>
    <cellStyle name="Обычный 2 2 2 9" xfId="1819"/>
    <cellStyle name="Обычный 2 2 2 9 2" xfId="4766"/>
    <cellStyle name="Обычный 2 2 3" xfId="197"/>
    <cellStyle name="Обычный 2 2 3 10" xfId="1824"/>
    <cellStyle name="Обычный 2 2 3 10 2" xfId="4771"/>
    <cellStyle name="Обычный 2 2 3 11" xfId="3203"/>
    <cellStyle name="Обычный 2 2 3 2" xfId="198"/>
    <cellStyle name="Обычный 2 2 3 2 2" xfId="493"/>
    <cellStyle name="Обычный 2 2 3 2 2 2" xfId="1528"/>
    <cellStyle name="Обычный 2 2 3 2 2 2 2" xfId="2606"/>
    <cellStyle name="Обычный 2 2 3 2 2 2 2 2" xfId="5553"/>
    <cellStyle name="Обычный 2 2 3 2 2 2 3" xfId="4475"/>
    <cellStyle name="Обычный 2 2 3 2 2 3" xfId="1008"/>
    <cellStyle name="Обычный 2 2 3 2 2 3 2" xfId="3957"/>
    <cellStyle name="Обычный 2 2 3 2 2 4" xfId="2083"/>
    <cellStyle name="Обычный 2 2 3 2 2 4 2" xfId="5030"/>
    <cellStyle name="Обычный 2 2 3 2 2 5" xfId="3462"/>
    <cellStyle name="Обычный 2 2 3 2 3" xfId="1269"/>
    <cellStyle name="Обычный 2 2 3 2 3 2" xfId="2347"/>
    <cellStyle name="Обычный 2 2 3 2 3 2 2" xfId="5294"/>
    <cellStyle name="Обычный 2 2 3 2 3 3" xfId="4216"/>
    <cellStyle name="Обычный 2 2 3 2 4" xfId="754"/>
    <cellStyle name="Обычный 2 2 3 2 4 2" xfId="3713"/>
    <cellStyle name="Обычный 2 2 3 2 5" xfId="1825"/>
    <cellStyle name="Обычный 2 2 3 2 5 2" xfId="4772"/>
    <cellStyle name="Обычный 2 2 3 2 6" xfId="3204"/>
    <cellStyle name="Обычный 2 2 3 3" xfId="199"/>
    <cellStyle name="Обычный 2 2 3 3 2" xfId="494"/>
    <cellStyle name="Обычный 2 2 3 3 2 2" xfId="1529"/>
    <cellStyle name="Обычный 2 2 3 3 2 2 2" xfId="2607"/>
    <cellStyle name="Обычный 2 2 3 3 2 2 2 2" xfId="5554"/>
    <cellStyle name="Обычный 2 2 3 3 2 2 3" xfId="4476"/>
    <cellStyle name="Обычный 2 2 3 3 2 3" xfId="1009"/>
    <cellStyle name="Обычный 2 2 3 3 2 3 2" xfId="3958"/>
    <cellStyle name="Обычный 2 2 3 3 2 4" xfId="2084"/>
    <cellStyle name="Обычный 2 2 3 3 2 4 2" xfId="5031"/>
    <cellStyle name="Обычный 2 2 3 3 2 5" xfId="3463"/>
    <cellStyle name="Обычный 2 2 3 3 3" xfId="1270"/>
    <cellStyle name="Обычный 2 2 3 3 3 2" xfId="2348"/>
    <cellStyle name="Обычный 2 2 3 3 3 2 2" xfId="5295"/>
    <cellStyle name="Обычный 2 2 3 3 3 3" xfId="4217"/>
    <cellStyle name="Обычный 2 2 3 3 4" xfId="755"/>
    <cellStyle name="Обычный 2 2 3 3 4 2" xfId="3714"/>
    <cellStyle name="Обычный 2 2 3 3 5" xfId="1826"/>
    <cellStyle name="Обычный 2 2 3 3 5 2" xfId="4773"/>
    <cellStyle name="Обычный 2 2 3 3 6" xfId="3205"/>
    <cellStyle name="Обычный 2 2 3 4" xfId="200"/>
    <cellStyle name="Обычный 2 2 3 4 2" xfId="495"/>
    <cellStyle name="Обычный 2 2 3 4 2 2" xfId="1530"/>
    <cellStyle name="Обычный 2 2 3 4 2 2 2" xfId="2608"/>
    <cellStyle name="Обычный 2 2 3 4 2 2 2 2" xfId="5555"/>
    <cellStyle name="Обычный 2 2 3 4 2 2 3" xfId="4477"/>
    <cellStyle name="Обычный 2 2 3 4 2 3" xfId="1010"/>
    <cellStyle name="Обычный 2 2 3 4 2 3 2" xfId="3959"/>
    <cellStyle name="Обычный 2 2 3 4 2 4" xfId="2085"/>
    <cellStyle name="Обычный 2 2 3 4 2 4 2" xfId="5032"/>
    <cellStyle name="Обычный 2 2 3 4 2 5" xfId="3464"/>
    <cellStyle name="Обычный 2 2 3 4 3" xfId="1271"/>
    <cellStyle name="Обычный 2 2 3 4 3 2" xfId="2349"/>
    <cellStyle name="Обычный 2 2 3 4 3 2 2" xfId="5296"/>
    <cellStyle name="Обычный 2 2 3 4 3 3" xfId="4218"/>
    <cellStyle name="Обычный 2 2 3 4 4" xfId="756"/>
    <cellStyle name="Обычный 2 2 3 4 4 2" xfId="3715"/>
    <cellStyle name="Обычный 2 2 3 4 5" xfId="1827"/>
    <cellStyle name="Обычный 2 2 3 4 5 2" xfId="4774"/>
    <cellStyle name="Обычный 2 2 3 4 6" xfId="3206"/>
    <cellStyle name="Обычный 2 2 3 5" xfId="201"/>
    <cellStyle name="Обычный 2 2 3 5 2" xfId="496"/>
    <cellStyle name="Обычный 2 2 3 5 2 2" xfId="1531"/>
    <cellStyle name="Обычный 2 2 3 5 2 2 2" xfId="2609"/>
    <cellStyle name="Обычный 2 2 3 5 2 2 2 2" xfId="5556"/>
    <cellStyle name="Обычный 2 2 3 5 2 2 3" xfId="4478"/>
    <cellStyle name="Обычный 2 2 3 5 2 3" xfId="1011"/>
    <cellStyle name="Обычный 2 2 3 5 2 3 2" xfId="3960"/>
    <cellStyle name="Обычный 2 2 3 5 2 4" xfId="2086"/>
    <cellStyle name="Обычный 2 2 3 5 2 4 2" xfId="5033"/>
    <cellStyle name="Обычный 2 2 3 5 2 5" xfId="3465"/>
    <cellStyle name="Обычный 2 2 3 5 3" xfId="1272"/>
    <cellStyle name="Обычный 2 2 3 5 3 2" xfId="2350"/>
    <cellStyle name="Обычный 2 2 3 5 3 2 2" xfId="5297"/>
    <cellStyle name="Обычный 2 2 3 5 3 3" xfId="4219"/>
    <cellStyle name="Обычный 2 2 3 5 4" xfId="757"/>
    <cellStyle name="Обычный 2 2 3 5 4 2" xfId="3716"/>
    <cellStyle name="Обычный 2 2 3 5 5" xfId="1828"/>
    <cellStyle name="Обычный 2 2 3 5 5 2" xfId="4775"/>
    <cellStyle name="Обычный 2 2 3 5 6" xfId="3207"/>
    <cellStyle name="Обычный 2 2 3 6" xfId="202"/>
    <cellStyle name="Обычный 2 2 3 6 2" xfId="497"/>
    <cellStyle name="Обычный 2 2 3 6 2 2" xfId="1532"/>
    <cellStyle name="Обычный 2 2 3 6 2 2 2" xfId="2610"/>
    <cellStyle name="Обычный 2 2 3 6 2 2 2 2" xfId="5557"/>
    <cellStyle name="Обычный 2 2 3 6 2 2 3" xfId="4479"/>
    <cellStyle name="Обычный 2 2 3 6 2 3" xfId="1012"/>
    <cellStyle name="Обычный 2 2 3 6 2 3 2" xfId="3961"/>
    <cellStyle name="Обычный 2 2 3 6 2 4" xfId="2087"/>
    <cellStyle name="Обычный 2 2 3 6 2 4 2" xfId="5034"/>
    <cellStyle name="Обычный 2 2 3 6 2 5" xfId="3466"/>
    <cellStyle name="Обычный 2 2 3 6 3" xfId="1273"/>
    <cellStyle name="Обычный 2 2 3 6 3 2" xfId="2351"/>
    <cellStyle name="Обычный 2 2 3 6 3 2 2" xfId="5298"/>
    <cellStyle name="Обычный 2 2 3 6 3 3" xfId="4220"/>
    <cellStyle name="Обычный 2 2 3 6 4" xfId="758"/>
    <cellStyle name="Обычный 2 2 3 6 4 2" xfId="3717"/>
    <cellStyle name="Обычный 2 2 3 6 5" xfId="1829"/>
    <cellStyle name="Обычный 2 2 3 6 5 2" xfId="4776"/>
    <cellStyle name="Обычный 2 2 3 6 6" xfId="3208"/>
    <cellStyle name="Обычный 2 2 3 7" xfId="492"/>
    <cellStyle name="Обычный 2 2 3 7 2" xfId="1527"/>
    <cellStyle name="Обычный 2 2 3 7 2 2" xfId="2605"/>
    <cellStyle name="Обычный 2 2 3 7 2 2 2" xfId="5552"/>
    <cellStyle name="Обычный 2 2 3 7 2 3" xfId="4474"/>
    <cellStyle name="Обычный 2 2 3 7 3" xfId="1007"/>
    <cellStyle name="Обычный 2 2 3 7 3 2" xfId="3956"/>
    <cellStyle name="Обычный 2 2 3 7 4" xfId="2082"/>
    <cellStyle name="Обычный 2 2 3 7 4 2" xfId="5029"/>
    <cellStyle name="Обычный 2 2 3 7 5" xfId="3461"/>
    <cellStyle name="Обычный 2 2 3 8" xfId="1268"/>
    <cellStyle name="Обычный 2 2 3 8 2" xfId="2346"/>
    <cellStyle name="Обычный 2 2 3 8 2 2" xfId="5293"/>
    <cellStyle name="Обычный 2 2 3 8 3" xfId="4215"/>
    <cellStyle name="Обычный 2 2 3 9" xfId="753"/>
    <cellStyle name="Обычный 2 2 3 9 2" xfId="3712"/>
    <cellStyle name="Обычный 2 2 4" xfId="203"/>
    <cellStyle name="Обычный 2 2 4 2" xfId="204"/>
    <cellStyle name="Обычный 2 2 4 2 2" xfId="499"/>
    <cellStyle name="Обычный 2 2 4 2 2 2" xfId="1534"/>
    <cellStyle name="Обычный 2 2 4 2 2 2 2" xfId="2612"/>
    <cellStyle name="Обычный 2 2 4 2 2 2 2 2" xfId="5559"/>
    <cellStyle name="Обычный 2 2 4 2 2 2 3" xfId="4481"/>
    <cellStyle name="Обычный 2 2 4 2 2 3" xfId="1014"/>
    <cellStyle name="Обычный 2 2 4 2 2 3 2" xfId="3963"/>
    <cellStyle name="Обычный 2 2 4 2 2 4" xfId="2089"/>
    <cellStyle name="Обычный 2 2 4 2 2 4 2" xfId="5036"/>
    <cellStyle name="Обычный 2 2 4 2 2 5" xfId="3468"/>
    <cellStyle name="Обычный 2 2 4 2 3" xfId="1275"/>
    <cellStyle name="Обычный 2 2 4 2 3 2" xfId="2353"/>
    <cellStyle name="Обычный 2 2 4 2 3 2 2" xfId="5300"/>
    <cellStyle name="Обычный 2 2 4 2 3 3" xfId="4222"/>
    <cellStyle name="Обычный 2 2 4 2 4" xfId="760"/>
    <cellStyle name="Обычный 2 2 4 2 4 2" xfId="3719"/>
    <cellStyle name="Обычный 2 2 4 2 5" xfId="1831"/>
    <cellStyle name="Обычный 2 2 4 2 5 2" xfId="4778"/>
    <cellStyle name="Обычный 2 2 4 2 6" xfId="3210"/>
    <cellStyle name="Обычный 2 2 4 3" xfId="205"/>
    <cellStyle name="Обычный 2 2 4 3 2" xfId="500"/>
    <cellStyle name="Обычный 2 2 4 3 2 2" xfId="1535"/>
    <cellStyle name="Обычный 2 2 4 3 2 2 2" xfId="2613"/>
    <cellStyle name="Обычный 2 2 4 3 2 2 2 2" xfId="5560"/>
    <cellStyle name="Обычный 2 2 4 3 2 2 3" xfId="4482"/>
    <cellStyle name="Обычный 2 2 4 3 2 3" xfId="1015"/>
    <cellStyle name="Обычный 2 2 4 3 2 3 2" xfId="3964"/>
    <cellStyle name="Обычный 2 2 4 3 2 4" xfId="2090"/>
    <cellStyle name="Обычный 2 2 4 3 2 4 2" xfId="5037"/>
    <cellStyle name="Обычный 2 2 4 3 2 5" xfId="3469"/>
    <cellStyle name="Обычный 2 2 4 3 3" xfId="1276"/>
    <cellStyle name="Обычный 2 2 4 3 3 2" xfId="2354"/>
    <cellStyle name="Обычный 2 2 4 3 3 2 2" xfId="5301"/>
    <cellStyle name="Обычный 2 2 4 3 3 3" xfId="4223"/>
    <cellStyle name="Обычный 2 2 4 3 4" xfId="761"/>
    <cellStyle name="Обычный 2 2 4 3 4 2" xfId="3720"/>
    <cellStyle name="Обычный 2 2 4 3 5" xfId="1832"/>
    <cellStyle name="Обычный 2 2 4 3 5 2" xfId="4779"/>
    <cellStyle name="Обычный 2 2 4 3 6" xfId="3211"/>
    <cellStyle name="Обычный 2 2 4 4" xfId="206"/>
    <cellStyle name="Обычный 2 2 4 4 2" xfId="501"/>
    <cellStyle name="Обычный 2 2 4 4 2 2" xfId="1536"/>
    <cellStyle name="Обычный 2 2 4 4 2 2 2" xfId="2614"/>
    <cellStyle name="Обычный 2 2 4 4 2 2 2 2" xfId="5561"/>
    <cellStyle name="Обычный 2 2 4 4 2 2 3" xfId="4483"/>
    <cellStyle name="Обычный 2 2 4 4 2 3" xfId="1016"/>
    <cellStyle name="Обычный 2 2 4 4 2 3 2" xfId="3965"/>
    <cellStyle name="Обычный 2 2 4 4 2 4" xfId="2091"/>
    <cellStyle name="Обычный 2 2 4 4 2 4 2" xfId="5038"/>
    <cellStyle name="Обычный 2 2 4 4 2 5" xfId="3470"/>
    <cellStyle name="Обычный 2 2 4 4 3" xfId="1277"/>
    <cellStyle name="Обычный 2 2 4 4 3 2" xfId="2355"/>
    <cellStyle name="Обычный 2 2 4 4 3 2 2" xfId="5302"/>
    <cellStyle name="Обычный 2 2 4 4 3 3" xfId="4224"/>
    <cellStyle name="Обычный 2 2 4 4 4" xfId="762"/>
    <cellStyle name="Обычный 2 2 4 4 4 2" xfId="3721"/>
    <cellStyle name="Обычный 2 2 4 4 5" xfId="1833"/>
    <cellStyle name="Обычный 2 2 4 4 5 2" xfId="4780"/>
    <cellStyle name="Обычный 2 2 4 4 6" xfId="3212"/>
    <cellStyle name="Обычный 2 2 4 5" xfId="498"/>
    <cellStyle name="Обычный 2 2 4 5 2" xfId="1533"/>
    <cellStyle name="Обычный 2 2 4 5 2 2" xfId="2611"/>
    <cellStyle name="Обычный 2 2 4 5 2 2 2" xfId="5558"/>
    <cellStyle name="Обычный 2 2 4 5 2 3" xfId="4480"/>
    <cellStyle name="Обычный 2 2 4 5 3" xfId="1013"/>
    <cellStyle name="Обычный 2 2 4 5 3 2" xfId="3962"/>
    <cellStyle name="Обычный 2 2 4 5 4" xfId="2088"/>
    <cellStyle name="Обычный 2 2 4 5 4 2" xfId="5035"/>
    <cellStyle name="Обычный 2 2 4 5 5" xfId="3467"/>
    <cellStyle name="Обычный 2 2 4 6" xfId="1274"/>
    <cellStyle name="Обычный 2 2 4 6 2" xfId="2352"/>
    <cellStyle name="Обычный 2 2 4 6 2 2" xfId="5299"/>
    <cellStyle name="Обычный 2 2 4 6 3" xfId="4221"/>
    <cellStyle name="Обычный 2 2 4 7" xfId="759"/>
    <cellStyle name="Обычный 2 2 4 7 2" xfId="3718"/>
    <cellStyle name="Обычный 2 2 4 8" xfId="1830"/>
    <cellStyle name="Обычный 2 2 4 8 2" xfId="4777"/>
    <cellStyle name="Обычный 2 2 4 9" xfId="3209"/>
    <cellStyle name="Обычный 2 2 5" xfId="207"/>
    <cellStyle name="Обычный 2 2 5 2" xfId="208"/>
    <cellStyle name="Обычный 2 2 5 2 2" xfId="503"/>
    <cellStyle name="Обычный 2 2 5 2 2 2" xfId="1538"/>
    <cellStyle name="Обычный 2 2 5 2 2 2 2" xfId="2616"/>
    <cellStyle name="Обычный 2 2 5 2 2 2 2 2" xfId="5563"/>
    <cellStyle name="Обычный 2 2 5 2 2 2 3" xfId="4485"/>
    <cellStyle name="Обычный 2 2 5 2 2 3" xfId="1018"/>
    <cellStyle name="Обычный 2 2 5 2 2 3 2" xfId="3967"/>
    <cellStyle name="Обычный 2 2 5 2 2 4" xfId="2093"/>
    <cellStyle name="Обычный 2 2 5 2 2 4 2" xfId="5040"/>
    <cellStyle name="Обычный 2 2 5 2 2 5" xfId="3472"/>
    <cellStyle name="Обычный 2 2 5 2 3" xfId="1279"/>
    <cellStyle name="Обычный 2 2 5 2 3 2" xfId="2357"/>
    <cellStyle name="Обычный 2 2 5 2 3 2 2" xfId="5304"/>
    <cellStyle name="Обычный 2 2 5 2 3 3" xfId="4226"/>
    <cellStyle name="Обычный 2 2 5 2 4" xfId="764"/>
    <cellStyle name="Обычный 2 2 5 2 4 2" xfId="3723"/>
    <cellStyle name="Обычный 2 2 5 2 5" xfId="1835"/>
    <cellStyle name="Обычный 2 2 5 2 5 2" xfId="4782"/>
    <cellStyle name="Обычный 2 2 5 2 6" xfId="3214"/>
    <cellStyle name="Обычный 2 2 5 3" xfId="209"/>
    <cellStyle name="Обычный 2 2 5 3 2" xfId="504"/>
    <cellStyle name="Обычный 2 2 5 3 2 2" xfId="1539"/>
    <cellStyle name="Обычный 2 2 5 3 2 2 2" xfId="2617"/>
    <cellStyle name="Обычный 2 2 5 3 2 2 2 2" xfId="5564"/>
    <cellStyle name="Обычный 2 2 5 3 2 2 3" xfId="4486"/>
    <cellStyle name="Обычный 2 2 5 3 2 3" xfId="1019"/>
    <cellStyle name="Обычный 2 2 5 3 2 3 2" xfId="3968"/>
    <cellStyle name="Обычный 2 2 5 3 2 4" xfId="2094"/>
    <cellStyle name="Обычный 2 2 5 3 2 4 2" xfId="5041"/>
    <cellStyle name="Обычный 2 2 5 3 2 5" xfId="3473"/>
    <cellStyle name="Обычный 2 2 5 3 3" xfId="1280"/>
    <cellStyle name="Обычный 2 2 5 3 3 2" xfId="2358"/>
    <cellStyle name="Обычный 2 2 5 3 3 2 2" xfId="5305"/>
    <cellStyle name="Обычный 2 2 5 3 3 3" xfId="4227"/>
    <cellStyle name="Обычный 2 2 5 3 4" xfId="765"/>
    <cellStyle name="Обычный 2 2 5 3 4 2" xfId="3724"/>
    <cellStyle name="Обычный 2 2 5 3 5" xfId="1836"/>
    <cellStyle name="Обычный 2 2 5 3 5 2" xfId="4783"/>
    <cellStyle name="Обычный 2 2 5 3 6" xfId="3215"/>
    <cellStyle name="Обычный 2 2 5 4" xfId="502"/>
    <cellStyle name="Обычный 2 2 5 4 2" xfId="1537"/>
    <cellStyle name="Обычный 2 2 5 4 2 2" xfId="2615"/>
    <cellStyle name="Обычный 2 2 5 4 2 2 2" xfId="5562"/>
    <cellStyle name="Обычный 2 2 5 4 2 3" xfId="4484"/>
    <cellStyle name="Обычный 2 2 5 4 3" xfId="1017"/>
    <cellStyle name="Обычный 2 2 5 4 3 2" xfId="3966"/>
    <cellStyle name="Обычный 2 2 5 4 4" xfId="2092"/>
    <cellStyle name="Обычный 2 2 5 4 4 2" xfId="5039"/>
    <cellStyle name="Обычный 2 2 5 4 5" xfId="3471"/>
    <cellStyle name="Обычный 2 2 5 5" xfId="1278"/>
    <cellStyle name="Обычный 2 2 5 5 2" xfId="2356"/>
    <cellStyle name="Обычный 2 2 5 5 2 2" xfId="5303"/>
    <cellStyle name="Обычный 2 2 5 5 3" xfId="4225"/>
    <cellStyle name="Обычный 2 2 5 6" xfId="763"/>
    <cellStyle name="Обычный 2 2 5 6 2" xfId="3722"/>
    <cellStyle name="Обычный 2 2 5 7" xfId="1834"/>
    <cellStyle name="Обычный 2 2 5 7 2" xfId="4781"/>
    <cellStyle name="Обычный 2 2 5 8" xfId="3213"/>
    <cellStyle name="Обычный 2 2 6" xfId="210"/>
    <cellStyle name="Обычный 2 2 6 2" xfId="505"/>
    <cellStyle name="Обычный 2 2 6 2 2" xfId="1540"/>
    <cellStyle name="Обычный 2 2 6 2 2 2" xfId="2618"/>
    <cellStyle name="Обычный 2 2 6 2 2 2 2" xfId="5565"/>
    <cellStyle name="Обычный 2 2 6 2 2 3" xfId="4487"/>
    <cellStyle name="Обычный 2 2 6 2 3" xfId="1020"/>
    <cellStyle name="Обычный 2 2 6 2 3 2" xfId="3969"/>
    <cellStyle name="Обычный 2 2 6 2 4" xfId="2095"/>
    <cellStyle name="Обычный 2 2 6 2 4 2" xfId="5042"/>
    <cellStyle name="Обычный 2 2 6 2 5" xfId="3474"/>
    <cellStyle name="Обычный 2 2 6 3" xfId="1281"/>
    <cellStyle name="Обычный 2 2 6 3 2" xfId="2359"/>
    <cellStyle name="Обычный 2 2 6 3 2 2" xfId="5306"/>
    <cellStyle name="Обычный 2 2 6 3 3" xfId="4228"/>
    <cellStyle name="Обычный 2 2 6 4" xfId="766"/>
    <cellStyle name="Обычный 2 2 6 4 2" xfId="3725"/>
    <cellStyle name="Обычный 2 2 6 5" xfId="1837"/>
    <cellStyle name="Обычный 2 2 6 5 2" xfId="4784"/>
    <cellStyle name="Обычный 2 2 6 6" xfId="3216"/>
    <cellStyle name="Обычный 2 2 7" xfId="211"/>
    <cellStyle name="Обычный 2 2 7 2" xfId="506"/>
    <cellStyle name="Обычный 2 2 7 2 2" xfId="1541"/>
    <cellStyle name="Обычный 2 2 7 2 2 2" xfId="2619"/>
    <cellStyle name="Обычный 2 2 7 2 2 2 2" xfId="5566"/>
    <cellStyle name="Обычный 2 2 7 2 2 3" xfId="4488"/>
    <cellStyle name="Обычный 2 2 7 2 3" xfId="1021"/>
    <cellStyle name="Обычный 2 2 7 2 3 2" xfId="3970"/>
    <cellStyle name="Обычный 2 2 7 2 4" xfId="2096"/>
    <cellStyle name="Обычный 2 2 7 2 4 2" xfId="5043"/>
    <cellStyle name="Обычный 2 2 7 2 5" xfId="3475"/>
    <cellStyle name="Обычный 2 2 7 3" xfId="1282"/>
    <cellStyle name="Обычный 2 2 7 3 2" xfId="2360"/>
    <cellStyle name="Обычный 2 2 7 3 2 2" xfId="5307"/>
    <cellStyle name="Обычный 2 2 7 3 3" xfId="4229"/>
    <cellStyle name="Обычный 2 2 7 4" xfId="767"/>
    <cellStyle name="Обычный 2 2 7 4 2" xfId="3726"/>
    <cellStyle name="Обычный 2 2 7 5" xfId="1838"/>
    <cellStyle name="Обычный 2 2 7 5 2" xfId="4785"/>
    <cellStyle name="Обычный 2 2 7 6" xfId="3217"/>
    <cellStyle name="Обычный 2 2 8" xfId="212"/>
    <cellStyle name="Обычный 2 2 8 2" xfId="507"/>
    <cellStyle name="Обычный 2 2 8 2 2" xfId="1542"/>
    <cellStyle name="Обычный 2 2 8 2 2 2" xfId="2620"/>
    <cellStyle name="Обычный 2 2 8 2 2 2 2" xfId="5567"/>
    <cellStyle name="Обычный 2 2 8 2 2 3" xfId="4489"/>
    <cellStyle name="Обычный 2 2 8 2 3" xfId="1022"/>
    <cellStyle name="Обычный 2 2 8 2 3 2" xfId="3971"/>
    <cellStyle name="Обычный 2 2 8 2 4" xfId="2097"/>
    <cellStyle name="Обычный 2 2 8 2 4 2" xfId="5044"/>
    <cellStyle name="Обычный 2 2 8 2 5" xfId="3476"/>
    <cellStyle name="Обычный 2 2 8 3" xfId="1283"/>
    <cellStyle name="Обычный 2 2 8 3 2" xfId="2361"/>
    <cellStyle name="Обычный 2 2 8 3 2 2" xfId="5308"/>
    <cellStyle name="Обычный 2 2 8 3 3" xfId="4230"/>
    <cellStyle name="Обычный 2 2 8 4" xfId="768"/>
    <cellStyle name="Обычный 2 2 8 4 2" xfId="3727"/>
    <cellStyle name="Обычный 2 2 8 5" xfId="1839"/>
    <cellStyle name="Обычный 2 2 8 5 2" xfId="4786"/>
    <cellStyle name="Обычный 2 2 8 6" xfId="3218"/>
    <cellStyle name="Обычный 2 2 9" xfId="213"/>
    <cellStyle name="Обычный 2 3" xfId="214"/>
    <cellStyle name="Обычный 2 3 10" xfId="1840"/>
    <cellStyle name="Обычный 2 3 10 2" xfId="4787"/>
    <cellStyle name="Обычный 2 3 11" xfId="3097"/>
    <cellStyle name="Обычный 2 3 12" xfId="3219"/>
    <cellStyle name="Обычный 2 3 2" xfId="215"/>
    <cellStyle name="Обычный 2 3 2 2" xfId="216"/>
    <cellStyle name="Обычный 2 3 2 2 2" xfId="510"/>
    <cellStyle name="Обычный 2 3 2 2 2 2" xfId="1545"/>
    <cellStyle name="Обычный 2 3 2 2 2 2 2" xfId="2623"/>
    <cellStyle name="Обычный 2 3 2 2 2 2 2 2" xfId="5570"/>
    <cellStyle name="Обычный 2 3 2 2 2 2 3" xfId="4492"/>
    <cellStyle name="Обычный 2 3 2 2 2 3" xfId="1025"/>
    <cellStyle name="Обычный 2 3 2 2 2 3 2" xfId="3974"/>
    <cellStyle name="Обычный 2 3 2 2 2 4" xfId="2100"/>
    <cellStyle name="Обычный 2 3 2 2 2 4 2" xfId="5047"/>
    <cellStyle name="Обычный 2 3 2 2 2 5" xfId="3479"/>
    <cellStyle name="Обычный 2 3 2 2 3" xfId="1286"/>
    <cellStyle name="Обычный 2 3 2 2 3 2" xfId="2364"/>
    <cellStyle name="Обычный 2 3 2 2 3 2 2" xfId="5311"/>
    <cellStyle name="Обычный 2 3 2 2 3 3" xfId="4233"/>
    <cellStyle name="Обычный 2 3 2 2 4" xfId="771"/>
    <cellStyle name="Обычный 2 3 2 2 4 2" xfId="3730"/>
    <cellStyle name="Обычный 2 3 2 2 5" xfId="1842"/>
    <cellStyle name="Обычный 2 3 2 2 5 2" xfId="4789"/>
    <cellStyle name="Обычный 2 3 2 2 6" xfId="3221"/>
    <cellStyle name="Обычный 2 3 2 3" xfId="217"/>
    <cellStyle name="Обычный 2 3 2 3 2" xfId="511"/>
    <cellStyle name="Обычный 2 3 2 3 2 2" xfId="1546"/>
    <cellStyle name="Обычный 2 3 2 3 2 2 2" xfId="2624"/>
    <cellStyle name="Обычный 2 3 2 3 2 2 2 2" xfId="5571"/>
    <cellStyle name="Обычный 2 3 2 3 2 2 3" xfId="4493"/>
    <cellStyle name="Обычный 2 3 2 3 2 3" xfId="1026"/>
    <cellStyle name="Обычный 2 3 2 3 2 3 2" xfId="3975"/>
    <cellStyle name="Обычный 2 3 2 3 2 4" xfId="2101"/>
    <cellStyle name="Обычный 2 3 2 3 2 4 2" xfId="5048"/>
    <cellStyle name="Обычный 2 3 2 3 2 5" xfId="3480"/>
    <cellStyle name="Обычный 2 3 2 3 3" xfId="1287"/>
    <cellStyle name="Обычный 2 3 2 3 3 2" xfId="2365"/>
    <cellStyle name="Обычный 2 3 2 3 3 2 2" xfId="5312"/>
    <cellStyle name="Обычный 2 3 2 3 3 3" xfId="4234"/>
    <cellStyle name="Обычный 2 3 2 3 4" xfId="772"/>
    <cellStyle name="Обычный 2 3 2 3 4 2" xfId="3731"/>
    <cellStyle name="Обычный 2 3 2 3 5" xfId="1843"/>
    <cellStyle name="Обычный 2 3 2 3 5 2" xfId="4790"/>
    <cellStyle name="Обычный 2 3 2 3 6" xfId="3222"/>
    <cellStyle name="Обычный 2 3 2 4" xfId="509"/>
    <cellStyle name="Обычный 2 3 2 4 2" xfId="1544"/>
    <cellStyle name="Обычный 2 3 2 4 2 2" xfId="2622"/>
    <cellStyle name="Обычный 2 3 2 4 2 2 2" xfId="5569"/>
    <cellStyle name="Обычный 2 3 2 4 2 3" xfId="4491"/>
    <cellStyle name="Обычный 2 3 2 4 3" xfId="1024"/>
    <cellStyle name="Обычный 2 3 2 4 3 2" xfId="3973"/>
    <cellStyle name="Обычный 2 3 2 4 4" xfId="2099"/>
    <cellStyle name="Обычный 2 3 2 4 4 2" xfId="5046"/>
    <cellStyle name="Обычный 2 3 2 4 5" xfId="3478"/>
    <cellStyle name="Обычный 2 3 2 5" xfId="1285"/>
    <cellStyle name="Обычный 2 3 2 5 2" xfId="2363"/>
    <cellStyle name="Обычный 2 3 2 5 2 2" xfId="5310"/>
    <cellStyle name="Обычный 2 3 2 5 3" xfId="4232"/>
    <cellStyle name="Обычный 2 3 2 6" xfId="770"/>
    <cellStyle name="Обычный 2 3 2 6 2" xfId="3729"/>
    <cellStyle name="Обычный 2 3 2 7" xfId="1841"/>
    <cellStyle name="Обычный 2 3 2 7 2" xfId="4788"/>
    <cellStyle name="Обычный 2 3 2 8" xfId="3087"/>
    <cellStyle name="Обычный 2 3 2 8 2" xfId="6028"/>
    <cellStyle name="Обычный 2 3 2 9" xfId="3220"/>
    <cellStyle name="Обычный 2 3 3" xfId="218"/>
    <cellStyle name="Обычный 2 3 3 2" xfId="512"/>
    <cellStyle name="Обычный 2 3 3 2 2" xfId="1547"/>
    <cellStyle name="Обычный 2 3 3 2 2 2" xfId="2625"/>
    <cellStyle name="Обычный 2 3 3 2 2 2 2" xfId="5572"/>
    <cellStyle name="Обычный 2 3 3 2 2 3" xfId="4494"/>
    <cellStyle name="Обычный 2 3 3 2 3" xfId="1027"/>
    <cellStyle name="Обычный 2 3 3 2 3 2" xfId="3976"/>
    <cellStyle name="Обычный 2 3 3 2 4" xfId="2102"/>
    <cellStyle name="Обычный 2 3 3 2 4 2" xfId="5049"/>
    <cellStyle name="Обычный 2 3 3 2 5" xfId="3481"/>
    <cellStyle name="Обычный 2 3 3 3" xfId="1288"/>
    <cellStyle name="Обычный 2 3 3 3 2" xfId="2366"/>
    <cellStyle name="Обычный 2 3 3 3 2 2" xfId="5313"/>
    <cellStyle name="Обычный 2 3 3 3 3" xfId="4235"/>
    <cellStyle name="Обычный 2 3 3 4" xfId="773"/>
    <cellStyle name="Обычный 2 3 3 4 2" xfId="3732"/>
    <cellStyle name="Обычный 2 3 3 5" xfId="1844"/>
    <cellStyle name="Обычный 2 3 3 5 2" xfId="4791"/>
    <cellStyle name="Обычный 2 3 3 6" xfId="3223"/>
    <cellStyle name="Обычный 2 3 4" xfId="219"/>
    <cellStyle name="Обычный 2 3 4 2" xfId="513"/>
    <cellStyle name="Обычный 2 3 4 2 2" xfId="1548"/>
    <cellStyle name="Обычный 2 3 4 2 2 2" xfId="2626"/>
    <cellStyle name="Обычный 2 3 4 2 2 2 2" xfId="5573"/>
    <cellStyle name="Обычный 2 3 4 2 2 3" xfId="4495"/>
    <cellStyle name="Обычный 2 3 4 2 3" xfId="1028"/>
    <cellStyle name="Обычный 2 3 4 2 3 2" xfId="3977"/>
    <cellStyle name="Обычный 2 3 4 2 4" xfId="2103"/>
    <cellStyle name="Обычный 2 3 4 2 4 2" xfId="5050"/>
    <cellStyle name="Обычный 2 3 4 2 5" xfId="3482"/>
    <cellStyle name="Обычный 2 3 4 3" xfId="1289"/>
    <cellStyle name="Обычный 2 3 4 3 2" xfId="2367"/>
    <cellStyle name="Обычный 2 3 4 3 2 2" xfId="5314"/>
    <cellStyle name="Обычный 2 3 4 3 3" xfId="4236"/>
    <cellStyle name="Обычный 2 3 4 4" xfId="774"/>
    <cellStyle name="Обычный 2 3 4 4 2" xfId="3733"/>
    <cellStyle name="Обычный 2 3 4 5" xfId="1845"/>
    <cellStyle name="Обычный 2 3 4 5 2" xfId="4792"/>
    <cellStyle name="Обычный 2 3 4 6" xfId="3224"/>
    <cellStyle name="Обычный 2 3 5" xfId="220"/>
    <cellStyle name="Обычный 2 3 5 2" xfId="514"/>
    <cellStyle name="Обычный 2 3 5 2 2" xfId="1549"/>
    <cellStyle name="Обычный 2 3 5 2 2 2" xfId="2627"/>
    <cellStyle name="Обычный 2 3 5 2 2 2 2" xfId="5574"/>
    <cellStyle name="Обычный 2 3 5 2 2 3" xfId="4496"/>
    <cellStyle name="Обычный 2 3 5 2 3" xfId="1029"/>
    <cellStyle name="Обычный 2 3 5 2 3 2" xfId="3978"/>
    <cellStyle name="Обычный 2 3 5 2 4" xfId="2104"/>
    <cellStyle name="Обычный 2 3 5 2 4 2" xfId="5051"/>
    <cellStyle name="Обычный 2 3 5 2 5" xfId="3483"/>
    <cellStyle name="Обычный 2 3 5 3" xfId="1290"/>
    <cellStyle name="Обычный 2 3 5 3 2" xfId="2368"/>
    <cellStyle name="Обычный 2 3 5 3 2 2" xfId="5315"/>
    <cellStyle name="Обычный 2 3 5 3 3" xfId="4237"/>
    <cellStyle name="Обычный 2 3 5 4" xfId="775"/>
    <cellStyle name="Обычный 2 3 5 4 2" xfId="3734"/>
    <cellStyle name="Обычный 2 3 5 5" xfId="1846"/>
    <cellStyle name="Обычный 2 3 5 5 2" xfId="4793"/>
    <cellStyle name="Обычный 2 3 5 6" xfId="3225"/>
    <cellStyle name="Обычный 2 3 6" xfId="221"/>
    <cellStyle name="Обычный 2 3 6 2" xfId="515"/>
    <cellStyle name="Обычный 2 3 6 2 2" xfId="1550"/>
    <cellStyle name="Обычный 2 3 6 2 2 2" xfId="2628"/>
    <cellStyle name="Обычный 2 3 6 2 2 2 2" xfId="5575"/>
    <cellStyle name="Обычный 2 3 6 2 2 3" xfId="4497"/>
    <cellStyle name="Обычный 2 3 6 2 3" xfId="1030"/>
    <cellStyle name="Обычный 2 3 6 2 3 2" xfId="3979"/>
    <cellStyle name="Обычный 2 3 6 2 4" xfId="2105"/>
    <cellStyle name="Обычный 2 3 6 2 4 2" xfId="5052"/>
    <cellStyle name="Обычный 2 3 6 2 5" xfId="3484"/>
    <cellStyle name="Обычный 2 3 6 3" xfId="1291"/>
    <cellStyle name="Обычный 2 3 6 3 2" xfId="2369"/>
    <cellStyle name="Обычный 2 3 6 3 2 2" xfId="5316"/>
    <cellStyle name="Обычный 2 3 6 3 3" xfId="4238"/>
    <cellStyle name="Обычный 2 3 6 4" xfId="776"/>
    <cellStyle name="Обычный 2 3 6 4 2" xfId="3735"/>
    <cellStyle name="Обычный 2 3 6 5" xfId="1847"/>
    <cellStyle name="Обычный 2 3 6 5 2" xfId="4794"/>
    <cellStyle name="Обычный 2 3 6 6" xfId="3226"/>
    <cellStyle name="Обычный 2 3 7" xfId="508"/>
    <cellStyle name="Обычный 2 3 7 2" xfId="1543"/>
    <cellStyle name="Обычный 2 3 7 2 2" xfId="2621"/>
    <cellStyle name="Обычный 2 3 7 2 2 2" xfId="5568"/>
    <cellStyle name="Обычный 2 3 7 2 3" xfId="4490"/>
    <cellStyle name="Обычный 2 3 7 3" xfId="1023"/>
    <cellStyle name="Обычный 2 3 7 3 2" xfId="3972"/>
    <cellStyle name="Обычный 2 3 7 4" xfId="2098"/>
    <cellStyle name="Обычный 2 3 7 4 2" xfId="5045"/>
    <cellStyle name="Обычный 2 3 7 5" xfId="3477"/>
    <cellStyle name="Обычный 2 3 8" xfId="1284"/>
    <cellStyle name="Обычный 2 3 8 2" xfId="2362"/>
    <cellStyle name="Обычный 2 3 8 2 2" xfId="5309"/>
    <cellStyle name="Обычный 2 3 8 3" xfId="4231"/>
    <cellStyle name="Обычный 2 3 9" xfId="769"/>
    <cellStyle name="Обычный 2 3 9 2" xfId="3728"/>
    <cellStyle name="Обычный 2 4" xfId="222"/>
    <cellStyle name="Обычный 2 4 2" xfId="223"/>
    <cellStyle name="Обычный 2 4 2 2" xfId="516"/>
    <cellStyle name="Обычный 2 4 2 2 2" xfId="1551"/>
    <cellStyle name="Обычный 2 4 2 2 2 2" xfId="2629"/>
    <cellStyle name="Обычный 2 4 2 2 2 2 2" xfId="5576"/>
    <cellStyle name="Обычный 2 4 2 2 2 3" xfId="4498"/>
    <cellStyle name="Обычный 2 4 2 2 3" xfId="1031"/>
    <cellStyle name="Обычный 2 4 2 2 3 2" xfId="3980"/>
    <cellStyle name="Обычный 2 4 2 2 4" xfId="2106"/>
    <cellStyle name="Обычный 2 4 2 2 4 2" xfId="5053"/>
    <cellStyle name="Обычный 2 4 2 2 5" xfId="3485"/>
    <cellStyle name="Обычный 2 4 2 3" xfId="1292"/>
    <cellStyle name="Обычный 2 4 2 3 2" xfId="2370"/>
    <cellStyle name="Обычный 2 4 2 3 2 2" xfId="5317"/>
    <cellStyle name="Обычный 2 4 2 3 3" xfId="4239"/>
    <cellStyle name="Обычный 2 4 2 4" xfId="777"/>
    <cellStyle name="Обычный 2 4 2 4 2" xfId="3736"/>
    <cellStyle name="Обычный 2 4 2 5" xfId="1848"/>
    <cellStyle name="Обычный 2 4 2 5 2" xfId="4795"/>
    <cellStyle name="Обычный 2 4 2 6" xfId="3227"/>
    <cellStyle name="Обычный 2 4 3" xfId="224"/>
    <cellStyle name="Обычный 2 4 3 2" xfId="517"/>
    <cellStyle name="Обычный 2 4 3 2 2" xfId="1552"/>
    <cellStyle name="Обычный 2 4 3 2 2 2" xfId="2630"/>
    <cellStyle name="Обычный 2 4 3 2 2 2 2" xfId="5577"/>
    <cellStyle name="Обычный 2 4 3 2 2 3" xfId="4499"/>
    <cellStyle name="Обычный 2 4 3 2 3" xfId="1032"/>
    <cellStyle name="Обычный 2 4 3 2 3 2" xfId="3981"/>
    <cellStyle name="Обычный 2 4 3 2 4" xfId="2107"/>
    <cellStyle name="Обычный 2 4 3 2 4 2" xfId="5054"/>
    <cellStyle name="Обычный 2 4 3 2 5" xfId="3486"/>
    <cellStyle name="Обычный 2 4 3 3" xfId="1293"/>
    <cellStyle name="Обычный 2 4 3 3 2" xfId="2371"/>
    <cellStyle name="Обычный 2 4 3 3 2 2" xfId="5318"/>
    <cellStyle name="Обычный 2 4 3 3 3" xfId="4240"/>
    <cellStyle name="Обычный 2 4 3 4" xfId="778"/>
    <cellStyle name="Обычный 2 4 3 4 2" xfId="3737"/>
    <cellStyle name="Обычный 2 4 3 5" xfId="1849"/>
    <cellStyle name="Обычный 2 4 3 5 2" xfId="4796"/>
    <cellStyle name="Обычный 2 4 3 6" xfId="3228"/>
    <cellStyle name="Обычный 2 4 4" xfId="225"/>
    <cellStyle name="Обычный 2 4 4 2" xfId="518"/>
    <cellStyle name="Обычный 2 4 4 2 2" xfId="1553"/>
    <cellStyle name="Обычный 2 4 4 2 2 2" xfId="2631"/>
    <cellStyle name="Обычный 2 4 4 2 2 2 2" xfId="5578"/>
    <cellStyle name="Обычный 2 4 4 2 2 3" xfId="4500"/>
    <cellStyle name="Обычный 2 4 4 2 3" xfId="1033"/>
    <cellStyle name="Обычный 2 4 4 2 3 2" xfId="3982"/>
    <cellStyle name="Обычный 2 4 4 2 4" xfId="2108"/>
    <cellStyle name="Обычный 2 4 4 2 4 2" xfId="5055"/>
    <cellStyle name="Обычный 2 4 4 2 5" xfId="3487"/>
    <cellStyle name="Обычный 2 4 4 3" xfId="1294"/>
    <cellStyle name="Обычный 2 4 4 3 2" xfId="2372"/>
    <cellStyle name="Обычный 2 4 4 3 2 2" xfId="5319"/>
    <cellStyle name="Обычный 2 4 4 3 3" xfId="4241"/>
    <cellStyle name="Обычный 2 4 4 4" xfId="779"/>
    <cellStyle name="Обычный 2 4 4 4 2" xfId="3738"/>
    <cellStyle name="Обычный 2 4 4 5" xfId="1850"/>
    <cellStyle name="Обычный 2 4 4 5 2" xfId="4797"/>
    <cellStyle name="Обычный 2 4 4 6" xfId="3229"/>
    <cellStyle name="Обычный 2 5" xfId="226"/>
    <cellStyle name="Обычный 2 5 2" xfId="227"/>
    <cellStyle name="Обычный 2 5 2 2" xfId="519"/>
    <cellStyle name="Обычный 2 5 2 2 2" xfId="1554"/>
    <cellStyle name="Обычный 2 5 2 2 2 2" xfId="2632"/>
    <cellStyle name="Обычный 2 5 2 2 2 2 2" xfId="5579"/>
    <cellStyle name="Обычный 2 5 2 2 2 3" xfId="4501"/>
    <cellStyle name="Обычный 2 5 2 2 3" xfId="1034"/>
    <cellStyle name="Обычный 2 5 2 2 3 2" xfId="3983"/>
    <cellStyle name="Обычный 2 5 2 2 4" xfId="2109"/>
    <cellStyle name="Обычный 2 5 2 2 4 2" xfId="5056"/>
    <cellStyle name="Обычный 2 5 2 2 5" xfId="3488"/>
    <cellStyle name="Обычный 2 5 2 3" xfId="1295"/>
    <cellStyle name="Обычный 2 5 2 3 2" xfId="2373"/>
    <cellStyle name="Обычный 2 5 2 3 2 2" xfId="5320"/>
    <cellStyle name="Обычный 2 5 2 3 3" xfId="4242"/>
    <cellStyle name="Обычный 2 5 2 4" xfId="780"/>
    <cellStyle name="Обычный 2 5 2 4 2" xfId="3739"/>
    <cellStyle name="Обычный 2 5 2 5" xfId="1851"/>
    <cellStyle name="Обычный 2 5 2 5 2" xfId="4798"/>
    <cellStyle name="Обычный 2 5 2 6" xfId="3230"/>
    <cellStyle name="Обычный 2 5 3" xfId="228"/>
    <cellStyle name="Обычный 2 5 3 2" xfId="520"/>
    <cellStyle name="Обычный 2 5 3 2 2" xfId="1555"/>
    <cellStyle name="Обычный 2 5 3 2 2 2" xfId="2633"/>
    <cellStyle name="Обычный 2 5 3 2 2 2 2" xfId="5580"/>
    <cellStyle name="Обычный 2 5 3 2 2 3" xfId="4502"/>
    <cellStyle name="Обычный 2 5 3 2 3" xfId="1035"/>
    <cellStyle name="Обычный 2 5 3 2 3 2" xfId="3984"/>
    <cellStyle name="Обычный 2 5 3 2 4" xfId="2110"/>
    <cellStyle name="Обычный 2 5 3 2 4 2" xfId="5057"/>
    <cellStyle name="Обычный 2 5 3 2 5" xfId="3489"/>
    <cellStyle name="Обычный 2 5 3 3" xfId="1296"/>
    <cellStyle name="Обычный 2 5 3 3 2" xfId="2374"/>
    <cellStyle name="Обычный 2 5 3 3 2 2" xfId="5321"/>
    <cellStyle name="Обычный 2 5 3 3 3" xfId="4243"/>
    <cellStyle name="Обычный 2 5 3 4" xfId="781"/>
    <cellStyle name="Обычный 2 5 3 4 2" xfId="3740"/>
    <cellStyle name="Обычный 2 5 3 5" xfId="1852"/>
    <cellStyle name="Обычный 2 5 3 5 2" xfId="4799"/>
    <cellStyle name="Обычный 2 5 3 6" xfId="3231"/>
    <cellStyle name="Обычный 2 5 4" xfId="229"/>
    <cellStyle name="Обычный 2 5 4 2" xfId="521"/>
    <cellStyle name="Обычный 2 5 4 2 2" xfId="1556"/>
    <cellStyle name="Обычный 2 5 4 2 2 2" xfId="2634"/>
    <cellStyle name="Обычный 2 5 4 2 2 2 2" xfId="5581"/>
    <cellStyle name="Обычный 2 5 4 2 2 3" xfId="4503"/>
    <cellStyle name="Обычный 2 5 4 2 3" xfId="1036"/>
    <cellStyle name="Обычный 2 5 4 2 3 2" xfId="3985"/>
    <cellStyle name="Обычный 2 5 4 2 4" xfId="2111"/>
    <cellStyle name="Обычный 2 5 4 2 4 2" xfId="5058"/>
    <cellStyle name="Обычный 2 5 4 2 5" xfId="3490"/>
    <cellStyle name="Обычный 2 5 4 3" xfId="1297"/>
    <cellStyle name="Обычный 2 5 4 3 2" xfId="2375"/>
    <cellStyle name="Обычный 2 5 4 3 2 2" xfId="5322"/>
    <cellStyle name="Обычный 2 5 4 3 3" xfId="4244"/>
    <cellStyle name="Обычный 2 5 4 4" xfId="782"/>
    <cellStyle name="Обычный 2 5 4 4 2" xfId="3741"/>
    <cellStyle name="Обычный 2 5 4 5" xfId="1853"/>
    <cellStyle name="Обычный 2 5 4 5 2" xfId="4800"/>
    <cellStyle name="Обычный 2 5 4 6" xfId="3232"/>
    <cellStyle name="Обычный 2 6" xfId="230"/>
    <cellStyle name="Обычный 2 6 2" xfId="231"/>
    <cellStyle name="Обычный 2 6 2 2" xfId="523"/>
    <cellStyle name="Обычный 2 6 2 2 2" xfId="1558"/>
    <cellStyle name="Обычный 2 6 2 2 2 2" xfId="2636"/>
    <cellStyle name="Обычный 2 6 2 2 2 2 2" xfId="5583"/>
    <cellStyle name="Обычный 2 6 2 2 2 3" xfId="4505"/>
    <cellStyle name="Обычный 2 6 2 2 3" xfId="1038"/>
    <cellStyle name="Обычный 2 6 2 2 3 2" xfId="3987"/>
    <cellStyle name="Обычный 2 6 2 2 4" xfId="2113"/>
    <cellStyle name="Обычный 2 6 2 2 4 2" xfId="5060"/>
    <cellStyle name="Обычный 2 6 2 2 5" xfId="3492"/>
    <cellStyle name="Обычный 2 6 2 3" xfId="1299"/>
    <cellStyle name="Обычный 2 6 2 3 2" xfId="2377"/>
    <cellStyle name="Обычный 2 6 2 3 2 2" xfId="5324"/>
    <cellStyle name="Обычный 2 6 2 3 3" xfId="4246"/>
    <cellStyle name="Обычный 2 6 2 4" xfId="784"/>
    <cellStyle name="Обычный 2 6 2 4 2" xfId="3743"/>
    <cellStyle name="Обычный 2 6 2 5" xfId="1855"/>
    <cellStyle name="Обычный 2 6 2 5 2" xfId="4802"/>
    <cellStyle name="Обычный 2 6 2 6" xfId="3234"/>
    <cellStyle name="Обычный 2 6 3" xfId="232"/>
    <cellStyle name="Обычный 2 6 3 2" xfId="524"/>
    <cellStyle name="Обычный 2 6 3 2 2" xfId="1559"/>
    <cellStyle name="Обычный 2 6 3 2 2 2" xfId="2637"/>
    <cellStyle name="Обычный 2 6 3 2 2 2 2" xfId="5584"/>
    <cellStyle name="Обычный 2 6 3 2 2 3" xfId="4506"/>
    <cellStyle name="Обычный 2 6 3 2 3" xfId="1039"/>
    <cellStyle name="Обычный 2 6 3 2 3 2" xfId="3988"/>
    <cellStyle name="Обычный 2 6 3 2 4" xfId="2114"/>
    <cellStyle name="Обычный 2 6 3 2 4 2" xfId="5061"/>
    <cellStyle name="Обычный 2 6 3 2 5" xfId="3493"/>
    <cellStyle name="Обычный 2 6 3 3" xfId="1300"/>
    <cellStyle name="Обычный 2 6 3 3 2" xfId="2378"/>
    <cellStyle name="Обычный 2 6 3 3 2 2" xfId="5325"/>
    <cellStyle name="Обычный 2 6 3 3 3" xfId="4247"/>
    <cellStyle name="Обычный 2 6 3 4" xfId="785"/>
    <cellStyle name="Обычный 2 6 3 4 2" xfId="3744"/>
    <cellStyle name="Обычный 2 6 3 5" xfId="1856"/>
    <cellStyle name="Обычный 2 6 3 5 2" xfId="4803"/>
    <cellStyle name="Обычный 2 6 3 6" xfId="3235"/>
    <cellStyle name="Обычный 2 6 4" xfId="522"/>
    <cellStyle name="Обычный 2 6 4 2" xfId="1557"/>
    <cellStyle name="Обычный 2 6 4 2 2" xfId="2635"/>
    <cellStyle name="Обычный 2 6 4 2 2 2" xfId="5582"/>
    <cellStyle name="Обычный 2 6 4 2 3" xfId="4504"/>
    <cellStyle name="Обычный 2 6 4 3" xfId="1037"/>
    <cellStyle name="Обычный 2 6 4 3 2" xfId="3986"/>
    <cellStyle name="Обычный 2 6 4 4" xfId="2112"/>
    <cellStyle name="Обычный 2 6 4 4 2" xfId="5059"/>
    <cellStyle name="Обычный 2 6 4 5" xfId="3491"/>
    <cellStyle name="Обычный 2 6 5" xfId="1298"/>
    <cellStyle name="Обычный 2 6 5 2" xfId="2376"/>
    <cellStyle name="Обычный 2 6 5 2 2" xfId="5323"/>
    <cellStyle name="Обычный 2 6 5 3" xfId="4245"/>
    <cellStyle name="Обычный 2 6 6" xfId="783"/>
    <cellStyle name="Обычный 2 6 6 2" xfId="3742"/>
    <cellStyle name="Обычный 2 6 7" xfId="1854"/>
    <cellStyle name="Обычный 2 6 7 2" xfId="4801"/>
    <cellStyle name="Обычный 2 6 8" xfId="3233"/>
    <cellStyle name="Обычный 2 7" xfId="233"/>
    <cellStyle name="Обычный 2 7 2" xfId="525"/>
    <cellStyle name="Обычный 2 7 2 2" xfId="1560"/>
    <cellStyle name="Обычный 2 7 2 2 2" xfId="2638"/>
    <cellStyle name="Обычный 2 7 2 2 2 2" xfId="5585"/>
    <cellStyle name="Обычный 2 7 2 2 3" xfId="4507"/>
    <cellStyle name="Обычный 2 7 2 3" xfId="1040"/>
    <cellStyle name="Обычный 2 7 2 3 2" xfId="3989"/>
    <cellStyle name="Обычный 2 7 2 4" xfId="2115"/>
    <cellStyle name="Обычный 2 7 2 4 2" xfId="5062"/>
    <cellStyle name="Обычный 2 7 2 5" xfId="3494"/>
    <cellStyle name="Обычный 2 7 3" xfId="1301"/>
    <cellStyle name="Обычный 2 7 3 2" xfId="2379"/>
    <cellStyle name="Обычный 2 7 3 2 2" xfId="5326"/>
    <cellStyle name="Обычный 2 7 3 3" xfId="4248"/>
    <cellStyle name="Обычный 2 7 4" xfId="786"/>
    <cellStyle name="Обычный 2 7 4 2" xfId="3745"/>
    <cellStyle name="Обычный 2 7 5" xfId="1857"/>
    <cellStyle name="Обычный 2 7 5 2" xfId="4804"/>
    <cellStyle name="Обычный 2 7 6" xfId="3236"/>
    <cellStyle name="Обычный 2 8" xfId="3074"/>
    <cellStyle name="Обычный 2 9" xfId="3085"/>
    <cellStyle name="Обычный 2 9 2" xfId="6026"/>
    <cellStyle name="Обычный 2 9 2 2" xfId="6046"/>
    <cellStyle name="Обычный 20" xfId="234"/>
    <cellStyle name="Обычный 20 2" xfId="235"/>
    <cellStyle name="Обычный 20 2 2" xfId="527"/>
    <cellStyle name="Обычный 20 2 2 2" xfId="1562"/>
    <cellStyle name="Обычный 20 2 2 2 2" xfId="2640"/>
    <cellStyle name="Обычный 20 2 2 2 2 2" xfId="5587"/>
    <cellStyle name="Обычный 20 2 2 2 3" xfId="4509"/>
    <cellStyle name="Обычный 20 2 2 3" xfId="1042"/>
    <cellStyle name="Обычный 20 2 2 3 2" xfId="3991"/>
    <cellStyle name="Обычный 20 2 2 4" xfId="2117"/>
    <cellStyle name="Обычный 20 2 2 4 2" xfId="5064"/>
    <cellStyle name="Обычный 20 2 2 5" xfId="3496"/>
    <cellStyle name="Обычный 20 2 3" xfId="1303"/>
    <cellStyle name="Обычный 20 2 3 2" xfId="2381"/>
    <cellStyle name="Обычный 20 2 3 2 2" xfId="5328"/>
    <cellStyle name="Обычный 20 2 3 3" xfId="4250"/>
    <cellStyle name="Обычный 20 2 4" xfId="788"/>
    <cellStyle name="Обычный 20 2 4 2" xfId="3747"/>
    <cellStyle name="Обычный 20 2 5" xfId="1859"/>
    <cellStyle name="Обычный 20 2 5 2" xfId="4806"/>
    <cellStyle name="Обычный 20 2 6" xfId="3238"/>
    <cellStyle name="Обычный 20 3" xfId="236"/>
    <cellStyle name="Обычный 20 3 2" xfId="528"/>
    <cellStyle name="Обычный 20 3 2 2" xfId="1563"/>
    <cellStyle name="Обычный 20 3 2 2 2" xfId="2641"/>
    <cellStyle name="Обычный 20 3 2 2 2 2" xfId="5588"/>
    <cellStyle name="Обычный 20 3 2 2 3" xfId="4510"/>
    <cellStyle name="Обычный 20 3 2 3" xfId="1043"/>
    <cellStyle name="Обычный 20 3 2 3 2" xfId="3992"/>
    <cellStyle name="Обычный 20 3 2 4" xfId="2118"/>
    <cellStyle name="Обычный 20 3 2 4 2" xfId="5065"/>
    <cellStyle name="Обычный 20 3 2 5" xfId="3497"/>
    <cellStyle name="Обычный 20 3 3" xfId="1304"/>
    <cellStyle name="Обычный 20 3 3 2" xfId="2382"/>
    <cellStyle name="Обычный 20 3 3 2 2" xfId="5329"/>
    <cellStyle name="Обычный 20 3 3 3" xfId="4251"/>
    <cellStyle name="Обычный 20 3 4" xfId="789"/>
    <cellStyle name="Обычный 20 3 4 2" xfId="3748"/>
    <cellStyle name="Обычный 20 3 5" xfId="1860"/>
    <cellStyle name="Обычный 20 3 5 2" xfId="4807"/>
    <cellStyle name="Обычный 20 3 6" xfId="3239"/>
    <cellStyle name="Обычный 20 4" xfId="526"/>
    <cellStyle name="Обычный 20 4 2" xfId="1561"/>
    <cellStyle name="Обычный 20 4 2 2" xfId="2639"/>
    <cellStyle name="Обычный 20 4 2 2 2" xfId="5586"/>
    <cellStyle name="Обычный 20 4 2 3" xfId="4508"/>
    <cellStyle name="Обычный 20 4 3" xfId="1041"/>
    <cellStyle name="Обычный 20 4 3 2" xfId="3990"/>
    <cellStyle name="Обычный 20 4 4" xfId="2116"/>
    <cellStyle name="Обычный 20 4 4 2" xfId="5063"/>
    <cellStyle name="Обычный 20 4 5" xfId="3495"/>
    <cellStyle name="Обычный 20 5" xfId="1302"/>
    <cellStyle name="Обычный 20 5 2" xfId="2380"/>
    <cellStyle name="Обычный 20 5 2 2" xfId="5327"/>
    <cellStyle name="Обычный 20 5 3" xfId="4249"/>
    <cellStyle name="Обычный 20 6" xfId="787"/>
    <cellStyle name="Обычный 20 6 2" xfId="3746"/>
    <cellStyle name="Обычный 20 7" xfId="1858"/>
    <cellStyle name="Обычный 20 7 2" xfId="4805"/>
    <cellStyle name="Обычный 20 8" xfId="3237"/>
    <cellStyle name="Обычный 21" xfId="237"/>
    <cellStyle name="Обычный 21 2" xfId="238"/>
    <cellStyle name="Обычный 21 2 2" xfId="530"/>
    <cellStyle name="Обычный 21 2 2 2" xfId="1565"/>
    <cellStyle name="Обычный 21 2 2 2 2" xfId="2643"/>
    <cellStyle name="Обычный 21 2 2 2 2 2" xfId="5590"/>
    <cellStyle name="Обычный 21 2 2 2 3" xfId="4512"/>
    <cellStyle name="Обычный 21 2 2 3" xfId="1045"/>
    <cellStyle name="Обычный 21 2 2 3 2" xfId="3994"/>
    <cellStyle name="Обычный 21 2 2 4" xfId="2120"/>
    <cellStyle name="Обычный 21 2 2 4 2" xfId="5067"/>
    <cellStyle name="Обычный 21 2 2 5" xfId="3499"/>
    <cellStyle name="Обычный 21 2 3" xfId="1306"/>
    <cellStyle name="Обычный 21 2 3 2" xfId="2384"/>
    <cellStyle name="Обычный 21 2 3 2 2" xfId="5331"/>
    <cellStyle name="Обычный 21 2 3 3" xfId="4253"/>
    <cellStyle name="Обычный 21 2 4" xfId="791"/>
    <cellStyle name="Обычный 21 2 4 2" xfId="3750"/>
    <cellStyle name="Обычный 21 2 5" xfId="1862"/>
    <cellStyle name="Обычный 21 2 5 2" xfId="4809"/>
    <cellStyle name="Обычный 21 2 6" xfId="3241"/>
    <cellStyle name="Обычный 21 3" xfId="239"/>
    <cellStyle name="Обычный 21 3 2" xfId="531"/>
    <cellStyle name="Обычный 21 3 2 2" xfId="1566"/>
    <cellStyle name="Обычный 21 3 2 2 2" xfId="2644"/>
    <cellStyle name="Обычный 21 3 2 2 2 2" xfId="5591"/>
    <cellStyle name="Обычный 21 3 2 2 3" xfId="4513"/>
    <cellStyle name="Обычный 21 3 2 3" xfId="1046"/>
    <cellStyle name="Обычный 21 3 2 3 2" xfId="3995"/>
    <cellStyle name="Обычный 21 3 2 4" xfId="2121"/>
    <cellStyle name="Обычный 21 3 2 4 2" xfId="5068"/>
    <cellStyle name="Обычный 21 3 2 5" xfId="3500"/>
    <cellStyle name="Обычный 21 3 3" xfId="1307"/>
    <cellStyle name="Обычный 21 3 3 2" xfId="2385"/>
    <cellStyle name="Обычный 21 3 3 2 2" xfId="5332"/>
    <cellStyle name="Обычный 21 3 3 3" xfId="4254"/>
    <cellStyle name="Обычный 21 3 4" xfId="792"/>
    <cellStyle name="Обычный 21 3 4 2" xfId="3751"/>
    <cellStyle name="Обычный 21 3 5" xfId="1863"/>
    <cellStyle name="Обычный 21 3 5 2" xfId="4810"/>
    <cellStyle name="Обычный 21 3 6" xfId="3242"/>
    <cellStyle name="Обычный 21 4" xfId="529"/>
    <cellStyle name="Обычный 21 4 2" xfId="1564"/>
    <cellStyle name="Обычный 21 4 2 2" xfId="2642"/>
    <cellStyle name="Обычный 21 4 2 2 2" xfId="5589"/>
    <cellStyle name="Обычный 21 4 2 3" xfId="4511"/>
    <cellStyle name="Обычный 21 4 3" xfId="1044"/>
    <cellStyle name="Обычный 21 4 3 2" xfId="3993"/>
    <cellStyle name="Обычный 21 4 4" xfId="2119"/>
    <cellStyle name="Обычный 21 4 4 2" xfId="5066"/>
    <cellStyle name="Обычный 21 4 5" xfId="3498"/>
    <cellStyle name="Обычный 21 5" xfId="1305"/>
    <cellStyle name="Обычный 21 5 2" xfId="2383"/>
    <cellStyle name="Обычный 21 5 2 2" xfId="5330"/>
    <cellStyle name="Обычный 21 5 3" xfId="4252"/>
    <cellStyle name="Обычный 21 6" xfId="790"/>
    <cellStyle name="Обычный 21 6 2" xfId="3749"/>
    <cellStyle name="Обычный 21 7" xfId="1861"/>
    <cellStyle name="Обычный 21 7 2" xfId="4808"/>
    <cellStyle name="Обычный 21 8" xfId="3240"/>
    <cellStyle name="Обычный 22" xfId="240"/>
    <cellStyle name="Обычный 22 2" xfId="241"/>
    <cellStyle name="Обычный 22 2 2" xfId="533"/>
    <cellStyle name="Обычный 22 2 2 2" xfId="1568"/>
    <cellStyle name="Обычный 22 2 2 2 2" xfId="2646"/>
    <cellStyle name="Обычный 22 2 2 2 2 2" xfId="5593"/>
    <cellStyle name="Обычный 22 2 2 2 3" xfId="4515"/>
    <cellStyle name="Обычный 22 2 2 3" xfId="1048"/>
    <cellStyle name="Обычный 22 2 2 3 2" xfId="3997"/>
    <cellStyle name="Обычный 22 2 2 4" xfId="2123"/>
    <cellStyle name="Обычный 22 2 2 4 2" xfId="5070"/>
    <cellStyle name="Обычный 22 2 2 5" xfId="3502"/>
    <cellStyle name="Обычный 22 2 3" xfId="1309"/>
    <cellStyle name="Обычный 22 2 3 2" xfId="2387"/>
    <cellStyle name="Обычный 22 2 3 2 2" xfId="5334"/>
    <cellStyle name="Обычный 22 2 3 3" xfId="4256"/>
    <cellStyle name="Обычный 22 2 4" xfId="794"/>
    <cellStyle name="Обычный 22 2 4 2" xfId="3753"/>
    <cellStyle name="Обычный 22 2 5" xfId="1865"/>
    <cellStyle name="Обычный 22 2 5 2" xfId="4812"/>
    <cellStyle name="Обычный 22 2 6" xfId="3244"/>
    <cellStyle name="Обычный 22 3" xfId="242"/>
    <cellStyle name="Обычный 22 3 2" xfId="534"/>
    <cellStyle name="Обычный 22 3 2 2" xfId="1569"/>
    <cellStyle name="Обычный 22 3 2 2 2" xfId="2647"/>
    <cellStyle name="Обычный 22 3 2 2 2 2" xfId="5594"/>
    <cellStyle name="Обычный 22 3 2 2 3" xfId="4516"/>
    <cellStyle name="Обычный 22 3 2 3" xfId="1049"/>
    <cellStyle name="Обычный 22 3 2 3 2" xfId="3998"/>
    <cellStyle name="Обычный 22 3 2 4" xfId="2124"/>
    <cellStyle name="Обычный 22 3 2 4 2" xfId="5071"/>
    <cellStyle name="Обычный 22 3 2 5" xfId="3503"/>
    <cellStyle name="Обычный 22 3 3" xfId="1310"/>
    <cellStyle name="Обычный 22 3 3 2" xfId="2388"/>
    <cellStyle name="Обычный 22 3 3 2 2" xfId="5335"/>
    <cellStyle name="Обычный 22 3 3 3" xfId="4257"/>
    <cellStyle name="Обычный 22 3 4" xfId="795"/>
    <cellStyle name="Обычный 22 3 4 2" xfId="3754"/>
    <cellStyle name="Обычный 22 3 5" xfId="1866"/>
    <cellStyle name="Обычный 22 3 5 2" xfId="4813"/>
    <cellStyle name="Обычный 22 3 6" xfId="3245"/>
    <cellStyle name="Обычный 22 4" xfId="532"/>
    <cellStyle name="Обычный 22 4 2" xfId="1567"/>
    <cellStyle name="Обычный 22 4 2 2" xfId="2645"/>
    <cellStyle name="Обычный 22 4 2 2 2" xfId="5592"/>
    <cellStyle name="Обычный 22 4 2 3" xfId="4514"/>
    <cellStyle name="Обычный 22 4 3" xfId="1047"/>
    <cellStyle name="Обычный 22 4 3 2" xfId="3996"/>
    <cellStyle name="Обычный 22 4 4" xfId="2122"/>
    <cellStyle name="Обычный 22 4 4 2" xfId="5069"/>
    <cellStyle name="Обычный 22 4 5" xfId="3501"/>
    <cellStyle name="Обычный 22 5" xfId="1308"/>
    <cellStyle name="Обычный 22 5 2" xfId="2386"/>
    <cellStyle name="Обычный 22 5 2 2" xfId="5333"/>
    <cellStyle name="Обычный 22 5 3" xfId="4255"/>
    <cellStyle name="Обычный 22 6" xfId="793"/>
    <cellStyle name="Обычный 22 6 2" xfId="3752"/>
    <cellStyle name="Обычный 22 7" xfId="1864"/>
    <cellStyle name="Обычный 22 7 2" xfId="4811"/>
    <cellStyle name="Обычный 22 8" xfId="3243"/>
    <cellStyle name="Обычный 23" xfId="243"/>
    <cellStyle name="Обычный 23 2" xfId="244"/>
    <cellStyle name="Обычный 23 2 2" xfId="536"/>
    <cellStyle name="Обычный 23 2 2 2" xfId="1571"/>
    <cellStyle name="Обычный 23 2 2 2 2" xfId="2649"/>
    <cellStyle name="Обычный 23 2 2 2 2 2" xfId="5596"/>
    <cellStyle name="Обычный 23 2 2 2 3" xfId="4518"/>
    <cellStyle name="Обычный 23 2 2 3" xfId="1051"/>
    <cellStyle name="Обычный 23 2 2 3 2" xfId="4000"/>
    <cellStyle name="Обычный 23 2 2 4" xfId="2126"/>
    <cellStyle name="Обычный 23 2 2 4 2" xfId="5073"/>
    <cellStyle name="Обычный 23 2 2 5" xfId="3505"/>
    <cellStyle name="Обычный 23 2 3" xfId="1312"/>
    <cellStyle name="Обычный 23 2 3 2" xfId="2390"/>
    <cellStyle name="Обычный 23 2 3 2 2" xfId="5337"/>
    <cellStyle name="Обычный 23 2 3 3" xfId="4259"/>
    <cellStyle name="Обычный 23 2 4" xfId="797"/>
    <cellStyle name="Обычный 23 2 4 2" xfId="3756"/>
    <cellStyle name="Обычный 23 2 5" xfId="1868"/>
    <cellStyle name="Обычный 23 2 5 2" xfId="4815"/>
    <cellStyle name="Обычный 23 2 6" xfId="3247"/>
    <cellStyle name="Обычный 23 3" xfId="245"/>
    <cellStyle name="Обычный 23 3 2" xfId="537"/>
    <cellStyle name="Обычный 23 3 2 2" xfId="1572"/>
    <cellStyle name="Обычный 23 3 2 2 2" xfId="2650"/>
    <cellStyle name="Обычный 23 3 2 2 2 2" xfId="5597"/>
    <cellStyle name="Обычный 23 3 2 2 3" xfId="4519"/>
    <cellStyle name="Обычный 23 3 2 3" xfId="1052"/>
    <cellStyle name="Обычный 23 3 2 3 2" xfId="4001"/>
    <cellStyle name="Обычный 23 3 2 4" xfId="2127"/>
    <cellStyle name="Обычный 23 3 2 4 2" xfId="5074"/>
    <cellStyle name="Обычный 23 3 2 5" xfId="3506"/>
    <cellStyle name="Обычный 23 3 3" xfId="1313"/>
    <cellStyle name="Обычный 23 3 3 2" xfId="2391"/>
    <cellStyle name="Обычный 23 3 3 2 2" xfId="5338"/>
    <cellStyle name="Обычный 23 3 3 3" xfId="4260"/>
    <cellStyle name="Обычный 23 3 4" xfId="798"/>
    <cellStyle name="Обычный 23 3 4 2" xfId="3757"/>
    <cellStyle name="Обычный 23 3 5" xfId="1869"/>
    <cellStyle name="Обычный 23 3 5 2" xfId="4816"/>
    <cellStyle name="Обычный 23 3 6" xfId="3248"/>
    <cellStyle name="Обычный 23 4" xfId="535"/>
    <cellStyle name="Обычный 23 4 2" xfId="1570"/>
    <cellStyle name="Обычный 23 4 2 2" xfId="2648"/>
    <cellStyle name="Обычный 23 4 2 2 2" xfId="5595"/>
    <cellStyle name="Обычный 23 4 2 3" xfId="4517"/>
    <cellStyle name="Обычный 23 4 3" xfId="1050"/>
    <cellStyle name="Обычный 23 4 3 2" xfId="3999"/>
    <cellStyle name="Обычный 23 4 4" xfId="2125"/>
    <cellStyle name="Обычный 23 4 4 2" xfId="5072"/>
    <cellStyle name="Обычный 23 4 5" xfId="3504"/>
    <cellStyle name="Обычный 23 5" xfId="1311"/>
    <cellStyle name="Обычный 23 5 2" xfId="2389"/>
    <cellStyle name="Обычный 23 5 2 2" xfId="5336"/>
    <cellStyle name="Обычный 23 5 3" xfId="4258"/>
    <cellStyle name="Обычный 23 6" xfId="796"/>
    <cellStyle name="Обычный 23 6 2" xfId="3755"/>
    <cellStyle name="Обычный 23 7" xfId="1867"/>
    <cellStyle name="Обычный 23 7 2" xfId="4814"/>
    <cellStyle name="Обычный 23 8" xfId="3246"/>
    <cellStyle name="Обычный 24" xfId="246"/>
    <cellStyle name="Обычный 24 2" xfId="247"/>
    <cellStyle name="Обычный 24 2 2" xfId="248"/>
    <cellStyle name="Обычный 24 2 3" xfId="249"/>
    <cellStyle name="Обычный 24 2 3 2" xfId="539"/>
    <cellStyle name="Обычный 24 2 3 2 2" xfId="1574"/>
    <cellStyle name="Обычный 24 2 3 2 2 2" xfId="2652"/>
    <cellStyle name="Обычный 24 2 3 2 2 2 2" xfId="5599"/>
    <cellStyle name="Обычный 24 2 3 2 2 3" xfId="4521"/>
    <cellStyle name="Обычный 24 2 3 2 3" xfId="1054"/>
    <cellStyle name="Обычный 24 2 3 2 3 2" xfId="4003"/>
    <cellStyle name="Обычный 24 2 3 2 4" xfId="2129"/>
    <cellStyle name="Обычный 24 2 3 2 4 2" xfId="5076"/>
    <cellStyle name="Обычный 24 2 3 2 5" xfId="3508"/>
    <cellStyle name="Обычный 24 2 3 3" xfId="1315"/>
    <cellStyle name="Обычный 24 2 3 3 2" xfId="2393"/>
    <cellStyle name="Обычный 24 2 3 3 2 2" xfId="5340"/>
    <cellStyle name="Обычный 24 2 3 3 3" xfId="4262"/>
    <cellStyle name="Обычный 24 2 3 4" xfId="800"/>
    <cellStyle name="Обычный 24 2 3 4 2" xfId="3759"/>
    <cellStyle name="Обычный 24 2 3 5" xfId="1871"/>
    <cellStyle name="Обычный 24 2 3 5 2" xfId="4818"/>
    <cellStyle name="Обычный 24 2 3 6" xfId="3250"/>
    <cellStyle name="Обычный 24 3" xfId="250"/>
    <cellStyle name="Обычный 24 3 2" xfId="540"/>
    <cellStyle name="Обычный 24 3 2 2" xfId="1575"/>
    <cellStyle name="Обычный 24 3 2 2 2" xfId="2653"/>
    <cellStyle name="Обычный 24 3 2 2 2 2" xfId="5600"/>
    <cellStyle name="Обычный 24 3 2 2 3" xfId="4522"/>
    <cellStyle name="Обычный 24 3 2 3" xfId="1055"/>
    <cellStyle name="Обычный 24 3 2 3 2" xfId="4004"/>
    <cellStyle name="Обычный 24 3 2 4" xfId="2130"/>
    <cellStyle name="Обычный 24 3 2 4 2" xfId="5077"/>
    <cellStyle name="Обычный 24 3 2 5" xfId="3509"/>
    <cellStyle name="Обычный 24 3 3" xfId="1316"/>
    <cellStyle name="Обычный 24 3 3 2" xfId="2394"/>
    <cellStyle name="Обычный 24 3 3 2 2" xfId="5341"/>
    <cellStyle name="Обычный 24 3 3 3" xfId="4263"/>
    <cellStyle name="Обычный 24 3 4" xfId="801"/>
    <cellStyle name="Обычный 24 3 4 2" xfId="3760"/>
    <cellStyle name="Обычный 24 3 5" xfId="1872"/>
    <cellStyle name="Обычный 24 3 5 2" xfId="4819"/>
    <cellStyle name="Обычный 24 3 6" xfId="3251"/>
    <cellStyle name="Обычный 24 4" xfId="538"/>
    <cellStyle name="Обычный 24 4 2" xfId="1573"/>
    <cellStyle name="Обычный 24 4 2 2" xfId="2651"/>
    <cellStyle name="Обычный 24 4 2 2 2" xfId="5598"/>
    <cellStyle name="Обычный 24 4 2 3" xfId="4520"/>
    <cellStyle name="Обычный 24 4 3" xfId="1053"/>
    <cellStyle name="Обычный 24 4 3 2" xfId="4002"/>
    <cellStyle name="Обычный 24 4 4" xfId="2128"/>
    <cellStyle name="Обычный 24 4 4 2" xfId="5075"/>
    <cellStyle name="Обычный 24 4 5" xfId="3507"/>
    <cellStyle name="Обычный 24 5" xfId="1314"/>
    <cellStyle name="Обычный 24 5 2" xfId="2392"/>
    <cellStyle name="Обычный 24 5 2 2" xfId="5339"/>
    <cellStyle name="Обычный 24 5 3" xfId="4261"/>
    <cellStyle name="Обычный 24 6" xfId="799"/>
    <cellStyle name="Обычный 24 6 2" xfId="3758"/>
    <cellStyle name="Обычный 24 7" xfId="1870"/>
    <cellStyle name="Обычный 24 7 2" xfId="4817"/>
    <cellStyle name="Обычный 24 8" xfId="3249"/>
    <cellStyle name="Обычный 25" xfId="251"/>
    <cellStyle name="Обычный 25 2" xfId="252"/>
    <cellStyle name="Обычный 25 2 2" xfId="542"/>
    <cellStyle name="Обычный 25 2 2 2" xfId="1577"/>
    <cellStyle name="Обычный 25 2 2 2 2" xfId="2655"/>
    <cellStyle name="Обычный 25 2 2 2 2 2" xfId="5602"/>
    <cellStyle name="Обычный 25 2 2 2 3" xfId="4524"/>
    <cellStyle name="Обычный 25 2 2 3" xfId="1057"/>
    <cellStyle name="Обычный 25 2 2 3 2" xfId="4006"/>
    <cellStyle name="Обычный 25 2 2 4" xfId="2132"/>
    <cellStyle name="Обычный 25 2 2 4 2" xfId="5079"/>
    <cellStyle name="Обычный 25 2 2 5" xfId="3511"/>
    <cellStyle name="Обычный 25 2 3" xfId="1318"/>
    <cellStyle name="Обычный 25 2 3 2" xfId="2396"/>
    <cellStyle name="Обычный 25 2 3 2 2" xfId="5343"/>
    <cellStyle name="Обычный 25 2 3 3" xfId="4265"/>
    <cellStyle name="Обычный 25 2 4" xfId="803"/>
    <cellStyle name="Обычный 25 2 4 2" xfId="3762"/>
    <cellStyle name="Обычный 25 2 5" xfId="1874"/>
    <cellStyle name="Обычный 25 2 5 2" xfId="4821"/>
    <cellStyle name="Обычный 25 2 6" xfId="3253"/>
    <cellStyle name="Обычный 25 3" xfId="253"/>
    <cellStyle name="Обычный 25 3 2" xfId="543"/>
    <cellStyle name="Обычный 25 3 2 2" xfId="1578"/>
    <cellStyle name="Обычный 25 3 2 2 2" xfId="2656"/>
    <cellStyle name="Обычный 25 3 2 2 2 2" xfId="5603"/>
    <cellStyle name="Обычный 25 3 2 2 3" xfId="4525"/>
    <cellStyle name="Обычный 25 3 2 3" xfId="1058"/>
    <cellStyle name="Обычный 25 3 2 3 2" xfId="4007"/>
    <cellStyle name="Обычный 25 3 2 4" xfId="2133"/>
    <cellStyle name="Обычный 25 3 2 4 2" xfId="5080"/>
    <cellStyle name="Обычный 25 3 2 5" xfId="3512"/>
    <cellStyle name="Обычный 25 3 3" xfId="1319"/>
    <cellStyle name="Обычный 25 3 3 2" xfId="2397"/>
    <cellStyle name="Обычный 25 3 3 2 2" xfId="5344"/>
    <cellStyle name="Обычный 25 3 3 3" xfId="4266"/>
    <cellStyle name="Обычный 25 3 4" xfId="804"/>
    <cellStyle name="Обычный 25 3 4 2" xfId="3763"/>
    <cellStyle name="Обычный 25 3 5" xfId="1875"/>
    <cellStyle name="Обычный 25 3 5 2" xfId="4822"/>
    <cellStyle name="Обычный 25 3 6" xfId="3254"/>
    <cellStyle name="Обычный 25 4" xfId="541"/>
    <cellStyle name="Обычный 25 4 2" xfId="1576"/>
    <cellStyle name="Обычный 25 4 2 2" xfId="2654"/>
    <cellStyle name="Обычный 25 4 2 2 2" xfId="5601"/>
    <cellStyle name="Обычный 25 4 2 3" xfId="4523"/>
    <cellStyle name="Обычный 25 4 3" xfId="1056"/>
    <cellStyle name="Обычный 25 4 3 2" xfId="4005"/>
    <cellStyle name="Обычный 25 4 4" xfId="2131"/>
    <cellStyle name="Обычный 25 4 4 2" xfId="5078"/>
    <cellStyle name="Обычный 25 4 5" xfId="3510"/>
    <cellStyle name="Обычный 25 5" xfId="1317"/>
    <cellStyle name="Обычный 25 5 2" xfId="2395"/>
    <cellStyle name="Обычный 25 5 2 2" xfId="5342"/>
    <cellStyle name="Обычный 25 5 3" xfId="4264"/>
    <cellStyle name="Обычный 25 6" xfId="802"/>
    <cellStyle name="Обычный 25 6 2" xfId="3761"/>
    <cellStyle name="Обычный 25 7" xfId="1873"/>
    <cellStyle name="Обычный 25 7 2" xfId="4820"/>
    <cellStyle name="Обычный 25 8" xfId="3252"/>
    <cellStyle name="Обычный 26" xfId="254"/>
    <cellStyle name="Обычный 26 2" xfId="544"/>
    <cellStyle name="Обычный 26 2 2" xfId="1579"/>
    <cellStyle name="Обычный 26 2 2 2" xfId="2657"/>
    <cellStyle name="Обычный 26 2 2 2 2" xfId="5604"/>
    <cellStyle name="Обычный 26 2 2 3" xfId="4526"/>
    <cellStyle name="Обычный 26 2 3" xfId="1059"/>
    <cellStyle name="Обычный 26 2 3 2" xfId="4008"/>
    <cellStyle name="Обычный 26 2 4" xfId="2134"/>
    <cellStyle name="Обычный 26 2 4 2" xfId="5081"/>
    <cellStyle name="Обычный 26 2 5" xfId="3513"/>
    <cellStyle name="Обычный 26 3" xfId="1320"/>
    <cellStyle name="Обычный 26 3 2" xfId="2398"/>
    <cellStyle name="Обычный 26 3 2 2" xfId="5345"/>
    <cellStyle name="Обычный 26 3 3" xfId="4267"/>
    <cellStyle name="Обычный 26 4" xfId="805"/>
    <cellStyle name="Обычный 26 4 2" xfId="3764"/>
    <cellStyle name="Обычный 26 5" xfId="1876"/>
    <cellStyle name="Обычный 26 5 2" xfId="4823"/>
    <cellStyle name="Обычный 26 6" xfId="3255"/>
    <cellStyle name="Обычный 27" xfId="255"/>
    <cellStyle name="Обычный 27 2" xfId="545"/>
    <cellStyle name="Обычный 27 2 2" xfId="1580"/>
    <cellStyle name="Обычный 27 2 2 2" xfId="2658"/>
    <cellStyle name="Обычный 27 2 2 2 2" xfId="5605"/>
    <cellStyle name="Обычный 27 2 2 3" xfId="4527"/>
    <cellStyle name="Обычный 27 2 3" xfId="1060"/>
    <cellStyle name="Обычный 27 2 3 2" xfId="4009"/>
    <cellStyle name="Обычный 27 2 4" xfId="2135"/>
    <cellStyle name="Обычный 27 2 4 2" xfId="5082"/>
    <cellStyle name="Обычный 27 2 5" xfId="3514"/>
    <cellStyle name="Обычный 27 3" xfId="1321"/>
    <cellStyle name="Обычный 27 3 2" xfId="2399"/>
    <cellStyle name="Обычный 27 3 2 2" xfId="5346"/>
    <cellStyle name="Обычный 27 3 3" xfId="4268"/>
    <cellStyle name="Обычный 27 4" xfId="806"/>
    <cellStyle name="Обычный 27 4 2" xfId="3765"/>
    <cellStyle name="Обычный 27 5" xfId="1877"/>
    <cellStyle name="Обычный 27 5 2" xfId="4824"/>
    <cellStyle name="Обычный 27 6" xfId="3256"/>
    <cellStyle name="Обычный 28" xfId="256"/>
    <cellStyle name="Обычный 28 2" xfId="546"/>
    <cellStyle name="Обычный 28 2 2" xfId="1581"/>
    <cellStyle name="Обычный 28 2 2 2" xfId="2659"/>
    <cellStyle name="Обычный 28 2 2 2 2" xfId="5606"/>
    <cellStyle name="Обычный 28 2 2 3" xfId="4528"/>
    <cellStyle name="Обычный 28 2 3" xfId="1061"/>
    <cellStyle name="Обычный 28 2 3 2" xfId="4010"/>
    <cellStyle name="Обычный 28 2 4" xfId="2136"/>
    <cellStyle name="Обычный 28 2 4 2" xfId="5083"/>
    <cellStyle name="Обычный 28 2 5" xfId="3515"/>
    <cellStyle name="Обычный 28 3" xfId="1322"/>
    <cellStyle name="Обычный 28 3 2" xfId="2400"/>
    <cellStyle name="Обычный 28 3 2 2" xfId="5347"/>
    <cellStyle name="Обычный 28 3 3" xfId="4269"/>
    <cellStyle name="Обычный 28 4" xfId="807"/>
    <cellStyle name="Обычный 28 4 2" xfId="3766"/>
    <cellStyle name="Обычный 28 5" xfId="1878"/>
    <cellStyle name="Обычный 28 5 2" xfId="4825"/>
    <cellStyle name="Обычный 28 6" xfId="3257"/>
    <cellStyle name="Обычный 29" xfId="257"/>
    <cellStyle name="Обычный 29 2" xfId="547"/>
    <cellStyle name="Обычный 29 2 2" xfId="1582"/>
    <cellStyle name="Обычный 29 2 2 2" xfId="2660"/>
    <cellStyle name="Обычный 29 2 2 2 2" xfId="5607"/>
    <cellStyle name="Обычный 29 2 2 3" xfId="4529"/>
    <cellStyle name="Обычный 29 2 3" xfId="1062"/>
    <cellStyle name="Обычный 29 2 3 2" xfId="4011"/>
    <cellStyle name="Обычный 29 2 4" xfId="2137"/>
    <cellStyle name="Обычный 29 2 4 2" xfId="5084"/>
    <cellStyle name="Обычный 29 2 5" xfId="3516"/>
    <cellStyle name="Обычный 29 3" xfId="1323"/>
    <cellStyle name="Обычный 29 3 2" xfId="2401"/>
    <cellStyle name="Обычный 29 3 2 2" xfId="5348"/>
    <cellStyle name="Обычный 29 3 3" xfId="4270"/>
    <cellStyle name="Обычный 29 4" xfId="808"/>
    <cellStyle name="Обычный 29 4 2" xfId="3767"/>
    <cellStyle name="Обычный 29 5" xfId="1879"/>
    <cellStyle name="Обычный 29 5 2" xfId="4826"/>
    <cellStyle name="Обычный 29 6" xfId="3258"/>
    <cellStyle name="Обычный 3" xfId="27"/>
    <cellStyle name="Обычный 3 10" xfId="407"/>
    <cellStyle name="Обычный 3 10 2" xfId="1449"/>
    <cellStyle name="Обычный 3 10 2 2" xfId="2527"/>
    <cellStyle name="Обычный 3 10 2 2 2" xfId="5474"/>
    <cellStyle name="Обычный 3 10 2 3" xfId="4396"/>
    <cellStyle name="Обычный 3 10 3" xfId="922"/>
    <cellStyle name="Обычный 3 10 3 2" xfId="3879"/>
    <cellStyle name="Обычный 3 10 4" xfId="2005"/>
    <cellStyle name="Обычный 3 10 4 2" xfId="4952"/>
    <cellStyle name="Обычный 3 10 5" xfId="3384"/>
    <cellStyle name="Обычный 3 11" xfId="1177"/>
    <cellStyle name="Обычный 3 11 2" xfId="2255"/>
    <cellStyle name="Обычный 3 11 2 2" xfId="5202"/>
    <cellStyle name="Обычный 3 11 3" xfId="4124"/>
    <cellStyle name="Обычный 3 12" xfId="667"/>
    <cellStyle name="Обычный 3 12 2" xfId="3634"/>
    <cellStyle name="Обычный 3 13" xfId="1734"/>
    <cellStyle name="Обычный 3 13 2" xfId="4681"/>
    <cellStyle name="Обычный 3 14" xfId="3091"/>
    <cellStyle name="Обычный 3 14 2" xfId="6032"/>
    <cellStyle name="Обычный 3 15" xfId="3116"/>
    <cellStyle name="Обычный 3 2" xfId="47"/>
    <cellStyle name="Обычный 3 2 2" xfId="260"/>
    <cellStyle name="Обычный 3 2 3" xfId="261"/>
    <cellStyle name="Обычный 3 2 4" xfId="259"/>
    <cellStyle name="Обычный 3 2 4 2" xfId="549"/>
    <cellStyle name="Обычный 3 2 4 2 2" xfId="1584"/>
    <cellStyle name="Обычный 3 2 4 2 2 2" xfId="2662"/>
    <cellStyle name="Обычный 3 2 4 2 2 2 2" xfId="5609"/>
    <cellStyle name="Обычный 3 2 4 2 2 3" xfId="4531"/>
    <cellStyle name="Обычный 3 2 4 2 3" xfId="1064"/>
    <cellStyle name="Обычный 3 2 4 2 3 2" xfId="4013"/>
    <cellStyle name="Обычный 3 2 4 2 4" xfId="2139"/>
    <cellStyle name="Обычный 3 2 4 2 4 2" xfId="5086"/>
    <cellStyle name="Обычный 3 2 4 2 5" xfId="3518"/>
    <cellStyle name="Обычный 3 2 4 3" xfId="1325"/>
    <cellStyle name="Обычный 3 2 4 3 2" xfId="2403"/>
    <cellStyle name="Обычный 3 2 4 3 2 2" xfId="5350"/>
    <cellStyle name="Обычный 3 2 4 3 3" xfId="4272"/>
    <cellStyle name="Обычный 3 2 4 4" xfId="810"/>
    <cellStyle name="Обычный 3 2 4 4 2" xfId="3769"/>
    <cellStyle name="Обычный 3 2 4 5" xfId="1881"/>
    <cellStyle name="Обычный 3 2 4 5 2" xfId="4828"/>
    <cellStyle name="Обычный 3 2 4 6" xfId="3260"/>
    <cellStyle name="Обычный 3 2 5" xfId="422"/>
    <cellStyle name="Обычный 3 2 5 2" xfId="1464"/>
    <cellStyle name="Обычный 3 2 5 2 2" xfId="2542"/>
    <cellStyle name="Обычный 3 2 5 2 2 2" xfId="5489"/>
    <cellStyle name="Обычный 3 2 5 2 3" xfId="4411"/>
    <cellStyle name="Обычный 3 2 5 3" xfId="937"/>
    <cellStyle name="Обычный 3 2 5 3 2" xfId="3894"/>
    <cellStyle name="Обычный 3 2 5 4" xfId="2020"/>
    <cellStyle name="Обычный 3 2 5 4 2" xfId="4967"/>
    <cellStyle name="Обычный 3 2 5 5" xfId="3399"/>
    <cellStyle name="Обычный 3 2 6" xfId="1192"/>
    <cellStyle name="Обычный 3 2 6 2" xfId="2270"/>
    <cellStyle name="Обычный 3 2 6 2 2" xfId="5217"/>
    <cellStyle name="Обычный 3 2 6 3" xfId="4139"/>
    <cellStyle name="Обычный 3 2 7" xfId="681"/>
    <cellStyle name="Обычный 3 2 7 2" xfId="3648"/>
    <cellStyle name="Обычный 3 2 8" xfId="1749"/>
    <cellStyle name="Обычный 3 2 8 2" xfId="4696"/>
    <cellStyle name="Обычный 3 2 9" xfId="3129"/>
    <cellStyle name="Обычный 3 3" xfId="15"/>
    <cellStyle name="Обычный 3 3 2" xfId="18"/>
    <cellStyle name="Обычный 3 3 2 2" xfId="262"/>
    <cellStyle name="Обычный 3 3 3" xfId="263"/>
    <cellStyle name="Обычный 3 3 4" xfId="264"/>
    <cellStyle name="Обычный 3 3 5" xfId="265"/>
    <cellStyle name="Обычный 3 3 6" xfId="266"/>
    <cellStyle name="Обычный 3 4" xfId="267"/>
    <cellStyle name="Обычный 3 4 2" xfId="268"/>
    <cellStyle name="Обычный 3 4 2 2" xfId="551"/>
    <cellStyle name="Обычный 3 4 2 2 2" xfId="1586"/>
    <cellStyle name="Обычный 3 4 2 2 2 2" xfId="2664"/>
    <cellStyle name="Обычный 3 4 2 2 2 2 2" xfId="5611"/>
    <cellStyle name="Обычный 3 4 2 2 2 3" xfId="4533"/>
    <cellStyle name="Обычный 3 4 2 2 3" xfId="1066"/>
    <cellStyle name="Обычный 3 4 2 2 3 2" xfId="4015"/>
    <cellStyle name="Обычный 3 4 2 2 4" xfId="2141"/>
    <cellStyle name="Обычный 3 4 2 2 4 2" xfId="5088"/>
    <cellStyle name="Обычный 3 4 2 2 5" xfId="3520"/>
    <cellStyle name="Обычный 3 4 2 3" xfId="1327"/>
    <cellStyle name="Обычный 3 4 2 3 2" xfId="2405"/>
    <cellStyle name="Обычный 3 4 2 3 2 2" xfId="5352"/>
    <cellStyle name="Обычный 3 4 2 3 3" xfId="4274"/>
    <cellStyle name="Обычный 3 4 2 4" xfId="812"/>
    <cellStyle name="Обычный 3 4 2 4 2" xfId="3771"/>
    <cellStyle name="Обычный 3 4 2 5" xfId="1883"/>
    <cellStyle name="Обычный 3 4 2 5 2" xfId="4830"/>
    <cellStyle name="Обычный 3 4 2 6" xfId="3262"/>
    <cellStyle name="Обычный 3 4 3" xfId="269"/>
    <cellStyle name="Обычный 3 4 3 2" xfId="552"/>
    <cellStyle name="Обычный 3 4 3 2 2" xfId="1587"/>
    <cellStyle name="Обычный 3 4 3 2 2 2" xfId="2665"/>
    <cellStyle name="Обычный 3 4 3 2 2 2 2" xfId="5612"/>
    <cellStyle name="Обычный 3 4 3 2 2 3" xfId="4534"/>
    <cellStyle name="Обычный 3 4 3 2 3" xfId="1067"/>
    <cellStyle name="Обычный 3 4 3 2 3 2" xfId="4016"/>
    <cellStyle name="Обычный 3 4 3 2 4" xfId="2142"/>
    <cellStyle name="Обычный 3 4 3 2 4 2" xfId="5089"/>
    <cellStyle name="Обычный 3 4 3 2 5" xfId="3521"/>
    <cellStyle name="Обычный 3 4 3 3" xfId="1328"/>
    <cellStyle name="Обычный 3 4 3 3 2" xfId="2406"/>
    <cellStyle name="Обычный 3 4 3 3 2 2" xfId="5353"/>
    <cellStyle name="Обычный 3 4 3 3 3" xfId="4275"/>
    <cellStyle name="Обычный 3 4 3 4" xfId="813"/>
    <cellStyle name="Обычный 3 4 3 4 2" xfId="3772"/>
    <cellStyle name="Обычный 3 4 3 5" xfId="1884"/>
    <cellStyle name="Обычный 3 4 3 5 2" xfId="4831"/>
    <cellStyle name="Обычный 3 4 3 6" xfId="3263"/>
    <cellStyle name="Обычный 3 4 4" xfId="270"/>
    <cellStyle name="Обычный 3 4 4 2" xfId="553"/>
    <cellStyle name="Обычный 3 4 4 2 2" xfId="1588"/>
    <cellStyle name="Обычный 3 4 4 2 2 2" xfId="2666"/>
    <cellStyle name="Обычный 3 4 4 2 2 2 2" xfId="5613"/>
    <cellStyle name="Обычный 3 4 4 2 2 3" xfId="4535"/>
    <cellStyle name="Обычный 3 4 4 2 3" xfId="1068"/>
    <cellStyle name="Обычный 3 4 4 2 3 2" xfId="4017"/>
    <cellStyle name="Обычный 3 4 4 2 4" xfId="2143"/>
    <cellStyle name="Обычный 3 4 4 2 4 2" xfId="5090"/>
    <cellStyle name="Обычный 3 4 4 2 5" xfId="3522"/>
    <cellStyle name="Обычный 3 4 4 3" xfId="1329"/>
    <cellStyle name="Обычный 3 4 4 3 2" xfId="2407"/>
    <cellStyle name="Обычный 3 4 4 3 2 2" xfId="5354"/>
    <cellStyle name="Обычный 3 4 4 3 3" xfId="4276"/>
    <cellStyle name="Обычный 3 4 4 4" xfId="814"/>
    <cellStyle name="Обычный 3 4 4 4 2" xfId="3773"/>
    <cellStyle name="Обычный 3 4 4 5" xfId="1885"/>
    <cellStyle name="Обычный 3 4 4 5 2" xfId="4832"/>
    <cellStyle name="Обычный 3 4 4 6" xfId="3264"/>
    <cellStyle name="Обычный 3 4 5" xfId="550"/>
    <cellStyle name="Обычный 3 4 5 2" xfId="1585"/>
    <cellStyle name="Обычный 3 4 5 2 2" xfId="2663"/>
    <cellStyle name="Обычный 3 4 5 2 2 2" xfId="5610"/>
    <cellStyle name="Обычный 3 4 5 2 3" xfId="4532"/>
    <cellStyle name="Обычный 3 4 5 3" xfId="1065"/>
    <cellStyle name="Обычный 3 4 5 3 2" xfId="4014"/>
    <cellStyle name="Обычный 3 4 5 4" xfId="2140"/>
    <cellStyle name="Обычный 3 4 5 4 2" xfId="5087"/>
    <cellStyle name="Обычный 3 4 5 5" xfId="3519"/>
    <cellStyle name="Обычный 3 4 6" xfId="1326"/>
    <cellStyle name="Обычный 3 4 6 2" xfId="2404"/>
    <cellStyle name="Обычный 3 4 6 2 2" xfId="5351"/>
    <cellStyle name="Обычный 3 4 6 3" xfId="4273"/>
    <cellStyle name="Обычный 3 4 7" xfId="811"/>
    <cellStyle name="Обычный 3 4 7 2" xfId="3770"/>
    <cellStyle name="Обычный 3 4 8" xfId="1882"/>
    <cellStyle name="Обычный 3 4 8 2" xfId="4829"/>
    <cellStyle name="Обычный 3 4 9" xfId="3261"/>
    <cellStyle name="Обычный 3 5" xfId="271"/>
    <cellStyle name="Обычный 3 5 2" xfId="554"/>
    <cellStyle name="Обычный 3 5 2 2" xfId="1589"/>
    <cellStyle name="Обычный 3 5 2 2 2" xfId="2667"/>
    <cellStyle name="Обычный 3 5 2 2 2 2" xfId="5614"/>
    <cellStyle name="Обычный 3 5 2 2 3" xfId="4536"/>
    <cellStyle name="Обычный 3 5 2 3" xfId="1069"/>
    <cellStyle name="Обычный 3 5 2 3 2" xfId="4018"/>
    <cellStyle name="Обычный 3 5 2 4" xfId="2144"/>
    <cellStyle name="Обычный 3 5 2 4 2" xfId="5091"/>
    <cellStyle name="Обычный 3 5 2 5" xfId="3523"/>
    <cellStyle name="Обычный 3 5 3" xfId="1330"/>
    <cellStyle name="Обычный 3 5 3 2" xfId="2408"/>
    <cellStyle name="Обычный 3 5 3 2 2" xfId="5355"/>
    <cellStyle name="Обычный 3 5 3 3" xfId="4277"/>
    <cellStyle name="Обычный 3 5 4" xfId="815"/>
    <cellStyle name="Обычный 3 5 4 2" xfId="3774"/>
    <cellStyle name="Обычный 3 5 5" xfId="1886"/>
    <cellStyle name="Обычный 3 5 5 2" xfId="4833"/>
    <cellStyle name="Обычный 3 5 6" xfId="3265"/>
    <cellStyle name="Обычный 3 6" xfId="272"/>
    <cellStyle name="Обычный 3 6 2" xfId="555"/>
    <cellStyle name="Обычный 3 6 2 2" xfId="1590"/>
    <cellStyle name="Обычный 3 6 2 2 2" xfId="2668"/>
    <cellStyle name="Обычный 3 6 2 2 2 2" xfId="5615"/>
    <cellStyle name="Обычный 3 6 2 2 3" xfId="4537"/>
    <cellStyle name="Обычный 3 6 2 3" xfId="1070"/>
    <cellStyle name="Обычный 3 6 2 3 2" xfId="4019"/>
    <cellStyle name="Обычный 3 6 2 4" xfId="2145"/>
    <cellStyle name="Обычный 3 6 2 4 2" xfId="5092"/>
    <cellStyle name="Обычный 3 6 2 5" xfId="3524"/>
    <cellStyle name="Обычный 3 6 3" xfId="1331"/>
    <cellStyle name="Обычный 3 6 3 2" xfId="2409"/>
    <cellStyle name="Обычный 3 6 3 2 2" xfId="5356"/>
    <cellStyle name="Обычный 3 6 3 3" xfId="4278"/>
    <cellStyle name="Обычный 3 6 4" xfId="816"/>
    <cellStyle name="Обычный 3 6 4 2" xfId="3775"/>
    <cellStyle name="Обычный 3 6 5" xfId="1887"/>
    <cellStyle name="Обычный 3 6 5 2" xfId="4834"/>
    <cellStyle name="Обычный 3 6 6" xfId="3266"/>
    <cellStyle name="Обычный 3 7" xfId="273"/>
    <cellStyle name="Обычный 3 7 2" xfId="556"/>
    <cellStyle name="Обычный 3 7 2 2" xfId="1591"/>
    <cellStyle name="Обычный 3 7 2 2 2" xfId="2669"/>
    <cellStyle name="Обычный 3 7 2 2 2 2" xfId="5616"/>
    <cellStyle name="Обычный 3 7 2 2 3" xfId="4538"/>
    <cellStyle name="Обычный 3 7 2 3" xfId="1071"/>
    <cellStyle name="Обычный 3 7 2 3 2" xfId="4020"/>
    <cellStyle name="Обычный 3 7 2 4" xfId="2146"/>
    <cellStyle name="Обычный 3 7 2 4 2" xfId="5093"/>
    <cellStyle name="Обычный 3 7 2 5" xfId="3525"/>
    <cellStyle name="Обычный 3 7 3" xfId="1332"/>
    <cellStyle name="Обычный 3 7 3 2" xfId="2410"/>
    <cellStyle name="Обычный 3 7 3 2 2" xfId="5357"/>
    <cellStyle name="Обычный 3 7 3 3" xfId="4279"/>
    <cellStyle name="Обычный 3 7 4" xfId="817"/>
    <cellStyle name="Обычный 3 7 4 2" xfId="3776"/>
    <cellStyle name="Обычный 3 7 5" xfId="1888"/>
    <cellStyle name="Обычный 3 7 5 2" xfId="4835"/>
    <cellStyle name="Обычный 3 7 6" xfId="3267"/>
    <cellStyle name="Обычный 3 8" xfId="274"/>
    <cellStyle name="Обычный 3 9" xfId="258"/>
    <cellStyle name="Обычный 3 9 2" xfId="548"/>
    <cellStyle name="Обычный 3 9 2 2" xfId="1583"/>
    <cellStyle name="Обычный 3 9 2 2 2" xfId="2661"/>
    <cellStyle name="Обычный 3 9 2 2 2 2" xfId="5608"/>
    <cellStyle name="Обычный 3 9 2 2 3" xfId="4530"/>
    <cellStyle name="Обычный 3 9 2 3" xfId="1063"/>
    <cellStyle name="Обычный 3 9 2 3 2" xfId="4012"/>
    <cellStyle name="Обычный 3 9 2 4" xfId="2138"/>
    <cellStyle name="Обычный 3 9 2 4 2" xfId="5085"/>
    <cellStyle name="Обычный 3 9 2 5" xfId="3517"/>
    <cellStyle name="Обычный 3 9 3" xfId="1324"/>
    <cellStyle name="Обычный 3 9 3 2" xfId="2402"/>
    <cellStyle name="Обычный 3 9 3 2 2" xfId="5349"/>
    <cellStyle name="Обычный 3 9 3 3" xfId="4271"/>
    <cellStyle name="Обычный 3 9 4" xfId="809"/>
    <cellStyle name="Обычный 3 9 4 2" xfId="3768"/>
    <cellStyle name="Обычный 3 9 5" xfId="1880"/>
    <cellStyle name="Обычный 3 9 5 2" xfId="4827"/>
    <cellStyle name="Обычный 3 9 6" xfId="3259"/>
    <cellStyle name="Обычный 30" xfId="402"/>
    <cellStyle name="Обычный 30 2" xfId="662"/>
    <cellStyle name="Обычный 30 2 2" xfId="1695"/>
    <cellStyle name="Обычный 30 2 2 2" xfId="2773"/>
    <cellStyle name="Обычный 30 2 2 2 2" xfId="5720"/>
    <cellStyle name="Обычный 30 2 2 3" xfId="4642"/>
    <cellStyle name="Обычный 30 2 3" xfId="2250"/>
    <cellStyle name="Обычный 30 2 3 2" xfId="5197"/>
    <cellStyle name="Обычный 30 2 4" xfId="3629"/>
    <cellStyle name="Обычный 30 3" xfId="1444"/>
    <cellStyle name="Обычный 30 3 2" xfId="2522"/>
    <cellStyle name="Обычный 30 3 2 2" xfId="5469"/>
    <cellStyle name="Обычный 30 3 3" xfId="4391"/>
    <cellStyle name="Обычный 30 4" xfId="2000"/>
    <cellStyle name="Обычный 30 4 2" xfId="4947"/>
    <cellStyle name="Обычный 30 5" xfId="3379"/>
    <cellStyle name="Обычный 31" xfId="657"/>
    <cellStyle name="Обычный 31 2" xfId="1690"/>
    <cellStyle name="Обычный 31 2 2" xfId="2768"/>
    <cellStyle name="Обычный 31 2 2 2" xfId="5715"/>
    <cellStyle name="Обычный 31 2 3" xfId="4637"/>
    <cellStyle name="Обычный 31 3" xfId="1172"/>
    <cellStyle name="Обычный 31 3 2" xfId="4119"/>
    <cellStyle name="Обычный 31 4" xfId="2245"/>
    <cellStyle name="Обычный 31 4 2" xfId="5192"/>
    <cellStyle name="Обычный 31 5" xfId="3624"/>
    <cellStyle name="Обычный 32" xfId="661"/>
    <cellStyle name="Обычный 32 2" xfId="1694"/>
    <cellStyle name="Обычный 32 2 2" xfId="2772"/>
    <cellStyle name="Обычный 32 2 2 2" xfId="5719"/>
    <cellStyle name="Обычный 32 2 3" xfId="4641"/>
    <cellStyle name="Обычный 32 3" xfId="2249"/>
    <cellStyle name="Обычный 32 3 2" xfId="5196"/>
    <cellStyle name="Обычный 32 4" xfId="3628"/>
    <cellStyle name="Обычный 33" xfId="1709"/>
    <cellStyle name="Обычный 33 2" xfId="2787"/>
    <cellStyle name="Обычный 33 2 2" xfId="5734"/>
    <cellStyle name="Обычный 33 3" xfId="4656"/>
    <cellStyle name="Обычный 34" xfId="13"/>
    <cellStyle name="Обычный 35" xfId="275"/>
    <cellStyle name="Обычный 35 2" xfId="276"/>
    <cellStyle name="Обычный 35 2 2" xfId="558"/>
    <cellStyle name="Обычный 35 2 2 2" xfId="1593"/>
    <cellStyle name="Обычный 35 2 2 2 2" xfId="2671"/>
    <cellStyle name="Обычный 35 2 2 2 2 2" xfId="5618"/>
    <cellStyle name="Обычный 35 2 2 2 3" xfId="4540"/>
    <cellStyle name="Обычный 35 2 2 3" xfId="1073"/>
    <cellStyle name="Обычный 35 2 2 3 2" xfId="4022"/>
    <cellStyle name="Обычный 35 2 2 4" xfId="2148"/>
    <cellStyle name="Обычный 35 2 2 4 2" xfId="5095"/>
    <cellStyle name="Обычный 35 2 2 5" xfId="3527"/>
    <cellStyle name="Обычный 35 2 3" xfId="1334"/>
    <cellStyle name="Обычный 35 2 3 2" xfId="2412"/>
    <cellStyle name="Обычный 35 2 3 2 2" xfId="5359"/>
    <cellStyle name="Обычный 35 2 3 3" xfId="4281"/>
    <cellStyle name="Обычный 35 2 4" xfId="819"/>
    <cellStyle name="Обычный 35 2 4 2" xfId="3778"/>
    <cellStyle name="Обычный 35 2 5" xfId="1890"/>
    <cellStyle name="Обычный 35 2 5 2" xfId="4837"/>
    <cellStyle name="Обычный 35 2 6" xfId="3269"/>
    <cellStyle name="Обычный 35 3" xfId="557"/>
    <cellStyle name="Обычный 35 3 2" xfId="1592"/>
    <cellStyle name="Обычный 35 3 2 2" xfId="2670"/>
    <cellStyle name="Обычный 35 3 2 2 2" xfId="5617"/>
    <cellStyle name="Обычный 35 3 2 3" xfId="4539"/>
    <cellStyle name="Обычный 35 3 3" xfId="1072"/>
    <cellStyle name="Обычный 35 3 3 2" xfId="4021"/>
    <cellStyle name="Обычный 35 3 4" xfId="2147"/>
    <cellStyle name="Обычный 35 3 4 2" xfId="5094"/>
    <cellStyle name="Обычный 35 3 5" xfId="3526"/>
    <cellStyle name="Обычный 35 4" xfId="1333"/>
    <cellStyle name="Обычный 35 4 2" xfId="2411"/>
    <cellStyle name="Обычный 35 4 2 2" xfId="5358"/>
    <cellStyle name="Обычный 35 4 3" xfId="4280"/>
    <cellStyle name="Обычный 35 5" xfId="818"/>
    <cellStyle name="Обычный 35 5 2" xfId="3777"/>
    <cellStyle name="Обычный 35 6" xfId="1889"/>
    <cellStyle name="Обычный 35 6 2" xfId="4836"/>
    <cellStyle name="Обычный 35 7" xfId="3268"/>
    <cellStyle name="Обычный 36" xfId="277"/>
    <cellStyle name="Обычный 36 2" xfId="278"/>
    <cellStyle name="Обычный 36 2 2" xfId="560"/>
    <cellStyle name="Обычный 36 2 2 2" xfId="1595"/>
    <cellStyle name="Обычный 36 2 2 2 2" xfId="2673"/>
    <cellStyle name="Обычный 36 2 2 2 2 2" xfId="5620"/>
    <cellStyle name="Обычный 36 2 2 2 3" xfId="4542"/>
    <cellStyle name="Обычный 36 2 2 3" xfId="1075"/>
    <cellStyle name="Обычный 36 2 2 3 2" xfId="4024"/>
    <cellStyle name="Обычный 36 2 2 4" xfId="2150"/>
    <cellStyle name="Обычный 36 2 2 4 2" xfId="5097"/>
    <cellStyle name="Обычный 36 2 2 5" xfId="3529"/>
    <cellStyle name="Обычный 36 2 3" xfId="1336"/>
    <cellStyle name="Обычный 36 2 3 2" xfId="2414"/>
    <cellStyle name="Обычный 36 2 3 2 2" xfId="5361"/>
    <cellStyle name="Обычный 36 2 3 3" xfId="4283"/>
    <cellStyle name="Обычный 36 2 4" xfId="821"/>
    <cellStyle name="Обычный 36 2 4 2" xfId="3780"/>
    <cellStyle name="Обычный 36 2 5" xfId="1892"/>
    <cellStyle name="Обычный 36 2 5 2" xfId="4839"/>
    <cellStyle name="Обычный 36 2 6" xfId="3271"/>
    <cellStyle name="Обычный 36 3" xfId="559"/>
    <cellStyle name="Обычный 36 3 2" xfId="1594"/>
    <cellStyle name="Обычный 36 3 2 2" xfId="2672"/>
    <cellStyle name="Обычный 36 3 2 2 2" xfId="5619"/>
    <cellStyle name="Обычный 36 3 2 3" xfId="4541"/>
    <cellStyle name="Обычный 36 3 3" xfId="1074"/>
    <cellStyle name="Обычный 36 3 3 2" xfId="4023"/>
    <cellStyle name="Обычный 36 3 4" xfId="2149"/>
    <cellStyle name="Обычный 36 3 4 2" xfId="5096"/>
    <cellStyle name="Обычный 36 3 5" xfId="3528"/>
    <cellStyle name="Обычный 36 4" xfId="1335"/>
    <cellStyle name="Обычный 36 4 2" xfId="2413"/>
    <cellStyle name="Обычный 36 4 2 2" xfId="5360"/>
    <cellStyle name="Обычный 36 4 3" xfId="4282"/>
    <cellStyle name="Обычный 36 5" xfId="820"/>
    <cellStyle name="Обычный 36 5 2" xfId="3779"/>
    <cellStyle name="Обычный 36 6" xfId="1891"/>
    <cellStyle name="Обычный 36 6 2" xfId="4838"/>
    <cellStyle name="Обычный 36 7" xfId="3270"/>
    <cellStyle name="Обычный 37" xfId="279"/>
    <cellStyle name="Обычный 37 2" xfId="561"/>
    <cellStyle name="Обычный 37 2 2" xfId="1596"/>
    <cellStyle name="Обычный 37 2 2 2" xfId="2674"/>
    <cellStyle name="Обычный 37 2 2 2 2" xfId="5621"/>
    <cellStyle name="Обычный 37 2 2 3" xfId="4543"/>
    <cellStyle name="Обычный 37 2 3" xfId="1076"/>
    <cellStyle name="Обычный 37 2 3 2" xfId="4025"/>
    <cellStyle name="Обычный 37 2 4" xfId="2151"/>
    <cellStyle name="Обычный 37 2 4 2" xfId="5098"/>
    <cellStyle name="Обычный 37 2 5" xfId="3530"/>
    <cellStyle name="Обычный 37 3" xfId="1337"/>
    <cellStyle name="Обычный 37 3 2" xfId="2415"/>
    <cellStyle name="Обычный 37 3 2 2" xfId="5362"/>
    <cellStyle name="Обычный 37 3 3" xfId="4284"/>
    <cellStyle name="Обычный 37 4" xfId="822"/>
    <cellStyle name="Обычный 37 4 2" xfId="3781"/>
    <cellStyle name="Обычный 37 5" xfId="1893"/>
    <cellStyle name="Обычный 37 5 2" xfId="4840"/>
    <cellStyle name="Обычный 37 6" xfId="3272"/>
    <cellStyle name="Обычный 38" xfId="1"/>
    <cellStyle name="Обычный 38 2" xfId="3104"/>
    <cellStyle name="Обычный 39" xfId="3079"/>
    <cellStyle name="Обычный 39 2" xfId="6021"/>
    <cellStyle name="Обычный 4" xfId="29"/>
    <cellStyle name="Обычный 4 10" xfId="669"/>
    <cellStyle name="Обычный 4 10 2" xfId="3636"/>
    <cellStyle name="Обычный 4 11" xfId="1736"/>
    <cellStyle name="Обычный 4 11 2" xfId="4683"/>
    <cellStyle name="Обычный 4 12" xfId="3098"/>
    <cellStyle name="Обычный 4 13" xfId="3118"/>
    <cellStyle name="Обычный 4 2" xfId="30"/>
    <cellStyle name="Обычный 4 2 10" xfId="3119"/>
    <cellStyle name="Обычный 4 2 2" xfId="50"/>
    <cellStyle name="Обычный 4 2 2 2" xfId="282"/>
    <cellStyle name="Обычный 4 2 2 2 2" xfId="564"/>
    <cellStyle name="Обычный 4 2 2 2 2 2" xfId="1599"/>
    <cellStyle name="Обычный 4 2 2 2 2 2 2" xfId="2677"/>
    <cellStyle name="Обычный 4 2 2 2 2 2 2 2" xfId="5624"/>
    <cellStyle name="Обычный 4 2 2 2 2 2 3" xfId="4546"/>
    <cellStyle name="Обычный 4 2 2 2 2 3" xfId="1079"/>
    <cellStyle name="Обычный 4 2 2 2 2 3 2" xfId="4028"/>
    <cellStyle name="Обычный 4 2 2 2 2 4" xfId="2154"/>
    <cellStyle name="Обычный 4 2 2 2 2 4 2" xfId="5101"/>
    <cellStyle name="Обычный 4 2 2 2 2 5" xfId="3533"/>
    <cellStyle name="Обычный 4 2 2 2 3" xfId="1340"/>
    <cellStyle name="Обычный 4 2 2 2 3 2" xfId="2418"/>
    <cellStyle name="Обычный 4 2 2 2 3 2 2" xfId="5365"/>
    <cellStyle name="Обычный 4 2 2 2 3 3" xfId="4287"/>
    <cellStyle name="Обычный 4 2 2 2 4" xfId="825"/>
    <cellStyle name="Обычный 4 2 2 2 4 2" xfId="3784"/>
    <cellStyle name="Обычный 4 2 2 2 5" xfId="1896"/>
    <cellStyle name="Обычный 4 2 2 2 5 2" xfId="4843"/>
    <cellStyle name="Обычный 4 2 2 2 6" xfId="3275"/>
    <cellStyle name="Обычный 4 2 2 3" xfId="425"/>
    <cellStyle name="Обычный 4 2 2 3 2" xfId="1467"/>
    <cellStyle name="Обычный 4 2 2 3 2 2" xfId="2545"/>
    <cellStyle name="Обычный 4 2 2 3 2 2 2" xfId="5492"/>
    <cellStyle name="Обычный 4 2 2 3 2 3" xfId="4414"/>
    <cellStyle name="Обычный 4 2 2 3 3" xfId="940"/>
    <cellStyle name="Обычный 4 2 2 3 3 2" xfId="3897"/>
    <cellStyle name="Обычный 4 2 2 3 4" xfId="2023"/>
    <cellStyle name="Обычный 4 2 2 3 4 2" xfId="4970"/>
    <cellStyle name="Обычный 4 2 2 3 5" xfId="3402"/>
    <cellStyle name="Обычный 4 2 2 4" xfId="1195"/>
    <cellStyle name="Обычный 4 2 2 4 2" xfId="2273"/>
    <cellStyle name="Обычный 4 2 2 4 2 2" xfId="5220"/>
    <cellStyle name="Обычный 4 2 2 4 3" xfId="4142"/>
    <cellStyle name="Обычный 4 2 2 5" xfId="684"/>
    <cellStyle name="Обычный 4 2 2 5 2" xfId="3651"/>
    <cellStyle name="Обычный 4 2 2 6" xfId="1752"/>
    <cellStyle name="Обычный 4 2 2 6 2" xfId="4699"/>
    <cellStyle name="Обычный 4 2 2 7" xfId="3132"/>
    <cellStyle name="Обычный 4 2 3" xfId="283"/>
    <cellStyle name="Обычный 4 2 3 2" xfId="565"/>
    <cellStyle name="Обычный 4 2 3 2 2" xfId="1600"/>
    <cellStyle name="Обычный 4 2 3 2 2 2" xfId="2678"/>
    <cellStyle name="Обычный 4 2 3 2 2 2 2" xfId="5625"/>
    <cellStyle name="Обычный 4 2 3 2 2 3" xfId="4547"/>
    <cellStyle name="Обычный 4 2 3 2 3" xfId="1080"/>
    <cellStyle name="Обычный 4 2 3 2 3 2" xfId="4029"/>
    <cellStyle name="Обычный 4 2 3 2 4" xfId="2155"/>
    <cellStyle name="Обычный 4 2 3 2 4 2" xfId="5102"/>
    <cellStyle name="Обычный 4 2 3 2 5" xfId="3534"/>
    <cellStyle name="Обычный 4 2 3 3" xfId="1341"/>
    <cellStyle name="Обычный 4 2 3 3 2" xfId="2419"/>
    <cellStyle name="Обычный 4 2 3 3 2 2" xfId="5366"/>
    <cellStyle name="Обычный 4 2 3 3 3" xfId="4288"/>
    <cellStyle name="Обычный 4 2 3 4" xfId="826"/>
    <cellStyle name="Обычный 4 2 3 4 2" xfId="3785"/>
    <cellStyle name="Обычный 4 2 3 5" xfId="1897"/>
    <cellStyle name="Обычный 4 2 3 5 2" xfId="4844"/>
    <cellStyle name="Обычный 4 2 3 6" xfId="3276"/>
    <cellStyle name="Обычный 4 2 4" xfId="284"/>
    <cellStyle name="Обычный 4 2 4 2" xfId="566"/>
    <cellStyle name="Обычный 4 2 4 2 2" xfId="1601"/>
    <cellStyle name="Обычный 4 2 4 2 2 2" xfId="2679"/>
    <cellStyle name="Обычный 4 2 4 2 2 2 2" xfId="5626"/>
    <cellStyle name="Обычный 4 2 4 2 2 3" xfId="4548"/>
    <cellStyle name="Обычный 4 2 4 2 3" xfId="1081"/>
    <cellStyle name="Обычный 4 2 4 2 3 2" xfId="4030"/>
    <cellStyle name="Обычный 4 2 4 2 4" xfId="2156"/>
    <cellStyle name="Обычный 4 2 4 2 4 2" xfId="5103"/>
    <cellStyle name="Обычный 4 2 4 2 5" xfId="3535"/>
    <cellStyle name="Обычный 4 2 4 3" xfId="1342"/>
    <cellStyle name="Обычный 4 2 4 3 2" xfId="2420"/>
    <cellStyle name="Обычный 4 2 4 3 2 2" xfId="5367"/>
    <cellStyle name="Обычный 4 2 4 3 3" xfId="4289"/>
    <cellStyle name="Обычный 4 2 4 4" xfId="827"/>
    <cellStyle name="Обычный 4 2 4 4 2" xfId="3786"/>
    <cellStyle name="Обычный 4 2 4 5" xfId="1898"/>
    <cellStyle name="Обычный 4 2 4 5 2" xfId="4845"/>
    <cellStyle name="Обычный 4 2 4 6" xfId="3277"/>
    <cellStyle name="Обычный 4 2 5" xfId="281"/>
    <cellStyle name="Обычный 4 2 5 2" xfId="563"/>
    <cellStyle name="Обычный 4 2 5 2 2" xfId="1598"/>
    <cellStyle name="Обычный 4 2 5 2 2 2" xfId="2676"/>
    <cellStyle name="Обычный 4 2 5 2 2 2 2" xfId="5623"/>
    <cellStyle name="Обычный 4 2 5 2 2 3" xfId="4545"/>
    <cellStyle name="Обычный 4 2 5 2 3" xfId="1078"/>
    <cellStyle name="Обычный 4 2 5 2 3 2" xfId="4027"/>
    <cellStyle name="Обычный 4 2 5 2 4" xfId="2153"/>
    <cellStyle name="Обычный 4 2 5 2 4 2" xfId="5100"/>
    <cellStyle name="Обычный 4 2 5 2 5" xfId="3532"/>
    <cellStyle name="Обычный 4 2 5 3" xfId="1339"/>
    <cellStyle name="Обычный 4 2 5 3 2" xfId="2417"/>
    <cellStyle name="Обычный 4 2 5 3 2 2" xfId="5364"/>
    <cellStyle name="Обычный 4 2 5 3 3" xfId="4286"/>
    <cellStyle name="Обычный 4 2 5 4" xfId="824"/>
    <cellStyle name="Обычный 4 2 5 4 2" xfId="3783"/>
    <cellStyle name="Обычный 4 2 5 5" xfId="1895"/>
    <cellStyle name="Обычный 4 2 5 5 2" xfId="4842"/>
    <cellStyle name="Обычный 4 2 5 6" xfId="3274"/>
    <cellStyle name="Обычный 4 2 6" xfId="410"/>
    <cellStyle name="Обычный 4 2 6 2" xfId="1452"/>
    <cellStyle name="Обычный 4 2 6 2 2" xfId="2530"/>
    <cellStyle name="Обычный 4 2 6 2 2 2" xfId="5477"/>
    <cellStyle name="Обычный 4 2 6 2 3" xfId="4399"/>
    <cellStyle name="Обычный 4 2 6 3" xfId="925"/>
    <cellStyle name="Обычный 4 2 6 3 2" xfId="3882"/>
    <cellStyle name="Обычный 4 2 6 4" xfId="2008"/>
    <cellStyle name="Обычный 4 2 6 4 2" xfId="4955"/>
    <cellStyle name="Обычный 4 2 6 5" xfId="3387"/>
    <cellStyle name="Обычный 4 2 7" xfId="1180"/>
    <cellStyle name="Обычный 4 2 7 2" xfId="2258"/>
    <cellStyle name="Обычный 4 2 7 2 2" xfId="5205"/>
    <cellStyle name="Обычный 4 2 7 3" xfId="4127"/>
    <cellStyle name="Обычный 4 2 8" xfId="670"/>
    <cellStyle name="Обычный 4 2 8 2" xfId="3637"/>
    <cellStyle name="Обычный 4 2 9" xfId="1737"/>
    <cellStyle name="Обычный 4 2 9 2" xfId="4684"/>
    <cellStyle name="Обычный 4 3" xfId="49"/>
    <cellStyle name="Обычный 4 3 2" xfId="286"/>
    <cellStyle name="Обычный 4 3 2 2" xfId="568"/>
    <cellStyle name="Обычный 4 3 2 2 2" xfId="1603"/>
    <cellStyle name="Обычный 4 3 2 2 2 2" xfId="2681"/>
    <cellStyle name="Обычный 4 3 2 2 2 2 2" xfId="5628"/>
    <cellStyle name="Обычный 4 3 2 2 2 3" xfId="4550"/>
    <cellStyle name="Обычный 4 3 2 2 3" xfId="1083"/>
    <cellStyle name="Обычный 4 3 2 2 3 2" xfId="4032"/>
    <cellStyle name="Обычный 4 3 2 2 4" xfId="2158"/>
    <cellStyle name="Обычный 4 3 2 2 4 2" xfId="5105"/>
    <cellStyle name="Обычный 4 3 2 2 5" xfId="3537"/>
    <cellStyle name="Обычный 4 3 2 3" xfId="1344"/>
    <cellStyle name="Обычный 4 3 2 3 2" xfId="2422"/>
    <cellStyle name="Обычный 4 3 2 3 2 2" xfId="5369"/>
    <cellStyle name="Обычный 4 3 2 3 3" xfId="4291"/>
    <cellStyle name="Обычный 4 3 2 4" xfId="829"/>
    <cellStyle name="Обычный 4 3 2 4 2" xfId="3788"/>
    <cellStyle name="Обычный 4 3 2 5" xfId="1900"/>
    <cellStyle name="Обычный 4 3 2 5 2" xfId="4847"/>
    <cellStyle name="Обычный 4 3 2 6" xfId="3279"/>
    <cellStyle name="Обычный 4 3 3" xfId="287"/>
    <cellStyle name="Обычный 4 3 3 2" xfId="569"/>
    <cellStyle name="Обычный 4 3 3 2 2" xfId="1604"/>
    <cellStyle name="Обычный 4 3 3 2 2 2" xfId="2682"/>
    <cellStyle name="Обычный 4 3 3 2 2 2 2" xfId="5629"/>
    <cellStyle name="Обычный 4 3 3 2 2 3" xfId="4551"/>
    <cellStyle name="Обычный 4 3 3 2 3" xfId="1084"/>
    <cellStyle name="Обычный 4 3 3 2 3 2" xfId="4033"/>
    <cellStyle name="Обычный 4 3 3 2 4" xfId="2159"/>
    <cellStyle name="Обычный 4 3 3 2 4 2" xfId="5106"/>
    <cellStyle name="Обычный 4 3 3 2 5" xfId="3538"/>
    <cellStyle name="Обычный 4 3 3 3" xfId="1345"/>
    <cellStyle name="Обычный 4 3 3 3 2" xfId="2423"/>
    <cellStyle name="Обычный 4 3 3 3 2 2" xfId="5370"/>
    <cellStyle name="Обычный 4 3 3 3 3" xfId="4292"/>
    <cellStyle name="Обычный 4 3 3 4" xfId="830"/>
    <cellStyle name="Обычный 4 3 3 4 2" xfId="3789"/>
    <cellStyle name="Обычный 4 3 3 5" xfId="1901"/>
    <cellStyle name="Обычный 4 3 3 5 2" xfId="4848"/>
    <cellStyle name="Обычный 4 3 3 6" xfId="3280"/>
    <cellStyle name="Обычный 4 3 4" xfId="285"/>
    <cellStyle name="Обычный 4 3 4 2" xfId="567"/>
    <cellStyle name="Обычный 4 3 4 2 2" xfId="1602"/>
    <cellStyle name="Обычный 4 3 4 2 2 2" xfId="2680"/>
    <cellStyle name="Обычный 4 3 4 2 2 2 2" xfId="5627"/>
    <cellStyle name="Обычный 4 3 4 2 2 3" xfId="4549"/>
    <cellStyle name="Обычный 4 3 4 2 3" xfId="1082"/>
    <cellStyle name="Обычный 4 3 4 2 3 2" xfId="4031"/>
    <cellStyle name="Обычный 4 3 4 2 4" xfId="2157"/>
    <cellStyle name="Обычный 4 3 4 2 4 2" xfId="5104"/>
    <cellStyle name="Обычный 4 3 4 2 5" xfId="3536"/>
    <cellStyle name="Обычный 4 3 4 3" xfId="1343"/>
    <cellStyle name="Обычный 4 3 4 3 2" xfId="2421"/>
    <cellStyle name="Обычный 4 3 4 3 2 2" xfId="5368"/>
    <cellStyle name="Обычный 4 3 4 3 3" xfId="4290"/>
    <cellStyle name="Обычный 4 3 4 4" xfId="828"/>
    <cellStyle name="Обычный 4 3 4 4 2" xfId="3787"/>
    <cellStyle name="Обычный 4 3 4 5" xfId="1899"/>
    <cellStyle name="Обычный 4 3 4 5 2" xfId="4846"/>
    <cellStyle name="Обычный 4 3 4 6" xfId="3278"/>
    <cellStyle name="Обычный 4 3 5" xfId="424"/>
    <cellStyle name="Обычный 4 3 5 2" xfId="1466"/>
    <cellStyle name="Обычный 4 3 5 2 2" xfId="2544"/>
    <cellStyle name="Обычный 4 3 5 2 2 2" xfId="5491"/>
    <cellStyle name="Обычный 4 3 5 2 3" xfId="4413"/>
    <cellStyle name="Обычный 4 3 5 3" xfId="939"/>
    <cellStyle name="Обычный 4 3 5 3 2" xfId="3896"/>
    <cellStyle name="Обычный 4 3 5 4" xfId="2022"/>
    <cellStyle name="Обычный 4 3 5 4 2" xfId="4969"/>
    <cellStyle name="Обычный 4 3 5 5" xfId="3401"/>
    <cellStyle name="Обычный 4 3 6" xfId="1194"/>
    <cellStyle name="Обычный 4 3 6 2" xfId="2272"/>
    <cellStyle name="Обычный 4 3 6 2 2" xfId="5219"/>
    <cellStyle name="Обычный 4 3 6 3" xfId="4141"/>
    <cellStyle name="Обычный 4 3 7" xfId="683"/>
    <cellStyle name="Обычный 4 3 7 2" xfId="3650"/>
    <cellStyle name="Обычный 4 3 8" xfId="1751"/>
    <cellStyle name="Обычный 4 3 8 2" xfId="4698"/>
    <cellStyle name="Обычный 4 3 9" xfId="3131"/>
    <cellStyle name="Обычный 4 4" xfId="288"/>
    <cellStyle name="Обычный 4 4 2" xfId="570"/>
    <cellStyle name="Обычный 4 4 2 2" xfId="1605"/>
    <cellStyle name="Обычный 4 4 2 2 2" xfId="2683"/>
    <cellStyle name="Обычный 4 4 2 2 2 2" xfId="5630"/>
    <cellStyle name="Обычный 4 4 2 2 3" xfId="4552"/>
    <cellStyle name="Обычный 4 4 2 3" xfId="1085"/>
    <cellStyle name="Обычный 4 4 2 3 2" xfId="4034"/>
    <cellStyle name="Обычный 4 4 2 4" xfId="2160"/>
    <cellStyle name="Обычный 4 4 2 4 2" xfId="5107"/>
    <cellStyle name="Обычный 4 4 2 5" xfId="3539"/>
    <cellStyle name="Обычный 4 4 3" xfId="1346"/>
    <cellStyle name="Обычный 4 4 3 2" xfId="2424"/>
    <cellStyle name="Обычный 4 4 3 2 2" xfId="5371"/>
    <cellStyle name="Обычный 4 4 3 3" xfId="4293"/>
    <cellStyle name="Обычный 4 4 4" xfId="831"/>
    <cellStyle name="Обычный 4 4 4 2" xfId="3790"/>
    <cellStyle name="Обычный 4 4 5" xfId="1902"/>
    <cellStyle name="Обычный 4 4 5 2" xfId="4849"/>
    <cellStyle name="Обычный 4 4 6" xfId="3281"/>
    <cellStyle name="Обычный 4 5" xfId="289"/>
    <cellStyle name="Обычный 4 5 2" xfId="571"/>
    <cellStyle name="Обычный 4 5 2 2" xfId="1606"/>
    <cellStyle name="Обычный 4 5 2 2 2" xfId="2684"/>
    <cellStyle name="Обычный 4 5 2 2 2 2" xfId="5631"/>
    <cellStyle name="Обычный 4 5 2 2 3" xfId="4553"/>
    <cellStyle name="Обычный 4 5 2 3" xfId="1086"/>
    <cellStyle name="Обычный 4 5 2 3 2" xfId="4035"/>
    <cellStyle name="Обычный 4 5 2 4" xfId="2161"/>
    <cellStyle name="Обычный 4 5 2 4 2" xfId="5108"/>
    <cellStyle name="Обычный 4 5 2 5" xfId="3540"/>
    <cellStyle name="Обычный 4 5 3" xfId="1347"/>
    <cellStyle name="Обычный 4 5 3 2" xfId="2425"/>
    <cellStyle name="Обычный 4 5 3 2 2" xfId="5372"/>
    <cellStyle name="Обычный 4 5 3 3" xfId="4294"/>
    <cellStyle name="Обычный 4 5 4" xfId="832"/>
    <cellStyle name="Обычный 4 5 4 2" xfId="3791"/>
    <cellStyle name="Обычный 4 5 5" xfId="1903"/>
    <cellStyle name="Обычный 4 5 5 2" xfId="4850"/>
    <cellStyle name="Обычный 4 5 6" xfId="3282"/>
    <cellStyle name="Обычный 4 6" xfId="290"/>
    <cellStyle name="Обычный 4 6 2" xfId="572"/>
    <cellStyle name="Обычный 4 6 2 2" xfId="1607"/>
    <cellStyle name="Обычный 4 6 2 2 2" xfId="2685"/>
    <cellStyle name="Обычный 4 6 2 2 2 2" xfId="5632"/>
    <cellStyle name="Обычный 4 6 2 2 3" xfId="4554"/>
    <cellStyle name="Обычный 4 6 2 3" xfId="1087"/>
    <cellStyle name="Обычный 4 6 2 3 2" xfId="4036"/>
    <cellStyle name="Обычный 4 6 2 4" xfId="2162"/>
    <cellStyle name="Обычный 4 6 2 4 2" xfId="5109"/>
    <cellStyle name="Обычный 4 6 2 5" xfId="3541"/>
    <cellStyle name="Обычный 4 6 3" xfId="1348"/>
    <cellStyle name="Обычный 4 6 3 2" xfId="2426"/>
    <cellStyle name="Обычный 4 6 3 2 2" xfId="5373"/>
    <cellStyle name="Обычный 4 6 3 3" xfId="4295"/>
    <cellStyle name="Обычный 4 6 4" xfId="833"/>
    <cellStyle name="Обычный 4 6 4 2" xfId="3792"/>
    <cellStyle name="Обычный 4 6 5" xfId="1904"/>
    <cellStyle name="Обычный 4 6 5 2" xfId="4851"/>
    <cellStyle name="Обычный 4 6 6" xfId="3283"/>
    <cellStyle name="Обычный 4 7" xfId="280"/>
    <cellStyle name="Обычный 4 7 2" xfId="562"/>
    <cellStyle name="Обычный 4 7 2 2" xfId="1597"/>
    <cellStyle name="Обычный 4 7 2 2 2" xfId="2675"/>
    <cellStyle name="Обычный 4 7 2 2 2 2" xfId="5622"/>
    <cellStyle name="Обычный 4 7 2 2 3" xfId="4544"/>
    <cellStyle name="Обычный 4 7 2 3" xfId="1077"/>
    <cellStyle name="Обычный 4 7 2 3 2" xfId="4026"/>
    <cellStyle name="Обычный 4 7 2 4" xfId="2152"/>
    <cellStyle name="Обычный 4 7 2 4 2" xfId="5099"/>
    <cellStyle name="Обычный 4 7 2 5" xfId="3531"/>
    <cellStyle name="Обычный 4 7 3" xfId="1338"/>
    <cellStyle name="Обычный 4 7 3 2" xfId="2416"/>
    <cellStyle name="Обычный 4 7 3 2 2" xfId="5363"/>
    <cellStyle name="Обычный 4 7 3 3" xfId="4285"/>
    <cellStyle name="Обычный 4 7 4" xfId="823"/>
    <cellStyle name="Обычный 4 7 4 2" xfId="3782"/>
    <cellStyle name="Обычный 4 7 5" xfId="1894"/>
    <cellStyle name="Обычный 4 7 5 2" xfId="4841"/>
    <cellStyle name="Обычный 4 7 6" xfId="3273"/>
    <cellStyle name="Обычный 4 8" xfId="409"/>
    <cellStyle name="Обычный 4 8 2" xfId="1451"/>
    <cellStyle name="Обычный 4 8 2 2" xfId="2529"/>
    <cellStyle name="Обычный 4 8 2 2 2" xfId="5476"/>
    <cellStyle name="Обычный 4 8 2 3" xfId="4398"/>
    <cellStyle name="Обычный 4 8 3" xfId="924"/>
    <cellStyle name="Обычный 4 8 3 2" xfId="3881"/>
    <cellStyle name="Обычный 4 8 4" xfId="2007"/>
    <cellStyle name="Обычный 4 8 4 2" xfId="4954"/>
    <cellStyle name="Обычный 4 8 5" xfId="3386"/>
    <cellStyle name="Обычный 4 9" xfId="1179"/>
    <cellStyle name="Обычный 4 9 2" xfId="2257"/>
    <cellStyle name="Обычный 4 9 2 2" xfId="5204"/>
    <cellStyle name="Обычный 4 9 3" xfId="4126"/>
    <cellStyle name="Обычный 40" xfId="3080"/>
    <cellStyle name="Обычный 40 2" xfId="6022"/>
    <cellStyle name="Обычный 41" xfId="3084"/>
    <cellStyle name="Обычный 41 2" xfId="6025"/>
    <cellStyle name="Обычный 41 2 2" xfId="6048"/>
    <cellStyle name="Обычный 42" xfId="3103"/>
    <cellStyle name="Обычный 42 2" xfId="6045"/>
    <cellStyle name="Обычный 43" xfId="6036"/>
    <cellStyle name="Обычный 5" xfId="31"/>
    <cellStyle name="Обычный 5 10" xfId="3081"/>
    <cellStyle name="Обычный 5 10 2" xfId="6023"/>
    <cellStyle name="Обычный 5 11" xfId="3089"/>
    <cellStyle name="Обычный 5 11 2" xfId="6030"/>
    <cellStyle name="Обычный 5 12" xfId="3120"/>
    <cellStyle name="Обычный 5 13" xfId="6039"/>
    <cellStyle name="Обычный 5 2" xfId="51"/>
    <cellStyle name="Обычный 5 2 2" xfId="293"/>
    <cellStyle name="Обычный 5 2 2 2" xfId="575"/>
    <cellStyle name="Обычный 5 2 2 2 2" xfId="1610"/>
    <cellStyle name="Обычный 5 2 2 2 2 2" xfId="2688"/>
    <cellStyle name="Обычный 5 2 2 2 2 2 2" xfId="5635"/>
    <cellStyle name="Обычный 5 2 2 2 2 3" xfId="4557"/>
    <cellStyle name="Обычный 5 2 2 2 3" xfId="1090"/>
    <cellStyle name="Обычный 5 2 2 2 3 2" xfId="4039"/>
    <cellStyle name="Обычный 5 2 2 2 4" xfId="2165"/>
    <cellStyle name="Обычный 5 2 2 2 4 2" xfId="5112"/>
    <cellStyle name="Обычный 5 2 2 2 5" xfId="3544"/>
    <cellStyle name="Обычный 5 2 2 3" xfId="1351"/>
    <cellStyle name="Обычный 5 2 2 3 2" xfId="2429"/>
    <cellStyle name="Обычный 5 2 2 3 2 2" xfId="5376"/>
    <cellStyle name="Обычный 5 2 2 3 3" xfId="4298"/>
    <cellStyle name="Обычный 5 2 2 4" xfId="836"/>
    <cellStyle name="Обычный 5 2 2 4 2" xfId="3795"/>
    <cellStyle name="Обычный 5 2 2 5" xfId="1907"/>
    <cellStyle name="Обычный 5 2 2 5 2" xfId="4854"/>
    <cellStyle name="Обычный 5 2 2 6" xfId="3286"/>
    <cellStyle name="Обычный 5 2 3" xfId="292"/>
    <cellStyle name="Обычный 5 2 3 2" xfId="574"/>
    <cellStyle name="Обычный 5 2 3 2 2" xfId="1609"/>
    <cellStyle name="Обычный 5 2 3 2 2 2" xfId="2687"/>
    <cellStyle name="Обычный 5 2 3 2 2 2 2" xfId="5634"/>
    <cellStyle name="Обычный 5 2 3 2 2 3" xfId="4556"/>
    <cellStyle name="Обычный 5 2 3 2 3" xfId="1089"/>
    <cellStyle name="Обычный 5 2 3 2 3 2" xfId="4038"/>
    <cellStyle name="Обычный 5 2 3 2 4" xfId="2164"/>
    <cellStyle name="Обычный 5 2 3 2 4 2" xfId="5111"/>
    <cellStyle name="Обычный 5 2 3 2 5" xfId="3543"/>
    <cellStyle name="Обычный 5 2 3 3" xfId="1350"/>
    <cellStyle name="Обычный 5 2 3 3 2" xfId="2428"/>
    <cellStyle name="Обычный 5 2 3 3 2 2" xfId="5375"/>
    <cellStyle name="Обычный 5 2 3 3 3" xfId="4297"/>
    <cellStyle name="Обычный 5 2 3 4" xfId="835"/>
    <cellStyle name="Обычный 5 2 3 4 2" xfId="3794"/>
    <cellStyle name="Обычный 5 2 3 5" xfId="1906"/>
    <cellStyle name="Обычный 5 2 3 5 2" xfId="4853"/>
    <cellStyle name="Обычный 5 2 3 6" xfId="3285"/>
    <cellStyle name="Обычный 5 2 4" xfId="426"/>
    <cellStyle name="Обычный 5 2 4 2" xfId="1468"/>
    <cellStyle name="Обычный 5 2 4 2 2" xfId="2546"/>
    <cellStyle name="Обычный 5 2 4 2 2 2" xfId="5493"/>
    <cellStyle name="Обычный 5 2 4 2 3" xfId="4415"/>
    <cellStyle name="Обычный 5 2 4 3" xfId="941"/>
    <cellStyle name="Обычный 5 2 4 3 2" xfId="3898"/>
    <cellStyle name="Обычный 5 2 4 4" xfId="2024"/>
    <cellStyle name="Обычный 5 2 4 4 2" xfId="4971"/>
    <cellStyle name="Обычный 5 2 4 5" xfId="3403"/>
    <cellStyle name="Обычный 5 2 5" xfId="1196"/>
    <cellStyle name="Обычный 5 2 5 2" xfId="2274"/>
    <cellStyle name="Обычный 5 2 5 2 2" xfId="5221"/>
    <cellStyle name="Обычный 5 2 5 3" xfId="4143"/>
    <cellStyle name="Обычный 5 2 6" xfId="685"/>
    <cellStyle name="Обычный 5 2 6 2" xfId="3652"/>
    <cellStyle name="Обычный 5 2 7" xfId="1753"/>
    <cellStyle name="Обычный 5 2 7 2" xfId="4700"/>
    <cellStyle name="Обычный 5 2 8" xfId="3133"/>
    <cellStyle name="Обычный 5 3" xfId="294"/>
    <cellStyle name="Обычный 5 3 2" xfId="576"/>
    <cellStyle name="Обычный 5 3 2 2" xfId="1611"/>
    <cellStyle name="Обычный 5 3 2 2 2" xfId="2689"/>
    <cellStyle name="Обычный 5 3 2 2 2 2" xfId="5636"/>
    <cellStyle name="Обычный 5 3 2 2 3" xfId="4558"/>
    <cellStyle name="Обычный 5 3 2 3" xfId="1091"/>
    <cellStyle name="Обычный 5 3 2 3 2" xfId="4040"/>
    <cellStyle name="Обычный 5 3 2 4" xfId="2166"/>
    <cellStyle name="Обычный 5 3 2 4 2" xfId="5113"/>
    <cellStyle name="Обычный 5 3 2 5" xfId="3545"/>
    <cellStyle name="Обычный 5 3 3" xfId="1352"/>
    <cellStyle name="Обычный 5 3 3 2" xfId="2430"/>
    <cellStyle name="Обычный 5 3 3 2 2" xfId="5377"/>
    <cellStyle name="Обычный 5 3 3 3" xfId="4299"/>
    <cellStyle name="Обычный 5 3 4" xfId="837"/>
    <cellStyle name="Обычный 5 3 4 2" xfId="3796"/>
    <cellStyle name="Обычный 5 3 5" xfId="1908"/>
    <cellStyle name="Обычный 5 3 5 2" xfId="4855"/>
    <cellStyle name="Обычный 5 3 6" xfId="3287"/>
    <cellStyle name="Обычный 5 4" xfId="295"/>
    <cellStyle name="Обычный 5 5" xfId="291"/>
    <cellStyle name="Обычный 5 5 2" xfId="573"/>
    <cellStyle name="Обычный 5 5 2 2" xfId="1608"/>
    <cellStyle name="Обычный 5 5 2 2 2" xfId="2686"/>
    <cellStyle name="Обычный 5 5 2 2 2 2" xfId="5633"/>
    <cellStyle name="Обычный 5 5 2 2 3" xfId="4555"/>
    <cellStyle name="Обычный 5 5 2 3" xfId="1088"/>
    <cellStyle name="Обычный 5 5 2 3 2" xfId="4037"/>
    <cellStyle name="Обычный 5 5 2 4" xfId="2163"/>
    <cellStyle name="Обычный 5 5 2 4 2" xfId="5110"/>
    <cellStyle name="Обычный 5 5 2 5" xfId="3542"/>
    <cellStyle name="Обычный 5 5 3" xfId="1349"/>
    <cellStyle name="Обычный 5 5 3 2" xfId="2427"/>
    <cellStyle name="Обычный 5 5 3 2 2" xfId="5374"/>
    <cellStyle name="Обычный 5 5 3 3" xfId="4296"/>
    <cellStyle name="Обычный 5 5 4" xfId="834"/>
    <cellStyle name="Обычный 5 5 4 2" xfId="3793"/>
    <cellStyle name="Обычный 5 5 5" xfId="1905"/>
    <cellStyle name="Обычный 5 5 5 2" xfId="4852"/>
    <cellStyle name="Обычный 5 5 6" xfId="3284"/>
    <cellStyle name="Обычный 5 6" xfId="411"/>
    <cellStyle name="Обычный 5 6 2" xfId="1453"/>
    <cellStyle name="Обычный 5 6 2 2" xfId="2531"/>
    <cellStyle name="Обычный 5 6 2 2 2" xfId="5478"/>
    <cellStyle name="Обычный 5 6 2 3" xfId="4400"/>
    <cellStyle name="Обычный 5 6 3" xfId="926"/>
    <cellStyle name="Обычный 5 6 3 2" xfId="3883"/>
    <cellStyle name="Обычный 5 6 4" xfId="2009"/>
    <cellStyle name="Обычный 5 6 4 2" xfId="4956"/>
    <cellStyle name="Обычный 5 6 5" xfId="3388"/>
    <cellStyle name="Обычный 5 7" xfId="1181"/>
    <cellStyle name="Обычный 5 7 2" xfId="2259"/>
    <cellStyle name="Обычный 5 7 2 2" xfId="5206"/>
    <cellStyle name="Обычный 5 7 3" xfId="4128"/>
    <cellStyle name="Обычный 5 8" xfId="671"/>
    <cellStyle name="Обычный 5 8 2" xfId="3638"/>
    <cellStyle name="Обычный 5 9" xfId="1738"/>
    <cellStyle name="Обычный 5 9 2" xfId="4685"/>
    <cellStyle name="Обычный 6" xfId="32"/>
    <cellStyle name="Обычный 6 10" xfId="3090"/>
    <cellStyle name="Обычный 6 10 2" xfId="6031"/>
    <cellStyle name="Обычный 6 11" xfId="3121"/>
    <cellStyle name="Обычный 6 12" xfId="6040"/>
    <cellStyle name="Обычный 6 2" xfId="52"/>
    <cellStyle name="Обычный 6 2 2" xfId="298"/>
    <cellStyle name="Обычный 6 2 2 2" xfId="579"/>
    <cellStyle name="Обычный 6 2 2 2 2" xfId="1614"/>
    <cellStyle name="Обычный 6 2 2 2 2 2" xfId="2692"/>
    <cellStyle name="Обычный 6 2 2 2 2 2 2" xfId="5639"/>
    <cellStyle name="Обычный 6 2 2 2 2 3" xfId="4561"/>
    <cellStyle name="Обычный 6 2 2 2 3" xfId="1094"/>
    <cellStyle name="Обычный 6 2 2 2 3 2" xfId="4043"/>
    <cellStyle name="Обычный 6 2 2 2 4" xfId="2169"/>
    <cellStyle name="Обычный 6 2 2 2 4 2" xfId="5116"/>
    <cellStyle name="Обычный 6 2 2 2 5" xfId="3548"/>
    <cellStyle name="Обычный 6 2 2 3" xfId="1355"/>
    <cellStyle name="Обычный 6 2 2 3 2" xfId="2433"/>
    <cellStyle name="Обычный 6 2 2 3 2 2" xfId="5380"/>
    <cellStyle name="Обычный 6 2 2 3 3" xfId="4302"/>
    <cellStyle name="Обычный 6 2 2 4" xfId="840"/>
    <cellStyle name="Обычный 6 2 2 4 2" xfId="3799"/>
    <cellStyle name="Обычный 6 2 2 5" xfId="1911"/>
    <cellStyle name="Обычный 6 2 2 5 2" xfId="4858"/>
    <cellStyle name="Обычный 6 2 2 6" xfId="3290"/>
    <cellStyle name="Обычный 6 2 3" xfId="297"/>
    <cellStyle name="Обычный 6 2 3 2" xfId="578"/>
    <cellStyle name="Обычный 6 2 3 2 2" xfId="1613"/>
    <cellStyle name="Обычный 6 2 3 2 2 2" xfId="2691"/>
    <cellStyle name="Обычный 6 2 3 2 2 2 2" xfId="5638"/>
    <cellStyle name="Обычный 6 2 3 2 2 3" xfId="4560"/>
    <cellStyle name="Обычный 6 2 3 2 3" xfId="1093"/>
    <cellStyle name="Обычный 6 2 3 2 3 2" xfId="4042"/>
    <cellStyle name="Обычный 6 2 3 2 4" xfId="2168"/>
    <cellStyle name="Обычный 6 2 3 2 4 2" xfId="5115"/>
    <cellStyle name="Обычный 6 2 3 2 5" xfId="3547"/>
    <cellStyle name="Обычный 6 2 3 3" xfId="1354"/>
    <cellStyle name="Обычный 6 2 3 3 2" xfId="2432"/>
    <cellStyle name="Обычный 6 2 3 3 2 2" xfId="5379"/>
    <cellStyle name="Обычный 6 2 3 3 3" xfId="4301"/>
    <cellStyle name="Обычный 6 2 3 4" xfId="839"/>
    <cellStyle name="Обычный 6 2 3 4 2" xfId="3798"/>
    <cellStyle name="Обычный 6 2 3 5" xfId="1910"/>
    <cellStyle name="Обычный 6 2 3 5 2" xfId="4857"/>
    <cellStyle name="Обычный 6 2 3 6" xfId="3289"/>
    <cellStyle name="Обычный 6 2 4" xfId="427"/>
    <cellStyle name="Обычный 6 2 4 2" xfId="1469"/>
    <cellStyle name="Обычный 6 2 4 2 2" xfId="2547"/>
    <cellStyle name="Обычный 6 2 4 2 2 2" xfId="5494"/>
    <cellStyle name="Обычный 6 2 4 2 3" xfId="4416"/>
    <cellStyle name="Обычный 6 2 4 3" xfId="942"/>
    <cellStyle name="Обычный 6 2 4 3 2" xfId="3899"/>
    <cellStyle name="Обычный 6 2 4 4" xfId="2025"/>
    <cellStyle name="Обычный 6 2 4 4 2" xfId="4972"/>
    <cellStyle name="Обычный 6 2 4 5" xfId="3404"/>
    <cellStyle name="Обычный 6 2 5" xfId="1197"/>
    <cellStyle name="Обычный 6 2 5 2" xfId="2275"/>
    <cellStyle name="Обычный 6 2 5 2 2" xfId="5222"/>
    <cellStyle name="Обычный 6 2 5 3" xfId="4144"/>
    <cellStyle name="Обычный 6 2 6" xfId="686"/>
    <cellStyle name="Обычный 6 2 6 2" xfId="3653"/>
    <cellStyle name="Обычный 6 2 7" xfId="1754"/>
    <cellStyle name="Обычный 6 2 7 2" xfId="4701"/>
    <cellStyle name="Обычный 6 2 8" xfId="3134"/>
    <cellStyle name="Обычный 6 3" xfId="299"/>
    <cellStyle name="Обычный 6 3 2" xfId="580"/>
    <cellStyle name="Обычный 6 3 2 2" xfId="1615"/>
    <cellStyle name="Обычный 6 3 2 2 2" xfId="2693"/>
    <cellStyle name="Обычный 6 3 2 2 2 2" xfId="5640"/>
    <cellStyle name="Обычный 6 3 2 2 3" xfId="4562"/>
    <cellStyle name="Обычный 6 3 2 3" xfId="1095"/>
    <cellStyle name="Обычный 6 3 2 3 2" xfId="4044"/>
    <cellStyle name="Обычный 6 3 2 4" xfId="2170"/>
    <cellStyle name="Обычный 6 3 2 4 2" xfId="5117"/>
    <cellStyle name="Обычный 6 3 2 5" xfId="3549"/>
    <cellStyle name="Обычный 6 3 3" xfId="1356"/>
    <cellStyle name="Обычный 6 3 3 2" xfId="2434"/>
    <cellStyle name="Обычный 6 3 3 2 2" xfId="5381"/>
    <cellStyle name="Обычный 6 3 3 3" xfId="4303"/>
    <cellStyle name="Обычный 6 3 4" xfId="841"/>
    <cellStyle name="Обычный 6 3 4 2" xfId="3800"/>
    <cellStyle name="Обычный 6 3 5" xfId="1912"/>
    <cellStyle name="Обычный 6 3 5 2" xfId="4859"/>
    <cellStyle name="Обычный 6 3 6" xfId="3291"/>
    <cellStyle name="Обычный 6 4" xfId="296"/>
    <cellStyle name="Обычный 6 4 2" xfId="577"/>
    <cellStyle name="Обычный 6 4 2 2" xfId="1612"/>
    <cellStyle name="Обычный 6 4 2 2 2" xfId="2690"/>
    <cellStyle name="Обычный 6 4 2 2 2 2" xfId="5637"/>
    <cellStyle name="Обычный 6 4 2 2 3" xfId="4559"/>
    <cellStyle name="Обычный 6 4 2 3" xfId="1092"/>
    <cellStyle name="Обычный 6 4 2 3 2" xfId="4041"/>
    <cellStyle name="Обычный 6 4 2 4" xfId="2167"/>
    <cellStyle name="Обычный 6 4 2 4 2" xfId="5114"/>
    <cellStyle name="Обычный 6 4 2 5" xfId="3546"/>
    <cellStyle name="Обычный 6 4 3" xfId="1353"/>
    <cellStyle name="Обычный 6 4 3 2" xfId="2431"/>
    <cellStyle name="Обычный 6 4 3 2 2" xfId="5378"/>
    <cellStyle name="Обычный 6 4 3 3" xfId="4300"/>
    <cellStyle name="Обычный 6 4 4" xfId="838"/>
    <cellStyle name="Обычный 6 4 4 2" xfId="3797"/>
    <cellStyle name="Обычный 6 4 5" xfId="1909"/>
    <cellStyle name="Обычный 6 4 5 2" xfId="4856"/>
    <cellStyle name="Обычный 6 4 6" xfId="3288"/>
    <cellStyle name="Обычный 6 5" xfId="412"/>
    <cellStyle name="Обычный 6 5 2" xfId="1454"/>
    <cellStyle name="Обычный 6 5 2 2" xfId="2532"/>
    <cellStyle name="Обычный 6 5 2 2 2" xfId="5479"/>
    <cellStyle name="Обычный 6 5 2 3" xfId="4401"/>
    <cellStyle name="Обычный 6 5 3" xfId="927"/>
    <cellStyle name="Обычный 6 5 3 2" xfId="3884"/>
    <cellStyle name="Обычный 6 5 4" xfId="2010"/>
    <cellStyle name="Обычный 6 5 4 2" xfId="4957"/>
    <cellStyle name="Обычный 6 5 5" xfId="3389"/>
    <cellStyle name="Обычный 6 6" xfId="1182"/>
    <cellStyle name="Обычный 6 6 2" xfId="2260"/>
    <cellStyle name="Обычный 6 6 2 2" xfId="5207"/>
    <cellStyle name="Обычный 6 6 3" xfId="4129"/>
    <cellStyle name="Обычный 6 7" xfId="672"/>
    <cellStyle name="Обычный 6 7 2" xfId="3639"/>
    <cellStyle name="Обычный 6 8" xfId="1739"/>
    <cellStyle name="Обычный 6 8 2" xfId="4686"/>
    <cellStyle name="Обычный 6 9" xfId="3083"/>
    <cellStyle name="Обычный 6 9 2" xfId="6024"/>
    <cellStyle name="Обычный 7" xfId="33"/>
    <cellStyle name="Обычный 7 2" xfId="38"/>
    <cellStyle name="Обычный 7 2 2" xfId="301"/>
    <cellStyle name="Обычный 7 2 2 2" xfId="582"/>
    <cellStyle name="Обычный 7 2 2 2 2" xfId="1617"/>
    <cellStyle name="Обычный 7 2 2 2 2 2" xfId="2695"/>
    <cellStyle name="Обычный 7 2 2 2 2 2 2" xfId="5642"/>
    <cellStyle name="Обычный 7 2 2 2 2 3" xfId="4564"/>
    <cellStyle name="Обычный 7 2 2 2 3" xfId="1097"/>
    <cellStyle name="Обычный 7 2 2 2 3 2" xfId="4046"/>
    <cellStyle name="Обычный 7 2 2 2 4" xfId="2172"/>
    <cellStyle name="Обычный 7 2 2 2 4 2" xfId="5119"/>
    <cellStyle name="Обычный 7 2 2 2 5" xfId="3551"/>
    <cellStyle name="Обычный 7 2 2 3" xfId="1358"/>
    <cellStyle name="Обычный 7 2 2 3 2" xfId="2436"/>
    <cellStyle name="Обычный 7 2 2 3 2 2" xfId="5383"/>
    <cellStyle name="Обычный 7 2 2 3 3" xfId="4305"/>
    <cellStyle name="Обычный 7 2 2 4" xfId="843"/>
    <cellStyle name="Обычный 7 2 2 4 2" xfId="3802"/>
    <cellStyle name="Обычный 7 2 2 5" xfId="1914"/>
    <cellStyle name="Обычный 7 2 2 5 2" xfId="4861"/>
    <cellStyle name="Обычный 7 2 2 6" xfId="3293"/>
    <cellStyle name="Обычный 7 2 3" xfId="420"/>
    <cellStyle name="Обычный 7 2 3 2" xfId="1462"/>
    <cellStyle name="Обычный 7 2 3 2 2" xfId="2540"/>
    <cellStyle name="Обычный 7 2 3 2 2 2" xfId="5487"/>
    <cellStyle name="Обычный 7 2 3 2 3" xfId="4409"/>
    <cellStyle name="Обычный 7 2 3 3" xfId="935"/>
    <cellStyle name="Обычный 7 2 3 3 2" xfId="3892"/>
    <cellStyle name="Обычный 7 2 3 4" xfId="2018"/>
    <cellStyle name="Обычный 7 2 3 4 2" xfId="4965"/>
    <cellStyle name="Обычный 7 2 3 5" xfId="3397"/>
    <cellStyle name="Обычный 7 2 4" xfId="1190"/>
    <cellStyle name="Обычный 7 2 4 2" xfId="2268"/>
    <cellStyle name="Обычный 7 2 4 2 2" xfId="5215"/>
    <cellStyle name="Обычный 7 2 4 3" xfId="4137"/>
    <cellStyle name="Обычный 7 2 5" xfId="679"/>
    <cellStyle name="Обычный 7 2 5 2" xfId="3646"/>
    <cellStyle name="Обычный 7 2 6" xfId="1747"/>
    <cellStyle name="Обычный 7 2 6 2" xfId="4694"/>
    <cellStyle name="Обычный 7 2 7" xfId="3127"/>
    <cellStyle name="Обычный 7 3" xfId="54"/>
    <cellStyle name="Обычный 7 3 2" xfId="25"/>
    <cellStyle name="Обычный 7 3 2 10" xfId="1733"/>
    <cellStyle name="Обычный 7 3 2 10 2" xfId="4680"/>
    <cellStyle name="Обычный 7 3 2 11" xfId="3115"/>
    <cellStyle name="Обычный 7 3 2 2" xfId="45"/>
    <cellStyle name="Обычный 7 3 2 2 2" xfId="305"/>
    <cellStyle name="Обычный 7 3 2 2 2 2" xfId="586"/>
    <cellStyle name="Обычный 7 3 2 2 2 2 2" xfId="1621"/>
    <cellStyle name="Обычный 7 3 2 2 2 2 2 2" xfId="2699"/>
    <cellStyle name="Обычный 7 3 2 2 2 2 2 2 2" xfId="5646"/>
    <cellStyle name="Обычный 7 3 2 2 2 2 2 3" xfId="4568"/>
    <cellStyle name="Обычный 7 3 2 2 2 2 3" xfId="1101"/>
    <cellStyle name="Обычный 7 3 2 2 2 2 3 2" xfId="4050"/>
    <cellStyle name="Обычный 7 3 2 2 2 2 4" xfId="2176"/>
    <cellStyle name="Обычный 7 3 2 2 2 2 4 2" xfId="5123"/>
    <cellStyle name="Обычный 7 3 2 2 2 2 5" xfId="3555"/>
    <cellStyle name="Обычный 7 3 2 2 2 3" xfId="1362"/>
    <cellStyle name="Обычный 7 3 2 2 2 3 2" xfId="2440"/>
    <cellStyle name="Обычный 7 3 2 2 2 3 2 2" xfId="5387"/>
    <cellStyle name="Обычный 7 3 2 2 2 3 3" xfId="4309"/>
    <cellStyle name="Обычный 7 3 2 2 2 4" xfId="847"/>
    <cellStyle name="Обычный 7 3 2 2 2 4 2" xfId="3806"/>
    <cellStyle name="Обычный 7 3 2 2 2 5" xfId="1918"/>
    <cellStyle name="Обычный 7 3 2 2 2 5 2" xfId="4865"/>
    <cellStyle name="Обычный 7 3 2 2 2 6" xfId="3297"/>
    <cellStyle name="Обычный 7 3 2 2 3" xfId="306"/>
    <cellStyle name="Обычный 7 3 2 2 3 2" xfId="587"/>
    <cellStyle name="Обычный 7 3 2 2 3 2 2" xfId="1622"/>
    <cellStyle name="Обычный 7 3 2 2 3 2 2 2" xfId="2700"/>
    <cellStyle name="Обычный 7 3 2 2 3 2 2 2 2" xfId="5647"/>
    <cellStyle name="Обычный 7 3 2 2 3 2 2 3" xfId="4569"/>
    <cellStyle name="Обычный 7 3 2 2 3 2 3" xfId="1102"/>
    <cellStyle name="Обычный 7 3 2 2 3 2 3 2" xfId="4051"/>
    <cellStyle name="Обычный 7 3 2 2 3 2 4" xfId="2177"/>
    <cellStyle name="Обычный 7 3 2 2 3 2 4 2" xfId="5124"/>
    <cellStyle name="Обычный 7 3 2 2 3 2 5" xfId="3556"/>
    <cellStyle name="Обычный 7 3 2 2 3 3" xfId="1363"/>
    <cellStyle name="Обычный 7 3 2 2 3 3 2" xfId="2441"/>
    <cellStyle name="Обычный 7 3 2 2 3 3 2 2" xfId="5388"/>
    <cellStyle name="Обычный 7 3 2 2 3 3 3" xfId="4310"/>
    <cellStyle name="Обычный 7 3 2 2 3 4" xfId="848"/>
    <cellStyle name="Обычный 7 3 2 2 3 4 2" xfId="3807"/>
    <cellStyle name="Обычный 7 3 2 2 3 5" xfId="1919"/>
    <cellStyle name="Обычный 7 3 2 2 3 5 2" xfId="4866"/>
    <cellStyle name="Обычный 7 3 2 2 3 6" xfId="3298"/>
    <cellStyle name="Обычный 7 3 2 2 4" xfId="304"/>
    <cellStyle name="Обычный 7 3 2 2 4 2" xfId="585"/>
    <cellStyle name="Обычный 7 3 2 2 4 2 2" xfId="1620"/>
    <cellStyle name="Обычный 7 3 2 2 4 2 2 2" xfId="2698"/>
    <cellStyle name="Обычный 7 3 2 2 4 2 2 2 2" xfId="5645"/>
    <cellStyle name="Обычный 7 3 2 2 4 2 2 3" xfId="4567"/>
    <cellStyle name="Обычный 7 3 2 2 4 2 3" xfId="1100"/>
    <cellStyle name="Обычный 7 3 2 2 4 2 3 2" xfId="4049"/>
    <cellStyle name="Обычный 7 3 2 2 4 2 4" xfId="2175"/>
    <cellStyle name="Обычный 7 3 2 2 4 2 4 2" xfId="5122"/>
    <cellStyle name="Обычный 7 3 2 2 4 2 5" xfId="3554"/>
    <cellStyle name="Обычный 7 3 2 2 4 3" xfId="1361"/>
    <cellStyle name="Обычный 7 3 2 2 4 3 2" xfId="2439"/>
    <cellStyle name="Обычный 7 3 2 2 4 3 2 2" xfId="5386"/>
    <cellStyle name="Обычный 7 3 2 2 4 3 3" xfId="4308"/>
    <cellStyle name="Обычный 7 3 2 2 4 4" xfId="846"/>
    <cellStyle name="Обычный 7 3 2 2 4 4 2" xfId="3805"/>
    <cellStyle name="Обычный 7 3 2 2 4 5" xfId="1917"/>
    <cellStyle name="Обычный 7 3 2 2 4 5 2" xfId="4864"/>
    <cellStyle name="Обычный 7 3 2 2 4 6" xfId="3296"/>
    <cellStyle name="Обычный 7 3 2 2 5" xfId="421"/>
    <cellStyle name="Обычный 7 3 2 2 5 2" xfId="1463"/>
    <cellStyle name="Обычный 7 3 2 2 5 2 2" xfId="2541"/>
    <cellStyle name="Обычный 7 3 2 2 5 2 2 2" xfId="5488"/>
    <cellStyle name="Обычный 7 3 2 2 5 2 3" xfId="4410"/>
    <cellStyle name="Обычный 7 3 2 2 5 3" xfId="936"/>
    <cellStyle name="Обычный 7 3 2 2 5 3 2" xfId="3893"/>
    <cellStyle name="Обычный 7 3 2 2 5 4" xfId="2019"/>
    <cellStyle name="Обычный 7 3 2 2 5 4 2" xfId="4966"/>
    <cellStyle name="Обычный 7 3 2 2 5 5" xfId="3398"/>
    <cellStyle name="Обычный 7 3 2 2 6" xfId="1191"/>
    <cellStyle name="Обычный 7 3 2 2 6 2" xfId="2269"/>
    <cellStyle name="Обычный 7 3 2 2 6 2 2" xfId="5216"/>
    <cellStyle name="Обычный 7 3 2 2 6 3" xfId="4138"/>
    <cellStyle name="Обычный 7 3 2 2 7" xfId="680"/>
    <cellStyle name="Обычный 7 3 2 2 7 2" xfId="3647"/>
    <cellStyle name="Обычный 7 3 2 2 8" xfId="1748"/>
    <cellStyle name="Обычный 7 3 2 2 8 2" xfId="4695"/>
    <cellStyle name="Обычный 7 3 2 2 9" xfId="3128"/>
    <cellStyle name="Обычный 7 3 2 3" xfId="307"/>
    <cellStyle name="Обычный 7 3 2 3 2" xfId="588"/>
    <cellStyle name="Обычный 7 3 2 3 2 2" xfId="1623"/>
    <cellStyle name="Обычный 7 3 2 3 2 2 2" xfId="2701"/>
    <cellStyle name="Обычный 7 3 2 3 2 2 2 2" xfId="5648"/>
    <cellStyle name="Обычный 7 3 2 3 2 2 3" xfId="4570"/>
    <cellStyle name="Обычный 7 3 2 3 2 3" xfId="1103"/>
    <cellStyle name="Обычный 7 3 2 3 2 3 2" xfId="4052"/>
    <cellStyle name="Обычный 7 3 2 3 2 4" xfId="2178"/>
    <cellStyle name="Обычный 7 3 2 3 2 4 2" xfId="5125"/>
    <cellStyle name="Обычный 7 3 2 3 2 5" xfId="3557"/>
    <cellStyle name="Обычный 7 3 2 3 3" xfId="1364"/>
    <cellStyle name="Обычный 7 3 2 3 3 2" xfId="2442"/>
    <cellStyle name="Обычный 7 3 2 3 3 2 2" xfId="5389"/>
    <cellStyle name="Обычный 7 3 2 3 3 3" xfId="4311"/>
    <cellStyle name="Обычный 7 3 2 3 4" xfId="849"/>
    <cellStyle name="Обычный 7 3 2 3 4 2" xfId="3808"/>
    <cellStyle name="Обычный 7 3 2 3 5" xfId="1920"/>
    <cellStyle name="Обычный 7 3 2 3 5 2" xfId="4867"/>
    <cellStyle name="Обычный 7 3 2 3 6" xfId="3299"/>
    <cellStyle name="Обычный 7 3 2 4" xfId="308"/>
    <cellStyle name="Обычный 7 3 2 4 2" xfId="589"/>
    <cellStyle name="Обычный 7 3 2 4 2 2" xfId="1624"/>
    <cellStyle name="Обычный 7 3 2 4 2 2 2" xfId="2702"/>
    <cellStyle name="Обычный 7 3 2 4 2 2 2 2" xfId="5649"/>
    <cellStyle name="Обычный 7 3 2 4 2 2 3" xfId="4571"/>
    <cellStyle name="Обычный 7 3 2 4 2 3" xfId="1104"/>
    <cellStyle name="Обычный 7 3 2 4 2 3 2" xfId="4053"/>
    <cellStyle name="Обычный 7 3 2 4 2 4" xfId="2179"/>
    <cellStyle name="Обычный 7 3 2 4 2 4 2" xfId="5126"/>
    <cellStyle name="Обычный 7 3 2 4 2 5" xfId="3558"/>
    <cellStyle name="Обычный 7 3 2 4 3" xfId="1365"/>
    <cellStyle name="Обычный 7 3 2 4 3 2" xfId="2443"/>
    <cellStyle name="Обычный 7 3 2 4 3 2 2" xfId="5390"/>
    <cellStyle name="Обычный 7 3 2 4 3 3" xfId="4312"/>
    <cellStyle name="Обычный 7 3 2 4 4" xfId="850"/>
    <cellStyle name="Обычный 7 3 2 4 4 2" xfId="3809"/>
    <cellStyle name="Обычный 7 3 2 4 5" xfId="1921"/>
    <cellStyle name="Обычный 7 3 2 4 5 2" xfId="4868"/>
    <cellStyle name="Обычный 7 3 2 4 6" xfId="3300"/>
    <cellStyle name="Обычный 7 3 2 5" xfId="309"/>
    <cellStyle name="Обычный 7 3 2 5 2" xfId="590"/>
    <cellStyle name="Обычный 7 3 2 5 2 2" xfId="1625"/>
    <cellStyle name="Обычный 7 3 2 5 2 2 2" xfId="2703"/>
    <cellStyle name="Обычный 7 3 2 5 2 2 2 2" xfId="5650"/>
    <cellStyle name="Обычный 7 3 2 5 2 2 3" xfId="4572"/>
    <cellStyle name="Обычный 7 3 2 5 2 3" xfId="1105"/>
    <cellStyle name="Обычный 7 3 2 5 2 3 2" xfId="4054"/>
    <cellStyle name="Обычный 7 3 2 5 2 4" xfId="2180"/>
    <cellStyle name="Обычный 7 3 2 5 2 4 2" xfId="5127"/>
    <cellStyle name="Обычный 7 3 2 5 2 5" xfId="3559"/>
    <cellStyle name="Обычный 7 3 2 5 3" xfId="1366"/>
    <cellStyle name="Обычный 7 3 2 5 3 2" xfId="2444"/>
    <cellStyle name="Обычный 7 3 2 5 3 2 2" xfId="5391"/>
    <cellStyle name="Обычный 7 3 2 5 3 3" xfId="4313"/>
    <cellStyle name="Обычный 7 3 2 5 4" xfId="851"/>
    <cellStyle name="Обычный 7 3 2 5 4 2" xfId="3810"/>
    <cellStyle name="Обычный 7 3 2 5 5" xfId="1922"/>
    <cellStyle name="Обычный 7 3 2 5 5 2" xfId="4869"/>
    <cellStyle name="Обычный 7 3 2 5 6" xfId="3301"/>
    <cellStyle name="Обычный 7 3 2 6" xfId="303"/>
    <cellStyle name="Обычный 7 3 2 6 2" xfId="584"/>
    <cellStyle name="Обычный 7 3 2 6 2 2" xfId="1619"/>
    <cellStyle name="Обычный 7 3 2 6 2 2 2" xfId="2697"/>
    <cellStyle name="Обычный 7 3 2 6 2 2 2 2" xfId="5644"/>
    <cellStyle name="Обычный 7 3 2 6 2 2 3" xfId="4566"/>
    <cellStyle name="Обычный 7 3 2 6 2 3" xfId="1099"/>
    <cellStyle name="Обычный 7 3 2 6 2 3 2" xfId="4048"/>
    <cellStyle name="Обычный 7 3 2 6 2 4" xfId="2174"/>
    <cellStyle name="Обычный 7 3 2 6 2 4 2" xfId="5121"/>
    <cellStyle name="Обычный 7 3 2 6 2 5" xfId="3553"/>
    <cellStyle name="Обычный 7 3 2 6 3" xfId="1360"/>
    <cellStyle name="Обычный 7 3 2 6 3 2" xfId="2438"/>
    <cellStyle name="Обычный 7 3 2 6 3 2 2" xfId="5385"/>
    <cellStyle name="Обычный 7 3 2 6 3 3" xfId="4307"/>
    <cellStyle name="Обычный 7 3 2 6 4" xfId="845"/>
    <cellStyle name="Обычный 7 3 2 6 4 2" xfId="3804"/>
    <cellStyle name="Обычный 7 3 2 6 5" xfId="1916"/>
    <cellStyle name="Обычный 7 3 2 6 5 2" xfId="4863"/>
    <cellStyle name="Обычный 7 3 2 6 6" xfId="3295"/>
    <cellStyle name="Обычный 7 3 2 7" xfId="406"/>
    <cellStyle name="Обычный 7 3 2 7 2" xfId="1448"/>
    <cellStyle name="Обычный 7 3 2 7 2 2" xfId="2526"/>
    <cellStyle name="Обычный 7 3 2 7 2 2 2" xfId="5473"/>
    <cellStyle name="Обычный 7 3 2 7 2 3" xfId="4395"/>
    <cellStyle name="Обычный 7 3 2 7 3" xfId="921"/>
    <cellStyle name="Обычный 7 3 2 7 3 2" xfId="3878"/>
    <cellStyle name="Обычный 7 3 2 7 4" xfId="2004"/>
    <cellStyle name="Обычный 7 3 2 7 4 2" xfId="4951"/>
    <cellStyle name="Обычный 7 3 2 7 5" xfId="3383"/>
    <cellStyle name="Обычный 7 3 2 8" xfId="1176"/>
    <cellStyle name="Обычный 7 3 2 8 2" xfId="2254"/>
    <cellStyle name="Обычный 7 3 2 8 2 2" xfId="5201"/>
    <cellStyle name="Обычный 7 3 2 8 3" xfId="4123"/>
    <cellStyle name="Обычный 7 3 2 9" xfId="666"/>
    <cellStyle name="Обычный 7 3 2 9 2" xfId="3633"/>
    <cellStyle name="Обычный 7 3 3" xfId="310"/>
    <cellStyle name="Обычный 7 3 3 2" xfId="591"/>
    <cellStyle name="Обычный 7 3 3 2 2" xfId="1626"/>
    <cellStyle name="Обычный 7 3 3 2 2 2" xfId="2704"/>
    <cellStyle name="Обычный 7 3 3 2 2 2 2" xfId="5651"/>
    <cellStyle name="Обычный 7 3 3 2 2 3" xfId="4573"/>
    <cellStyle name="Обычный 7 3 3 2 3" xfId="1106"/>
    <cellStyle name="Обычный 7 3 3 2 3 2" xfId="4055"/>
    <cellStyle name="Обычный 7 3 3 2 4" xfId="2181"/>
    <cellStyle name="Обычный 7 3 3 2 4 2" xfId="5128"/>
    <cellStyle name="Обычный 7 3 3 2 5" xfId="3560"/>
    <cellStyle name="Обычный 7 3 3 3" xfId="1367"/>
    <cellStyle name="Обычный 7 3 3 3 2" xfId="2445"/>
    <cellStyle name="Обычный 7 3 3 3 2 2" xfId="5392"/>
    <cellStyle name="Обычный 7 3 3 3 3" xfId="4314"/>
    <cellStyle name="Обычный 7 3 3 4" xfId="852"/>
    <cellStyle name="Обычный 7 3 3 4 2" xfId="3811"/>
    <cellStyle name="Обычный 7 3 3 5" xfId="1923"/>
    <cellStyle name="Обычный 7 3 3 5 2" xfId="4870"/>
    <cellStyle name="Обычный 7 3 3 6" xfId="3302"/>
    <cellStyle name="Обычный 7 3 4" xfId="302"/>
    <cellStyle name="Обычный 7 3 4 2" xfId="583"/>
    <cellStyle name="Обычный 7 3 4 2 2" xfId="1618"/>
    <cellStyle name="Обычный 7 3 4 2 2 2" xfId="2696"/>
    <cellStyle name="Обычный 7 3 4 2 2 2 2" xfId="5643"/>
    <cellStyle name="Обычный 7 3 4 2 2 3" xfId="4565"/>
    <cellStyle name="Обычный 7 3 4 2 3" xfId="1098"/>
    <cellStyle name="Обычный 7 3 4 2 3 2" xfId="4047"/>
    <cellStyle name="Обычный 7 3 4 2 4" xfId="2173"/>
    <cellStyle name="Обычный 7 3 4 2 4 2" xfId="5120"/>
    <cellStyle name="Обычный 7 3 4 2 5" xfId="3552"/>
    <cellStyle name="Обычный 7 3 4 3" xfId="1359"/>
    <cellStyle name="Обычный 7 3 4 3 2" xfId="2437"/>
    <cellStyle name="Обычный 7 3 4 3 2 2" xfId="5384"/>
    <cellStyle name="Обычный 7 3 4 3 3" xfId="4306"/>
    <cellStyle name="Обычный 7 3 4 4" xfId="844"/>
    <cellStyle name="Обычный 7 3 4 4 2" xfId="3803"/>
    <cellStyle name="Обычный 7 3 4 5" xfId="1915"/>
    <cellStyle name="Обычный 7 3 4 5 2" xfId="4862"/>
    <cellStyle name="Обычный 7 3 4 6" xfId="3294"/>
    <cellStyle name="Обычный 7 3 5" xfId="429"/>
    <cellStyle name="Обычный 7 3 5 2" xfId="1471"/>
    <cellStyle name="Обычный 7 3 5 2 2" xfId="2549"/>
    <cellStyle name="Обычный 7 3 5 2 2 2" xfId="5496"/>
    <cellStyle name="Обычный 7 3 5 2 3" xfId="4418"/>
    <cellStyle name="Обычный 7 3 5 3" xfId="944"/>
    <cellStyle name="Обычный 7 3 5 3 2" xfId="3901"/>
    <cellStyle name="Обычный 7 3 5 4" xfId="2027"/>
    <cellStyle name="Обычный 7 3 5 4 2" xfId="4974"/>
    <cellStyle name="Обычный 7 3 5 5" xfId="3406"/>
    <cellStyle name="Обычный 7 3 6" xfId="1199"/>
    <cellStyle name="Обычный 7 3 6 2" xfId="2277"/>
    <cellStyle name="Обычный 7 3 6 2 2" xfId="5224"/>
    <cellStyle name="Обычный 7 3 6 3" xfId="4146"/>
    <cellStyle name="Обычный 7 3 7" xfId="688"/>
    <cellStyle name="Обычный 7 3 7 2" xfId="3655"/>
    <cellStyle name="Обычный 7 3 8" xfId="1756"/>
    <cellStyle name="Обычный 7 3 8 2" xfId="4703"/>
    <cellStyle name="Обычный 7 3 9" xfId="3136"/>
    <cellStyle name="Обычный 7 4" xfId="300"/>
    <cellStyle name="Обычный 7 4 2" xfId="581"/>
    <cellStyle name="Обычный 7 4 2 2" xfId="1616"/>
    <cellStyle name="Обычный 7 4 2 2 2" xfId="2694"/>
    <cellStyle name="Обычный 7 4 2 2 2 2" xfId="5641"/>
    <cellStyle name="Обычный 7 4 2 2 3" xfId="4563"/>
    <cellStyle name="Обычный 7 4 2 3" xfId="1096"/>
    <cellStyle name="Обычный 7 4 2 3 2" xfId="4045"/>
    <cellStyle name="Обычный 7 4 2 4" xfId="2171"/>
    <cellStyle name="Обычный 7 4 2 4 2" xfId="5118"/>
    <cellStyle name="Обычный 7 4 2 5" xfId="3550"/>
    <cellStyle name="Обычный 7 4 3" xfId="1357"/>
    <cellStyle name="Обычный 7 4 3 2" xfId="2435"/>
    <cellStyle name="Обычный 7 4 3 2 2" xfId="5382"/>
    <cellStyle name="Обычный 7 4 3 3" xfId="4304"/>
    <cellStyle name="Обычный 7 4 4" xfId="842"/>
    <cellStyle name="Обычный 7 4 4 2" xfId="3801"/>
    <cellStyle name="Обычный 7 4 5" xfId="1913"/>
    <cellStyle name="Обычный 7 4 5 2" xfId="4860"/>
    <cellStyle name="Обычный 7 4 6" xfId="3292"/>
    <cellStyle name="Обычный 7 5" xfId="414"/>
    <cellStyle name="Обычный 7 5 2" xfId="1456"/>
    <cellStyle name="Обычный 7 5 2 2" xfId="2534"/>
    <cellStyle name="Обычный 7 5 2 2 2" xfId="5481"/>
    <cellStyle name="Обычный 7 5 2 3" xfId="4403"/>
    <cellStyle name="Обычный 7 5 3" xfId="929"/>
    <cellStyle name="Обычный 7 5 3 2" xfId="3886"/>
    <cellStyle name="Обычный 7 5 4" xfId="2012"/>
    <cellStyle name="Обычный 7 5 4 2" xfId="4959"/>
    <cellStyle name="Обычный 7 5 5" xfId="3391"/>
    <cellStyle name="Обычный 7 6" xfId="1184"/>
    <cellStyle name="Обычный 7 6 2" xfId="2262"/>
    <cellStyle name="Обычный 7 6 2 2" xfId="5209"/>
    <cellStyle name="Обычный 7 6 3" xfId="4131"/>
    <cellStyle name="Обычный 7 7" xfId="673"/>
    <cellStyle name="Обычный 7 7 2" xfId="3640"/>
    <cellStyle name="Обычный 7 8" xfId="1741"/>
    <cellStyle name="Обычный 7 8 2" xfId="4688"/>
    <cellStyle name="Обычный 7 9" xfId="3122"/>
    <cellStyle name="Обычный 8" xfId="10"/>
    <cellStyle name="Обычный 8 10" xfId="675"/>
    <cellStyle name="Обычный 8 10 2" xfId="3642"/>
    <cellStyle name="Обычный 8 11" xfId="1743"/>
    <cellStyle name="Обычный 8 11 2" xfId="4690"/>
    <cellStyle name="Обычный 8 12" xfId="3108"/>
    <cellStyle name="Обычный 8 2" xfId="56"/>
    <cellStyle name="Обычный 8 2 10" xfId="3138"/>
    <cellStyle name="Обычный 8 2 2" xfId="313"/>
    <cellStyle name="Обычный 8 2 2 2" xfId="314"/>
    <cellStyle name="Обычный 8 2 2 2 2" xfId="595"/>
    <cellStyle name="Обычный 8 2 2 2 2 2" xfId="1630"/>
    <cellStyle name="Обычный 8 2 2 2 2 2 2" xfId="2708"/>
    <cellStyle name="Обычный 8 2 2 2 2 2 2 2" xfId="5655"/>
    <cellStyle name="Обычный 8 2 2 2 2 2 3" xfId="4577"/>
    <cellStyle name="Обычный 8 2 2 2 2 3" xfId="1110"/>
    <cellStyle name="Обычный 8 2 2 2 2 3 2" xfId="4059"/>
    <cellStyle name="Обычный 8 2 2 2 2 4" xfId="2185"/>
    <cellStyle name="Обычный 8 2 2 2 2 4 2" xfId="5132"/>
    <cellStyle name="Обычный 8 2 2 2 2 5" xfId="3564"/>
    <cellStyle name="Обычный 8 2 2 2 3" xfId="1371"/>
    <cellStyle name="Обычный 8 2 2 2 3 2" xfId="2449"/>
    <cellStyle name="Обычный 8 2 2 2 3 2 2" xfId="5396"/>
    <cellStyle name="Обычный 8 2 2 2 3 3" xfId="4318"/>
    <cellStyle name="Обычный 8 2 2 2 4" xfId="856"/>
    <cellStyle name="Обычный 8 2 2 2 4 2" xfId="3815"/>
    <cellStyle name="Обычный 8 2 2 2 5" xfId="1927"/>
    <cellStyle name="Обычный 8 2 2 2 5 2" xfId="4874"/>
    <cellStyle name="Обычный 8 2 2 2 6" xfId="3306"/>
    <cellStyle name="Обычный 8 2 2 3" xfId="315"/>
    <cellStyle name="Обычный 8 2 2 3 2" xfId="596"/>
    <cellStyle name="Обычный 8 2 2 3 2 2" xfId="1631"/>
    <cellStyle name="Обычный 8 2 2 3 2 2 2" xfId="2709"/>
    <cellStyle name="Обычный 8 2 2 3 2 2 2 2" xfId="5656"/>
    <cellStyle name="Обычный 8 2 2 3 2 2 3" xfId="4578"/>
    <cellStyle name="Обычный 8 2 2 3 2 3" xfId="1111"/>
    <cellStyle name="Обычный 8 2 2 3 2 3 2" xfId="4060"/>
    <cellStyle name="Обычный 8 2 2 3 2 4" xfId="2186"/>
    <cellStyle name="Обычный 8 2 2 3 2 4 2" xfId="5133"/>
    <cellStyle name="Обычный 8 2 2 3 2 5" xfId="3565"/>
    <cellStyle name="Обычный 8 2 2 3 3" xfId="1372"/>
    <cellStyle name="Обычный 8 2 2 3 3 2" xfId="2450"/>
    <cellStyle name="Обычный 8 2 2 3 3 2 2" xfId="5397"/>
    <cellStyle name="Обычный 8 2 2 3 3 3" xfId="4319"/>
    <cellStyle name="Обычный 8 2 2 3 4" xfId="857"/>
    <cellStyle name="Обычный 8 2 2 3 4 2" xfId="3816"/>
    <cellStyle name="Обычный 8 2 2 3 5" xfId="1928"/>
    <cellStyle name="Обычный 8 2 2 3 5 2" xfId="4875"/>
    <cellStyle name="Обычный 8 2 2 3 6" xfId="3307"/>
    <cellStyle name="Обычный 8 2 2 4" xfId="594"/>
    <cellStyle name="Обычный 8 2 2 4 2" xfId="1629"/>
    <cellStyle name="Обычный 8 2 2 4 2 2" xfId="2707"/>
    <cellStyle name="Обычный 8 2 2 4 2 2 2" xfId="5654"/>
    <cellStyle name="Обычный 8 2 2 4 2 3" xfId="4576"/>
    <cellStyle name="Обычный 8 2 2 4 3" xfId="1109"/>
    <cellStyle name="Обычный 8 2 2 4 3 2" xfId="4058"/>
    <cellStyle name="Обычный 8 2 2 4 4" xfId="2184"/>
    <cellStyle name="Обычный 8 2 2 4 4 2" xfId="5131"/>
    <cellStyle name="Обычный 8 2 2 4 5" xfId="3563"/>
    <cellStyle name="Обычный 8 2 2 5" xfId="1370"/>
    <cellStyle name="Обычный 8 2 2 5 2" xfId="2448"/>
    <cellStyle name="Обычный 8 2 2 5 2 2" xfId="5395"/>
    <cellStyle name="Обычный 8 2 2 5 3" xfId="4317"/>
    <cellStyle name="Обычный 8 2 2 6" xfId="855"/>
    <cellStyle name="Обычный 8 2 2 6 2" xfId="3814"/>
    <cellStyle name="Обычный 8 2 2 7" xfId="1926"/>
    <cellStyle name="Обычный 8 2 2 7 2" xfId="4873"/>
    <cellStyle name="Обычный 8 2 2 8" xfId="3305"/>
    <cellStyle name="Обычный 8 2 3" xfId="316"/>
    <cellStyle name="Обычный 8 2 3 2" xfId="597"/>
    <cellStyle name="Обычный 8 2 3 2 2" xfId="1632"/>
    <cellStyle name="Обычный 8 2 3 2 2 2" xfId="2710"/>
    <cellStyle name="Обычный 8 2 3 2 2 2 2" xfId="5657"/>
    <cellStyle name="Обычный 8 2 3 2 2 3" xfId="4579"/>
    <cellStyle name="Обычный 8 2 3 2 3" xfId="1112"/>
    <cellStyle name="Обычный 8 2 3 2 3 2" xfId="4061"/>
    <cellStyle name="Обычный 8 2 3 2 4" xfId="2187"/>
    <cellStyle name="Обычный 8 2 3 2 4 2" xfId="5134"/>
    <cellStyle name="Обычный 8 2 3 2 5" xfId="3566"/>
    <cellStyle name="Обычный 8 2 3 3" xfId="1373"/>
    <cellStyle name="Обычный 8 2 3 3 2" xfId="2451"/>
    <cellStyle name="Обычный 8 2 3 3 2 2" xfId="5398"/>
    <cellStyle name="Обычный 8 2 3 3 3" xfId="4320"/>
    <cellStyle name="Обычный 8 2 3 4" xfId="858"/>
    <cellStyle name="Обычный 8 2 3 4 2" xfId="3817"/>
    <cellStyle name="Обычный 8 2 3 5" xfId="1929"/>
    <cellStyle name="Обычный 8 2 3 5 2" xfId="4876"/>
    <cellStyle name="Обычный 8 2 3 6" xfId="3308"/>
    <cellStyle name="Обычный 8 2 4" xfId="317"/>
    <cellStyle name="Обычный 8 2 4 2" xfId="598"/>
    <cellStyle name="Обычный 8 2 4 2 2" xfId="1633"/>
    <cellStyle name="Обычный 8 2 4 2 2 2" xfId="2711"/>
    <cellStyle name="Обычный 8 2 4 2 2 2 2" xfId="5658"/>
    <cellStyle name="Обычный 8 2 4 2 2 3" xfId="4580"/>
    <cellStyle name="Обычный 8 2 4 2 3" xfId="1113"/>
    <cellStyle name="Обычный 8 2 4 2 3 2" xfId="4062"/>
    <cellStyle name="Обычный 8 2 4 2 4" xfId="2188"/>
    <cellStyle name="Обычный 8 2 4 2 4 2" xfId="5135"/>
    <cellStyle name="Обычный 8 2 4 2 5" xfId="3567"/>
    <cellStyle name="Обычный 8 2 4 3" xfId="1374"/>
    <cellStyle name="Обычный 8 2 4 3 2" xfId="2452"/>
    <cellStyle name="Обычный 8 2 4 3 2 2" xfId="5399"/>
    <cellStyle name="Обычный 8 2 4 3 3" xfId="4321"/>
    <cellStyle name="Обычный 8 2 4 4" xfId="859"/>
    <cellStyle name="Обычный 8 2 4 4 2" xfId="3818"/>
    <cellStyle name="Обычный 8 2 4 5" xfId="1930"/>
    <cellStyle name="Обычный 8 2 4 5 2" xfId="4877"/>
    <cellStyle name="Обычный 8 2 4 6" xfId="3309"/>
    <cellStyle name="Обычный 8 2 5" xfId="312"/>
    <cellStyle name="Обычный 8 2 5 2" xfId="593"/>
    <cellStyle name="Обычный 8 2 5 2 2" xfId="1628"/>
    <cellStyle name="Обычный 8 2 5 2 2 2" xfId="2706"/>
    <cellStyle name="Обычный 8 2 5 2 2 2 2" xfId="5653"/>
    <cellStyle name="Обычный 8 2 5 2 2 3" xfId="4575"/>
    <cellStyle name="Обычный 8 2 5 2 3" xfId="1108"/>
    <cellStyle name="Обычный 8 2 5 2 3 2" xfId="4057"/>
    <cellStyle name="Обычный 8 2 5 2 4" xfId="2183"/>
    <cellStyle name="Обычный 8 2 5 2 4 2" xfId="5130"/>
    <cellStyle name="Обычный 8 2 5 2 5" xfId="3562"/>
    <cellStyle name="Обычный 8 2 5 3" xfId="1369"/>
    <cellStyle name="Обычный 8 2 5 3 2" xfId="2447"/>
    <cellStyle name="Обычный 8 2 5 3 2 2" xfId="5394"/>
    <cellStyle name="Обычный 8 2 5 3 3" xfId="4316"/>
    <cellStyle name="Обычный 8 2 5 4" xfId="854"/>
    <cellStyle name="Обычный 8 2 5 4 2" xfId="3813"/>
    <cellStyle name="Обычный 8 2 5 5" xfId="1925"/>
    <cellStyle name="Обычный 8 2 5 5 2" xfId="4872"/>
    <cellStyle name="Обычный 8 2 5 6" xfId="3304"/>
    <cellStyle name="Обычный 8 2 6" xfId="431"/>
    <cellStyle name="Обычный 8 2 6 2" xfId="1473"/>
    <cellStyle name="Обычный 8 2 6 2 2" xfId="2551"/>
    <cellStyle name="Обычный 8 2 6 2 2 2" xfId="5498"/>
    <cellStyle name="Обычный 8 2 6 2 3" xfId="4420"/>
    <cellStyle name="Обычный 8 2 6 3" xfId="946"/>
    <cellStyle name="Обычный 8 2 6 3 2" xfId="3903"/>
    <cellStyle name="Обычный 8 2 6 4" xfId="2029"/>
    <cellStyle name="Обычный 8 2 6 4 2" xfId="4976"/>
    <cellStyle name="Обычный 8 2 6 5" xfId="3408"/>
    <cellStyle name="Обычный 8 2 7" xfId="1201"/>
    <cellStyle name="Обычный 8 2 7 2" xfId="2279"/>
    <cellStyle name="Обычный 8 2 7 2 2" xfId="5226"/>
    <cellStyle name="Обычный 8 2 7 3" xfId="4148"/>
    <cellStyle name="Обычный 8 2 8" xfId="690"/>
    <cellStyle name="Обычный 8 2 8 2" xfId="3657"/>
    <cellStyle name="Обычный 8 2 9" xfId="1758"/>
    <cellStyle name="Обычный 8 2 9 2" xfId="4705"/>
    <cellStyle name="Обычный 8 3" xfId="62"/>
    <cellStyle name="Обычный 8 3 2" xfId="318"/>
    <cellStyle name="Обычный 8 3 2 2" xfId="599"/>
    <cellStyle name="Обычный 8 3 2 2 2" xfId="1634"/>
    <cellStyle name="Обычный 8 3 2 2 2 2" xfId="2712"/>
    <cellStyle name="Обычный 8 3 2 2 2 2 2" xfId="5659"/>
    <cellStyle name="Обычный 8 3 2 2 2 3" xfId="4581"/>
    <cellStyle name="Обычный 8 3 2 2 3" xfId="1114"/>
    <cellStyle name="Обычный 8 3 2 2 3 2" xfId="4063"/>
    <cellStyle name="Обычный 8 3 2 2 4" xfId="2189"/>
    <cellStyle name="Обычный 8 3 2 2 4 2" xfId="5136"/>
    <cellStyle name="Обычный 8 3 2 2 5" xfId="3568"/>
    <cellStyle name="Обычный 8 3 2 3" xfId="1375"/>
    <cellStyle name="Обычный 8 3 2 3 2" xfId="2453"/>
    <cellStyle name="Обычный 8 3 2 3 2 2" xfId="5400"/>
    <cellStyle name="Обычный 8 3 2 3 3" xfId="4322"/>
    <cellStyle name="Обычный 8 3 2 4" xfId="860"/>
    <cellStyle name="Обычный 8 3 2 4 2" xfId="3819"/>
    <cellStyle name="Обычный 8 3 2 5" xfId="1931"/>
    <cellStyle name="Обычный 8 3 2 5 2" xfId="4878"/>
    <cellStyle name="Обычный 8 3 2 6" xfId="3310"/>
    <cellStyle name="Обычный 8 3 3" xfId="437"/>
    <cellStyle name="Обычный 8 3 3 2" xfId="1479"/>
    <cellStyle name="Обычный 8 3 3 2 2" xfId="2557"/>
    <cellStyle name="Обычный 8 3 3 2 2 2" xfId="5504"/>
    <cellStyle name="Обычный 8 3 3 2 3" xfId="4426"/>
    <cellStyle name="Обычный 8 3 3 3" xfId="952"/>
    <cellStyle name="Обычный 8 3 3 3 2" xfId="3909"/>
    <cellStyle name="Обычный 8 3 3 4" xfId="2035"/>
    <cellStyle name="Обычный 8 3 3 4 2" xfId="4982"/>
    <cellStyle name="Обычный 8 3 3 5" xfId="3414"/>
    <cellStyle name="Обычный 8 3 4" xfId="1207"/>
    <cellStyle name="Обычный 8 3 4 2" xfId="2285"/>
    <cellStyle name="Обычный 8 3 4 2 2" xfId="5232"/>
    <cellStyle name="Обычный 8 3 4 3" xfId="4154"/>
    <cellStyle name="Обычный 8 3 5" xfId="696"/>
    <cellStyle name="Обычный 8 3 5 2" xfId="3663"/>
    <cellStyle name="Обычный 8 3 6" xfId="1764"/>
    <cellStyle name="Обычный 8 3 6 2" xfId="4711"/>
    <cellStyle name="Обычный 8 3 7" xfId="3144"/>
    <cellStyle name="Обычный 8 4" xfId="319"/>
    <cellStyle name="Обычный 8 4 2" xfId="600"/>
    <cellStyle name="Обычный 8 4 2 2" xfId="1635"/>
    <cellStyle name="Обычный 8 4 2 2 2" xfId="2713"/>
    <cellStyle name="Обычный 8 4 2 2 2 2" xfId="5660"/>
    <cellStyle name="Обычный 8 4 2 2 3" xfId="4582"/>
    <cellStyle name="Обычный 8 4 2 3" xfId="1115"/>
    <cellStyle name="Обычный 8 4 2 3 2" xfId="4064"/>
    <cellStyle name="Обычный 8 4 2 4" xfId="2190"/>
    <cellStyle name="Обычный 8 4 2 4 2" xfId="5137"/>
    <cellStyle name="Обычный 8 4 2 5" xfId="3569"/>
    <cellStyle name="Обычный 8 4 3" xfId="1376"/>
    <cellStyle name="Обычный 8 4 3 2" xfId="2454"/>
    <cellStyle name="Обычный 8 4 3 2 2" xfId="5401"/>
    <cellStyle name="Обычный 8 4 3 3" xfId="4323"/>
    <cellStyle name="Обычный 8 4 4" xfId="861"/>
    <cellStyle name="Обычный 8 4 4 2" xfId="3820"/>
    <cellStyle name="Обычный 8 4 5" xfId="1932"/>
    <cellStyle name="Обычный 8 4 5 2" xfId="4879"/>
    <cellStyle name="Обычный 8 4 6" xfId="3311"/>
    <cellStyle name="Обычный 8 5" xfId="320"/>
    <cellStyle name="Обычный 8 5 2" xfId="601"/>
    <cellStyle name="Обычный 8 5 2 2" xfId="1636"/>
    <cellStyle name="Обычный 8 5 2 2 2" xfId="2714"/>
    <cellStyle name="Обычный 8 5 2 2 2 2" xfId="5661"/>
    <cellStyle name="Обычный 8 5 2 2 3" xfId="4583"/>
    <cellStyle name="Обычный 8 5 2 3" xfId="1116"/>
    <cellStyle name="Обычный 8 5 2 3 2" xfId="4065"/>
    <cellStyle name="Обычный 8 5 2 4" xfId="2191"/>
    <cellStyle name="Обычный 8 5 2 4 2" xfId="5138"/>
    <cellStyle name="Обычный 8 5 2 5" xfId="3570"/>
    <cellStyle name="Обычный 8 5 3" xfId="1377"/>
    <cellStyle name="Обычный 8 5 3 2" xfId="2455"/>
    <cellStyle name="Обычный 8 5 3 2 2" xfId="5402"/>
    <cellStyle name="Обычный 8 5 3 3" xfId="4324"/>
    <cellStyle name="Обычный 8 5 4" xfId="862"/>
    <cellStyle name="Обычный 8 5 4 2" xfId="3821"/>
    <cellStyle name="Обычный 8 5 5" xfId="1933"/>
    <cellStyle name="Обычный 8 5 5 2" xfId="4880"/>
    <cellStyle name="Обычный 8 5 6" xfId="3312"/>
    <cellStyle name="Обычный 8 6" xfId="321"/>
    <cellStyle name="Обычный 8 6 2" xfId="602"/>
    <cellStyle name="Обычный 8 6 2 2" xfId="1637"/>
    <cellStyle name="Обычный 8 6 2 2 2" xfId="2715"/>
    <cellStyle name="Обычный 8 6 2 2 2 2" xfId="5662"/>
    <cellStyle name="Обычный 8 6 2 2 3" xfId="4584"/>
    <cellStyle name="Обычный 8 6 2 3" xfId="1117"/>
    <cellStyle name="Обычный 8 6 2 3 2" xfId="4066"/>
    <cellStyle name="Обычный 8 6 2 4" xfId="2192"/>
    <cellStyle name="Обычный 8 6 2 4 2" xfId="5139"/>
    <cellStyle name="Обычный 8 6 2 5" xfId="3571"/>
    <cellStyle name="Обычный 8 6 3" xfId="1378"/>
    <cellStyle name="Обычный 8 6 3 2" xfId="2456"/>
    <cellStyle name="Обычный 8 6 3 2 2" xfId="5403"/>
    <cellStyle name="Обычный 8 6 3 3" xfId="4325"/>
    <cellStyle name="Обычный 8 6 4" xfId="863"/>
    <cellStyle name="Обычный 8 6 4 2" xfId="3822"/>
    <cellStyle name="Обычный 8 6 5" xfId="1934"/>
    <cellStyle name="Обычный 8 6 5 2" xfId="4881"/>
    <cellStyle name="Обычный 8 6 6" xfId="3313"/>
    <cellStyle name="Обычный 8 7" xfId="311"/>
    <cellStyle name="Обычный 8 7 2" xfId="592"/>
    <cellStyle name="Обычный 8 7 2 2" xfId="1627"/>
    <cellStyle name="Обычный 8 7 2 2 2" xfId="2705"/>
    <cellStyle name="Обычный 8 7 2 2 2 2" xfId="5652"/>
    <cellStyle name="Обычный 8 7 2 2 3" xfId="4574"/>
    <cellStyle name="Обычный 8 7 2 3" xfId="1107"/>
    <cellStyle name="Обычный 8 7 2 3 2" xfId="4056"/>
    <cellStyle name="Обычный 8 7 2 4" xfId="2182"/>
    <cellStyle name="Обычный 8 7 2 4 2" xfId="5129"/>
    <cellStyle name="Обычный 8 7 2 5" xfId="3561"/>
    <cellStyle name="Обычный 8 7 3" xfId="1368"/>
    <cellStyle name="Обычный 8 7 3 2" xfId="2446"/>
    <cellStyle name="Обычный 8 7 3 2 2" xfId="5393"/>
    <cellStyle name="Обычный 8 7 3 3" xfId="4315"/>
    <cellStyle name="Обычный 8 7 4" xfId="853"/>
    <cellStyle name="Обычный 8 7 4 2" xfId="3812"/>
    <cellStyle name="Обычный 8 7 5" xfId="1924"/>
    <cellStyle name="Обычный 8 7 5 2" xfId="4871"/>
    <cellStyle name="Обычный 8 7 6" xfId="3303"/>
    <cellStyle name="Обычный 8 8" xfId="416"/>
    <cellStyle name="Обычный 8 8 2" xfId="1458"/>
    <cellStyle name="Обычный 8 8 2 2" xfId="2536"/>
    <cellStyle name="Обычный 8 8 2 2 2" xfId="5483"/>
    <cellStyle name="Обычный 8 8 2 3" xfId="4405"/>
    <cellStyle name="Обычный 8 8 3" xfId="931"/>
    <cellStyle name="Обычный 8 8 3 2" xfId="3888"/>
    <cellStyle name="Обычный 8 8 4" xfId="2014"/>
    <cellStyle name="Обычный 8 8 4 2" xfId="4961"/>
    <cellStyle name="Обычный 8 8 5" xfId="3393"/>
    <cellStyle name="Обычный 8 9" xfId="1186"/>
    <cellStyle name="Обычный 8 9 2" xfId="2264"/>
    <cellStyle name="Обычный 8 9 2 2" xfId="5211"/>
    <cellStyle name="Обычный 8 9 3" xfId="4133"/>
    <cellStyle name="Обычный 8_Приложение 6_Список сотрудников_апр-дек'2013" xfId="322"/>
    <cellStyle name="Обычный 9" xfId="36"/>
    <cellStyle name="Обычный 9 10" xfId="3125"/>
    <cellStyle name="Обычный 9 2" xfId="58"/>
    <cellStyle name="Обычный 9 2 2" xfId="324"/>
    <cellStyle name="Обычный 9 2 2 2" xfId="604"/>
    <cellStyle name="Обычный 9 2 2 2 2" xfId="1639"/>
    <cellStyle name="Обычный 9 2 2 2 2 2" xfId="2717"/>
    <cellStyle name="Обычный 9 2 2 2 2 2 2" xfId="5664"/>
    <cellStyle name="Обычный 9 2 2 2 2 3" xfId="4586"/>
    <cellStyle name="Обычный 9 2 2 2 3" xfId="1119"/>
    <cellStyle name="Обычный 9 2 2 2 3 2" xfId="4068"/>
    <cellStyle name="Обычный 9 2 2 2 4" xfId="2194"/>
    <cellStyle name="Обычный 9 2 2 2 4 2" xfId="5141"/>
    <cellStyle name="Обычный 9 2 2 2 5" xfId="3573"/>
    <cellStyle name="Обычный 9 2 2 3" xfId="1380"/>
    <cellStyle name="Обычный 9 2 2 3 2" xfId="2458"/>
    <cellStyle name="Обычный 9 2 2 3 2 2" xfId="5405"/>
    <cellStyle name="Обычный 9 2 2 3 3" xfId="4327"/>
    <cellStyle name="Обычный 9 2 2 4" xfId="865"/>
    <cellStyle name="Обычный 9 2 2 4 2" xfId="3824"/>
    <cellStyle name="Обычный 9 2 2 5" xfId="1936"/>
    <cellStyle name="Обычный 9 2 2 5 2" xfId="4883"/>
    <cellStyle name="Обычный 9 2 2 6" xfId="3315"/>
    <cellStyle name="Обычный 9 2 3" xfId="433"/>
    <cellStyle name="Обычный 9 2 3 2" xfId="1475"/>
    <cellStyle name="Обычный 9 2 3 2 2" xfId="2553"/>
    <cellStyle name="Обычный 9 2 3 2 2 2" xfId="5500"/>
    <cellStyle name="Обычный 9 2 3 2 3" xfId="4422"/>
    <cellStyle name="Обычный 9 2 3 3" xfId="948"/>
    <cellStyle name="Обычный 9 2 3 3 2" xfId="3905"/>
    <cellStyle name="Обычный 9 2 3 4" xfId="2031"/>
    <cellStyle name="Обычный 9 2 3 4 2" xfId="4978"/>
    <cellStyle name="Обычный 9 2 3 5" xfId="3410"/>
    <cellStyle name="Обычный 9 2 4" xfId="1203"/>
    <cellStyle name="Обычный 9 2 4 2" xfId="2281"/>
    <cellStyle name="Обычный 9 2 4 2 2" xfId="5228"/>
    <cellStyle name="Обычный 9 2 4 3" xfId="4150"/>
    <cellStyle name="Обычный 9 2 5" xfId="692"/>
    <cellStyle name="Обычный 9 2 5 2" xfId="3659"/>
    <cellStyle name="Обычный 9 2 6" xfId="1760"/>
    <cellStyle name="Обычный 9 2 6 2" xfId="4707"/>
    <cellStyle name="Обычный 9 2 7" xfId="3140"/>
    <cellStyle name="Обычный 9 3" xfId="325"/>
    <cellStyle name="Обычный 9 3 2" xfId="326"/>
    <cellStyle name="Обычный 9 3 2 2" xfId="606"/>
    <cellStyle name="Обычный 9 3 2 2 2" xfId="1641"/>
    <cellStyle name="Обычный 9 3 2 2 2 2" xfId="2719"/>
    <cellStyle name="Обычный 9 3 2 2 2 2 2" xfId="5666"/>
    <cellStyle name="Обычный 9 3 2 2 2 3" xfId="4588"/>
    <cellStyle name="Обычный 9 3 2 2 3" xfId="1121"/>
    <cellStyle name="Обычный 9 3 2 2 3 2" xfId="4070"/>
    <cellStyle name="Обычный 9 3 2 2 4" xfId="2196"/>
    <cellStyle name="Обычный 9 3 2 2 4 2" xfId="5143"/>
    <cellStyle name="Обычный 9 3 2 2 5" xfId="3575"/>
    <cellStyle name="Обычный 9 3 2 3" xfId="1382"/>
    <cellStyle name="Обычный 9 3 2 3 2" xfId="2460"/>
    <cellStyle name="Обычный 9 3 2 3 2 2" xfId="5407"/>
    <cellStyle name="Обычный 9 3 2 3 3" xfId="4329"/>
    <cellStyle name="Обычный 9 3 2 4" xfId="867"/>
    <cellStyle name="Обычный 9 3 2 4 2" xfId="3826"/>
    <cellStyle name="Обычный 9 3 2 5" xfId="1938"/>
    <cellStyle name="Обычный 9 3 2 5 2" xfId="4885"/>
    <cellStyle name="Обычный 9 3 2 6" xfId="3317"/>
    <cellStyle name="Обычный 9 3 3" xfId="605"/>
    <cellStyle name="Обычный 9 3 3 2" xfId="1640"/>
    <cellStyle name="Обычный 9 3 3 2 2" xfId="2718"/>
    <cellStyle name="Обычный 9 3 3 2 2 2" xfId="5665"/>
    <cellStyle name="Обычный 9 3 3 2 3" xfId="4587"/>
    <cellStyle name="Обычный 9 3 3 3" xfId="1120"/>
    <cellStyle name="Обычный 9 3 3 3 2" xfId="4069"/>
    <cellStyle name="Обычный 9 3 3 4" xfId="2195"/>
    <cellStyle name="Обычный 9 3 3 4 2" xfId="5142"/>
    <cellStyle name="Обычный 9 3 3 5" xfId="3574"/>
    <cellStyle name="Обычный 9 3 4" xfId="1381"/>
    <cellStyle name="Обычный 9 3 4 2" xfId="2459"/>
    <cellStyle name="Обычный 9 3 4 2 2" xfId="5406"/>
    <cellStyle name="Обычный 9 3 4 3" xfId="4328"/>
    <cellStyle name="Обычный 9 3 5" xfId="866"/>
    <cellStyle name="Обычный 9 3 5 2" xfId="3825"/>
    <cellStyle name="Обычный 9 3 6" xfId="1937"/>
    <cellStyle name="Обычный 9 3 6 2" xfId="4884"/>
    <cellStyle name="Обычный 9 3 7" xfId="3316"/>
    <cellStyle name="Обычный 9 4" xfId="327"/>
    <cellStyle name="Обычный 9 4 2" xfId="607"/>
    <cellStyle name="Обычный 9 4 2 2" xfId="1642"/>
    <cellStyle name="Обычный 9 4 2 2 2" xfId="2720"/>
    <cellStyle name="Обычный 9 4 2 2 2 2" xfId="5667"/>
    <cellStyle name="Обычный 9 4 2 2 3" xfId="4589"/>
    <cellStyle name="Обычный 9 4 2 3" xfId="1122"/>
    <cellStyle name="Обычный 9 4 2 3 2" xfId="4071"/>
    <cellStyle name="Обычный 9 4 2 4" xfId="2197"/>
    <cellStyle name="Обычный 9 4 2 4 2" xfId="5144"/>
    <cellStyle name="Обычный 9 4 2 5" xfId="3576"/>
    <cellStyle name="Обычный 9 4 3" xfId="1383"/>
    <cellStyle name="Обычный 9 4 3 2" xfId="2461"/>
    <cellStyle name="Обычный 9 4 3 2 2" xfId="5408"/>
    <cellStyle name="Обычный 9 4 3 3" xfId="4330"/>
    <cellStyle name="Обычный 9 4 4" xfId="868"/>
    <cellStyle name="Обычный 9 4 4 2" xfId="3827"/>
    <cellStyle name="Обычный 9 4 5" xfId="1939"/>
    <cellStyle name="Обычный 9 4 5 2" xfId="4886"/>
    <cellStyle name="Обычный 9 4 6" xfId="3318"/>
    <cellStyle name="Обычный 9 5" xfId="323"/>
    <cellStyle name="Обычный 9 5 2" xfId="603"/>
    <cellStyle name="Обычный 9 5 2 2" xfId="1638"/>
    <cellStyle name="Обычный 9 5 2 2 2" xfId="2716"/>
    <cellStyle name="Обычный 9 5 2 2 2 2" xfId="5663"/>
    <cellStyle name="Обычный 9 5 2 2 3" xfId="4585"/>
    <cellStyle name="Обычный 9 5 2 3" xfId="1118"/>
    <cellStyle name="Обычный 9 5 2 3 2" xfId="4067"/>
    <cellStyle name="Обычный 9 5 2 4" xfId="2193"/>
    <cellStyle name="Обычный 9 5 2 4 2" xfId="5140"/>
    <cellStyle name="Обычный 9 5 2 5" xfId="3572"/>
    <cellStyle name="Обычный 9 5 3" xfId="1379"/>
    <cellStyle name="Обычный 9 5 3 2" xfId="2457"/>
    <cellStyle name="Обычный 9 5 3 2 2" xfId="5404"/>
    <cellStyle name="Обычный 9 5 3 3" xfId="4326"/>
    <cellStyle name="Обычный 9 5 4" xfId="864"/>
    <cellStyle name="Обычный 9 5 4 2" xfId="3823"/>
    <cellStyle name="Обычный 9 5 5" xfId="1935"/>
    <cellStyle name="Обычный 9 5 5 2" xfId="4882"/>
    <cellStyle name="Обычный 9 5 6" xfId="3314"/>
    <cellStyle name="Обычный 9 6" xfId="418"/>
    <cellStyle name="Обычный 9 6 2" xfId="1460"/>
    <cellStyle name="Обычный 9 6 2 2" xfId="2538"/>
    <cellStyle name="Обычный 9 6 2 2 2" xfId="5485"/>
    <cellStyle name="Обычный 9 6 2 3" xfId="4407"/>
    <cellStyle name="Обычный 9 6 3" xfId="933"/>
    <cellStyle name="Обычный 9 6 3 2" xfId="3890"/>
    <cellStyle name="Обычный 9 6 4" xfId="2016"/>
    <cellStyle name="Обычный 9 6 4 2" xfId="4963"/>
    <cellStyle name="Обычный 9 6 5" xfId="3395"/>
    <cellStyle name="Обычный 9 7" xfId="1188"/>
    <cellStyle name="Обычный 9 7 2" xfId="2266"/>
    <cellStyle name="Обычный 9 7 2 2" xfId="5213"/>
    <cellStyle name="Обычный 9 7 3" xfId="4135"/>
    <cellStyle name="Обычный 9 8" xfId="677"/>
    <cellStyle name="Обычный 9 8 2" xfId="3644"/>
    <cellStyle name="Обычный 9 9" xfId="1745"/>
    <cellStyle name="Обычный 9 9 2" xfId="4692"/>
    <cellStyle name="Обычный_Budget HIV-18 august chinara" xfId="3100"/>
    <cellStyle name="Обычный_IBPP_KAZ draft with AFEW format_13.04.2007" xfId="3082"/>
    <cellStyle name="Обычный_иппп" xfId="3099"/>
    <cellStyle name="Процентный 2" xfId="12"/>
    <cellStyle name="Процентный 2 2" xfId="328"/>
    <cellStyle name="Процентный 2 3" xfId="439"/>
    <cellStyle name="Процентный 2 3 2" xfId="1481"/>
    <cellStyle name="Процентный 2 3 2 2" xfId="2559"/>
    <cellStyle name="Процентный 2 3 2 2 2" xfId="5506"/>
    <cellStyle name="Процентный 2 3 2 3" xfId="4428"/>
    <cellStyle name="Процентный 2 3 3" xfId="954"/>
    <cellStyle name="Процентный 2 3 3 2" xfId="3911"/>
    <cellStyle name="Процентный 2 3 4" xfId="2037"/>
    <cellStyle name="Процентный 2 3 4 2" xfId="4984"/>
    <cellStyle name="Процентный 2 3 5" xfId="3416"/>
    <cellStyle name="Процентный 2 4" xfId="1209"/>
    <cellStyle name="Процентный 2 4 2" xfId="2287"/>
    <cellStyle name="Процентный 2 4 2 2" xfId="5234"/>
    <cellStyle name="Процентный 2 4 3" xfId="4156"/>
    <cellStyle name="Процентный 2 5" xfId="698"/>
    <cellStyle name="Процентный 2 5 2" xfId="3665"/>
    <cellStyle name="Процентный 2 6" xfId="1766"/>
    <cellStyle name="Процентный 2 6 2" xfId="4713"/>
    <cellStyle name="Процентный 2 7" xfId="3076"/>
    <cellStyle name="Процентный 2 8" xfId="3110"/>
    <cellStyle name="Процентный 3" xfId="329"/>
    <cellStyle name="Процентный 4" xfId="404"/>
    <cellStyle name="Процентный 4 2" xfId="1446"/>
    <cellStyle name="Процентный 4 2 2" xfId="2524"/>
    <cellStyle name="Процентный 4 2 2 2" xfId="5471"/>
    <cellStyle name="Процентный 4 2 3" xfId="4393"/>
    <cellStyle name="Процентный 4 3" xfId="919"/>
    <cellStyle name="Процентный 4 3 2" xfId="3876"/>
    <cellStyle name="Процентный 4 4" xfId="2002"/>
    <cellStyle name="Процентный 4 4 2" xfId="4949"/>
    <cellStyle name="Процентный 4 5" xfId="3381"/>
    <cellStyle name="Процентный 5" xfId="659"/>
    <cellStyle name="Процентный 5 2" xfId="1692"/>
    <cellStyle name="Процентный 5 2 2" xfId="2770"/>
    <cellStyle name="Процентный 5 2 2 2" xfId="5717"/>
    <cellStyle name="Процентный 5 2 3" xfId="4639"/>
    <cellStyle name="Процентный 5 3" xfId="1174"/>
    <cellStyle name="Процентный 5 3 2" xfId="4121"/>
    <cellStyle name="Процентный 5 4" xfId="2247"/>
    <cellStyle name="Процентный 5 4 2" xfId="5194"/>
    <cellStyle name="Процентный 5 5" xfId="3626"/>
    <cellStyle name="Процентный 6" xfId="664"/>
    <cellStyle name="Процентный 6 2" xfId="1697"/>
    <cellStyle name="Процентный 6 2 2" xfId="2775"/>
    <cellStyle name="Процентный 6 2 2 2" xfId="5722"/>
    <cellStyle name="Процентный 6 2 3" xfId="4644"/>
    <cellStyle name="Процентный 6 3" xfId="2252"/>
    <cellStyle name="Процентный 6 3 2" xfId="5199"/>
    <cellStyle name="Процентный 6 4" xfId="3631"/>
    <cellStyle name="Процентный 7" xfId="1711"/>
    <cellStyle name="Процентный 7 2" xfId="2789"/>
    <cellStyle name="Процентный 7 2 2" xfId="5736"/>
    <cellStyle name="Процентный 7 3" xfId="4658"/>
    <cellStyle name="Процентный 8" xfId="3102"/>
    <cellStyle name="Процентный 8 2" xfId="6035"/>
    <cellStyle name="Финансовый 10" xfId="331"/>
    <cellStyle name="Финансовый 11" xfId="332"/>
    <cellStyle name="Финансовый 11 2" xfId="1384"/>
    <cellStyle name="Финансовый 11 2 2" xfId="2462"/>
    <cellStyle name="Финансовый 11 2 2 2" xfId="5409"/>
    <cellStyle name="Финансовый 11 2 3" xfId="4331"/>
    <cellStyle name="Финансовый 11 3" xfId="1940"/>
    <cellStyle name="Финансовый 11 3 2" xfId="4887"/>
    <cellStyle name="Финансовый 11 4" xfId="3319"/>
    <cellStyle name="Финансовый 12" xfId="333"/>
    <cellStyle name="Финансовый 12 2" xfId="1385"/>
    <cellStyle name="Финансовый 12 2 2" xfId="2463"/>
    <cellStyle name="Финансовый 12 2 2 2" xfId="5410"/>
    <cellStyle name="Финансовый 12 2 3" xfId="4332"/>
    <cellStyle name="Финансовый 12 3" xfId="1941"/>
    <cellStyle name="Финансовый 12 3 2" xfId="4888"/>
    <cellStyle name="Финансовый 12 4" xfId="3320"/>
    <cellStyle name="Финансовый 13" xfId="334"/>
    <cellStyle name="Финансовый 13 2" xfId="609"/>
    <cellStyle name="Финансовый 13 2 2" xfId="1124"/>
    <cellStyle name="Финансовый 13 3" xfId="870"/>
    <cellStyle name="Финансовый 14" xfId="330"/>
    <cellStyle name="Финансовый 14 2" xfId="608"/>
    <cellStyle name="Финансовый 14 2 2" xfId="1123"/>
    <cellStyle name="Финансовый 14 3" xfId="869"/>
    <cellStyle name="Финансовый 15" xfId="658"/>
    <cellStyle name="Финансовый 15 2" xfId="1691"/>
    <cellStyle name="Финансовый 15 2 2" xfId="2769"/>
    <cellStyle name="Финансовый 15 2 2 2" xfId="5716"/>
    <cellStyle name="Финансовый 15 2 3" xfId="4638"/>
    <cellStyle name="Финансовый 15 3" xfId="1173"/>
    <cellStyle name="Финансовый 15 3 2" xfId="4120"/>
    <cellStyle name="Финансовый 15 4" xfId="2246"/>
    <cellStyle name="Финансовый 15 4 2" xfId="5193"/>
    <cellStyle name="Финансовый 15 5" xfId="3625"/>
    <cellStyle name="Финансовый 16" xfId="665"/>
    <cellStyle name="Финансовый 16 2" xfId="1698"/>
    <cellStyle name="Финансовый 16 2 2" xfId="2776"/>
    <cellStyle name="Финансовый 16 2 2 2" xfId="5723"/>
    <cellStyle name="Финансовый 16 2 3" xfId="4645"/>
    <cellStyle name="Финансовый 16 3" xfId="2253"/>
    <cellStyle name="Финансовый 16 3 2" xfId="5200"/>
    <cellStyle name="Финансовый 16 4" xfId="3632"/>
    <cellStyle name="Финансовый 17" xfId="1710"/>
    <cellStyle name="Финансовый 17 2" xfId="2788"/>
    <cellStyle name="Финансовый 17 2 2" xfId="5735"/>
    <cellStyle name="Финансовый 17 3" xfId="4657"/>
    <cellStyle name="Финансовый 18" xfId="14"/>
    <cellStyle name="Финансовый 18 2" xfId="3111"/>
    <cellStyle name="Финансовый 19" xfId="8"/>
    <cellStyle name="Финансовый 19 2" xfId="3107"/>
    <cellStyle name="Финансовый 2" xfId="11"/>
    <cellStyle name="Финансовый 2 10" xfId="405"/>
    <cellStyle name="Финансовый 2 10 2" xfId="1447"/>
    <cellStyle name="Финансовый 2 10 2 2" xfId="2525"/>
    <cellStyle name="Финансовый 2 10 2 2 2" xfId="5472"/>
    <cellStyle name="Финансовый 2 10 2 3" xfId="4394"/>
    <cellStyle name="Финансовый 2 10 3" xfId="920"/>
    <cellStyle name="Финансовый 2 10 3 2" xfId="3877"/>
    <cellStyle name="Финансовый 2 10 4" xfId="2003"/>
    <cellStyle name="Финансовый 2 10 4 2" xfId="4950"/>
    <cellStyle name="Финансовый 2 10 5" xfId="3382"/>
    <cellStyle name="Финансовый 2 11" xfId="408"/>
    <cellStyle name="Финансовый 2 11 2" xfId="1450"/>
    <cellStyle name="Финансовый 2 11 2 2" xfId="2528"/>
    <cellStyle name="Финансовый 2 11 2 2 2" xfId="5475"/>
    <cellStyle name="Финансовый 2 11 2 3" xfId="4397"/>
    <cellStyle name="Финансовый 2 11 3" xfId="923"/>
    <cellStyle name="Финансовый 2 11 3 2" xfId="3880"/>
    <cellStyle name="Финансовый 2 11 4" xfId="2006"/>
    <cellStyle name="Финансовый 2 11 4 2" xfId="4953"/>
    <cellStyle name="Финансовый 2 11 5" xfId="3385"/>
    <cellStyle name="Финансовый 2 12" xfId="1178"/>
    <cellStyle name="Финансовый 2 12 2" xfId="2256"/>
    <cellStyle name="Финансовый 2 12 2 2" xfId="5203"/>
    <cellStyle name="Финансовый 2 12 3" xfId="4125"/>
    <cellStyle name="Финансовый 2 13" xfId="668"/>
    <cellStyle name="Финансовый 2 13 2" xfId="3635"/>
    <cellStyle name="Финансовый 2 14" xfId="1735"/>
    <cellStyle name="Финансовый 2 14 2" xfId="4682"/>
    <cellStyle name="Финансовый 2 15" xfId="28"/>
    <cellStyle name="Финансовый 2 15 2" xfId="3117"/>
    <cellStyle name="Финансовый 2 16" xfId="3075"/>
    <cellStyle name="Финансовый 2 17" xfId="3109"/>
    <cellStyle name="Финансовый 2 18" xfId="6043"/>
    <cellStyle name="Финансовый 2 2" xfId="48"/>
    <cellStyle name="Финансовый 2 2 10" xfId="1193"/>
    <cellStyle name="Финансовый 2 2 10 2" xfId="2271"/>
    <cellStyle name="Финансовый 2 2 10 2 2" xfId="5218"/>
    <cellStyle name="Финансовый 2 2 10 3" xfId="4140"/>
    <cellStyle name="Финансовый 2 2 11" xfId="682"/>
    <cellStyle name="Финансовый 2 2 11 2" xfId="3649"/>
    <cellStyle name="Финансовый 2 2 12" xfId="1750"/>
    <cellStyle name="Финансовый 2 2 12 2" xfId="4697"/>
    <cellStyle name="Финансовый 2 2 13" xfId="3130"/>
    <cellStyle name="Финансовый 2 2 2" xfId="337"/>
    <cellStyle name="Финансовый 2 2 2 2" xfId="338"/>
    <cellStyle name="Финансовый 2 2 2 2 2" xfId="613"/>
    <cellStyle name="Финансовый 2 2 2 2 2 2" xfId="1646"/>
    <cellStyle name="Финансовый 2 2 2 2 2 2 2" xfId="2724"/>
    <cellStyle name="Финансовый 2 2 2 2 2 2 2 2" xfId="5671"/>
    <cellStyle name="Финансовый 2 2 2 2 2 2 3" xfId="4593"/>
    <cellStyle name="Финансовый 2 2 2 2 2 3" xfId="1128"/>
    <cellStyle name="Финансовый 2 2 2 2 2 3 2" xfId="4075"/>
    <cellStyle name="Финансовый 2 2 2 2 2 4" xfId="2201"/>
    <cellStyle name="Финансовый 2 2 2 2 2 4 2" xfId="5148"/>
    <cellStyle name="Финансовый 2 2 2 2 2 5" xfId="3580"/>
    <cellStyle name="Финансовый 2 2 2 2 3" xfId="1389"/>
    <cellStyle name="Финансовый 2 2 2 2 3 2" xfId="2467"/>
    <cellStyle name="Финансовый 2 2 2 2 3 2 2" xfId="5414"/>
    <cellStyle name="Финансовый 2 2 2 2 3 3" xfId="4336"/>
    <cellStyle name="Финансовый 2 2 2 2 4" xfId="874"/>
    <cellStyle name="Финансовый 2 2 2 2 4 2" xfId="3831"/>
    <cellStyle name="Финансовый 2 2 2 2 5" xfId="1945"/>
    <cellStyle name="Финансовый 2 2 2 2 5 2" xfId="4892"/>
    <cellStyle name="Финансовый 2 2 2 2 6" xfId="3324"/>
    <cellStyle name="Финансовый 2 2 2 3" xfId="612"/>
    <cellStyle name="Финансовый 2 2 2 3 2" xfId="1645"/>
    <cellStyle name="Финансовый 2 2 2 3 2 2" xfId="2723"/>
    <cellStyle name="Финансовый 2 2 2 3 2 2 2" xfId="5670"/>
    <cellStyle name="Финансовый 2 2 2 3 2 3" xfId="4592"/>
    <cellStyle name="Финансовый 2 2 2 3 3" xfId="1127"/>
    <cellStyle name="Финансовый 2 2 2 3 3 2" xfId="4074"/>
    <cellStyle name="Финансовый 2 2 2 3 4" xfId="2200"/>
    <cellStyle name="Финансовый 2 2 2 3 4 2" xfId="5147"/>
    <cellStyle name="Финансовый 2 2 2 3 5" xfId="3579"/>
    <cellStyle name="Финансовый 2 2 2 4" xfId="1388"/>
    <cellStyle name="Финансовый 2 2 2 4 2" xfId="2466"/>
    <cellStyle name="Финансовый 2 2 2 4 2 2" xfId="5413"/>
    <cellStyle name="Финансовый 2 2 2 4 3" xfId="4335"/>
    <cellStyle name="Финансовый 2 2 2 5" xfId="873"/>
    <cellStyle name="Финансовый 2 2 2 5 2" xfId="3830"/>
    <cellStyle name="Финансовый 2 2 2 6" xfId="1944"/>
    <cellStyle name="Финансовый 2 2 2 6 2" xfId="4891"/>
    <cellStyle name="Финансовый 2 2 2 7" xfId="3323"/>
    <cellStyle name="Финансовый 2 2 3" xfId="339"/>
    <cellStyle name="Финансовый 2 2 3 2" xfId="1390"/>
    <cellStyle name="Финансовый 2 2 3 2 2" xfId="2468"/>
    <cellStyle name="Финансовый 2 2 3 2 2 2" xfId="5415"/>
    <cellStyle name="Финансовый 2 2 3 2 3" xfId="4337"/>
    <cellStyle name="Финансовый 2 2 3 3" xfId="1946"/>
    <cellStyle name="Финансовый 2 2 3 3 2" xfId="4893"/>
    <cellStyle name="Финансовый 2 2 3 4" xfId="3325"/>
    <cellStyle name="Финансовый 2 2 4" xfId="340"/>
    <cellStyle name="Финансовый 2 2 4 2" xfId="614"/>
    <cellStyle name="Финансовый 2 2 4 2 2" xfId="1647"/>
    <cellStyle name="Финансовый 2 2 4 2 2 2" xfId="2725"/>
    <cellStyle name="Финансовый 2 2 4 2 2 2 2" xfId="5672"/>
    <cellStyle name="Финансовый 2 2 4 2 2 3" xfId="4594"/>
    <cellStyle name="Финансовый 2 2 4 2 3" xfId="1129"/>
    <cellStyle name="Финансовый 2 2 4 2 3 2" xfId="4076"/>
    <cellStyle name="Финансовый 2 2 4 2 4" xfId="2202"/>
    <cellStyle name="Финансовый 2 2 4 2 4 2" xfId="5149"/>
    <cellStyle name="Финансовый 2 2 4 2 5" xfId="3581"/>
    <cellStyle name="Финансовый 2 2 4 3" xfId="1391"/>
    <cellStyle name="Финансовый 2 2 4 3 2" xfId="2469"/>
    <cellStyle name="Финансовый 2 2 4 3 2 2" xfId="5416"/>
    <cellStyle name="Финансовый 2 2 4 3 3" xfId="4338"/>
    <cellStyle name="Финансовый 2 2 4 4" xfId="875"/>
    <cellStyle name="Финансовый 2 2 4 4 2" xfId="3832"/>
    <cellStyle name="Финансовый 2 2 4 5" xfId="1947"/>
    <cellStyle name="Финансовый 2 2 4 5 2" xfId="4894"/>
    <cellStyle name="Финансовый 2 2 4 6" xfId="3326"/>
    <cellStyle name="Финансовый 2 2 5" xfId="341"/>
    <cellStyle name="Финансовый 2 2 5 2" xfId="615"/>
    <cellStyle name="Финансовый 2 2 5 2 2" xfId="1648"/>
    <cellStyle name="Финансовый 2 2 5 2 2 2" xfId="2726"/>
    <cellStyle name="Финансовый 2 2 5 2 2 2 2" xfId="5673"/>
    <cellStyle name="Финансовый 2 2 5 2 2 3" xfId="4595"/>
    <cellStyle name="Финансовый 2 2 5 2 3" xfId="1130"/>
    <cellStyle name="Финансовый 2 2 5 2 3 2" xfId="4077"/>
    <cellStyle name="Финансовый 2 2 5 2 4" xfId="2203"/>
    <cellStyle name="Финансовый 2 2 5 2 4 2" xfId="5150"/>
    <cellStyle name="Финансовый 2 2 5 2 5" xfId="3582"/>
    <cellStyle name="Финансовый 2 2 5 3" xfId="1392"/>
    <cellStyle name="Финансовый 2 2 5 3 2" xfId="2470"/>
    <cellStyle name="Финансовый 2 2 5 3 2 2" xfId="5417"/>
    <cellStyle name="Финансовый 2 2 5 3 3" xfId="4339"/>
    <cellStyle name="Финансовый 2 2 5 4" xfId="876"/>
    <cellStyle name="Финансовый 2 2 5 4 2" xfId="3833"/>
    <cellStyle name="Финансовый 2 2 5 5" xfId="1948"/>
    <cellStyle name="Финансовый 2 2 5 5 2" xfId="4895"/>
    <cellStyle name="Финансовый 2 2 5 6" xfId="3327"/>
    <cellStyle name="Финансовый 2 2 6" xfId="342"/>
    <cellStyle name="Финансовый 2 2 6 2" xfId="1393"/>
    <cellStyle name="Финансовый 2 2 6 2 2" xfId="2471"/>
    <cellStyle name="Финансовый 2 2 6 2 2 2" xfId="5418"/>
    <cellStyle name="Финансовый 2 2 6 2 3" xfId="4340"/>
    <cellStyle name="Финансовый 2 2 6 3" xfId="1949"/>
    <cellStyle name="Финансовый 2 2 6 3 2" xfId="4896"/>
    <cellStyle name="Финансовый 2 2 6 4" xfId="3328"/>
    <cellStyle name="Финансовый 2 2 7" xfId="343"/>
    <cellStyle name="Финансовый 2 2 7 2" xfId="1394"/>
    <cellStyle name="Финансовый 2 2 7 2 2" xfId="2472"/>
    <cellStyle name="Финансовый 2 2 7 2 2 2" xfId="5419"/>
    <cellStyle name="Финансовый 2 2 7 2 3" xfId="4341"/>
    <cellStyle name="Финансовый 2 2 7 3" xfId="1950"/>
    <cellStyle name="Финансовый 2 2 7 3 2" xfId="4897"/>
    <cellStyle name="Финансовый 2 2 7 4" xfId="3329"/>
    <cellStyle name="Финансовый 2 2 8" xfId="336"/>
    <cellStyle name="Финансовый 2 2 8 2" xfId="611"/>
    <cellStyle name="Финансовый 2 2 8 2 2" xfId="1644"/>
    <cellStyle name="Финансовый 2 2 8 2 2 2" xfId="2722"/>
    <cellStyle name="Финансовый 2 2 8 2 2 2 2" xfId="5669"/>
    <cellStyle name="Финансовый 2 2 8 2 2 3" xfId="4591"/>
    <cellStyle name="Финансовый 2 2 8 2 3" xfId="1126"/>
    <cellStyle name="Финансовый 2 2 8 2 3 2" xfId="4073"/>
    <cellStyle name="Финансовый 2 2 8 2 4" xfId="2199"/>
    <cellStyle name="Финансовый 2 2 8 2 4 2" xfId="5146"/>
    <cellStyle name="Финансовый 2 2 8 2 5" xfId="3578"/>
    <cellStyle name="Финансовый 2 2 8 3" xfId="1387"/>
    <cellStyle name="Финансовый 2 2 8 3 2" xfId="2465"/>
    <cellStyle name="Финансовый 2 2 8 3 2 2" xfId="5412"/>
    <cellStyle name="Финансовый 2 2 8 3 3" xfId="4334"/>
    <cellStyle name="Финансовый 2 2 8 4" xfId="872"/>
    <cellStyle name="Финансовый 2 2 8 4 2" xfId="3829"/>
    <cellStyle name="Финансовый 2 2 8 5" xfId="1943"/>
    <cellStyle name="Финансовый 2 2 8 5 2" xfId="4890"/>
    <cellStyle name="Финансовый 2 2 8 6" xfId="3322"/>
    <cellStyle name="Финансовый 2 2 9" xfId="423"/>
    <cellStyle name="Финансовый 2 2 9 2" xfId="1465"/>
    <cellStyle name="Финансовый 2 2 9 2 2" xfId="2543"/>
    <cellStyle name="Финансовый 2 2 9 2 2 2" xfId="5490"/>
    <cellStyle name="Финансовый 2 2 9 2 3" xfId="4412"/>
    <cellStyle name="Финансовый 2 2 9 3" xfId="938"/>
    <cellStyle name="Финансовый 2 2 9 3 2" xfId="3895"/>
    <cellStyle name="Финансовый 2 2 9 4" xfId="2021"/>
    <cellStyle name="Финансовый 2 2 9 4 2" xfId="4968"/>
    <cellStyle name="Финансовый 2 2 9 5" xfId="3400"/>
    <cellStyle name="Финансовый 2 3" xfId="20"/>
    <cellStyle name="Финансовый 2 3 2" xfId="42"/>
    <cellStyle name="Финансовый 2 3 3" xfId="344"/>
    <cellStyle name="Финансовый 2 4" xfId="345"/>
    <cellStyle name="Финансовый 2 4 2" xfId="346"/>
    <cellStyle name="Финансовый 2 4 2 2" xfId="347"/>
    <cellStyle name="Финансовый 2 4 2 2 2" xfId="618"/>
    <cellStyle name="Финансовый 2 4 2 2 2 2" xfId="1651"/>
    <cellStyle name="Финансовый 2 4 2 2 2 2 2" xfId="2729"/>
    <cellStyle name="Финансовый 2 4 2 2 2 2 2 2" xfId="5676"/>
    <cellStyle name="Финансовый 2 4 2 2 2 2 3" xfId="4598"/>
    <cellStyle name="Финансовый 2 4 2 2 2 3" xfId="1133"/>
    <cellStyle name="Финансовый 2 4 2 2 2 3 2" xfId="4080"/>
    <cellStyle name="Финансовый 2 4 2 2 2 4" xfId="2206"/>
    <cellStyle name="Финансовый 2 4 2 2 2 4 2" xfId="5153"/>
    <cellStyle name="Финансовый 2 4 2 2 2 5" xfId="3585"/>
    <cellStyle name="Финансовый 2 4 2 2 3" xfId="1397"/>
    <cellStyle name="Финансовый 2 4 2 2 3 2" xfId="2475"/>
    <cellStyle name="Финансовый 2 4 2 2 3 2 2" xfId="5422"/>
    <cellStyle name="Финансовый 2 4 2 2 3 3" xfId="4344"/>
    <cellStyle name="Финансовый 2 4 2 2 4" xfId="879"/>
    <cellStyle name="Финансовый 2 4 2 2 4 2" xfId="3836"/>
    <cellStyle name="Финансовый 2 4 2 2 5" xfId="1953"/>
    <cellStyle name="Финансовый 2 4 2 2 5 2" xfId="4900"/>
    <cellStyle name="Финансовый 2 4 2 2 6" xfId="3332"/>
    <cellStyle name="Финансовый 2 4 2 3" xfId="617"/>
    <cellStyle name="Финансовый 2 4 2 3 2" xfId="1650"/>
    <cellStyle name="Финансовый 2 4 2 3 2 2" xfId="2728"/>
    <cellStyle name="Финансовый 2 4 2 3 2 2 2" xfId="5675"/>
    <cellStyle name="Финансовый 2 4 2 3 2 3" xfId="4597"/>
    <cellStyle name="Финансовый 2 4 2 3 3" xfId="1132"/>
    <cellStyle name="Финансовый 2 4 2 3 3 2" xfId="4079"/>
    <cellStyle name="Финансовый 2 4 2 3 4" xfId="2205"/>
    <cellStyle name="Финансовый 2 4 2 3 4 2" xfId="5152"/>
    <cellStyle name="Финансовый 2 4 2 3 5" xfId="3584"/>
    <cellStyle name="Финансовый 2 4 2 4" xfId="1396"/>
    <cellStyle name="Финансовый 2 4 2 4 2" xfId="2474"/>
    <cellStyle name="Финансовый 2 4 2 4 2 2" xfId="5421"/>
    <cellStyle name="Финансовый 2 4 2 4 3" xfId="4343"/>
    <cellStyle name="Финансовый 2 4 2 5" xfId="878"/>
    <cellStyle name="Финансовый 2 4 2 5 2" xfId="3835"/>
    <cellStyle name="Финансовый 2 4 2 6" xfId="1952"/>
    <cellStyle name="Финансовый 2 4 2 6 2" xfId="4899"/>
    <cellStyle name="Финансовый 2 4 2 7" xfId="3331"/>
    <cellStyle name="Финансовый 2 4 3" xfId="348"/>
    <cellStyle name="Финансовый 2 4 4" xfId="616"/>
    <cellStyle name="Финансовый 2 4 4 2" xfId="1649"/>
    <cellStyle name="Финансовый 2 4 4 2 2" xfId="2727"/>
    <cellStyle name="Финансовый 2 4 4 2 2 2" xfId="5674"/>
    <cellStyle name="Финансовый 2 4 4 2 3" xfId="4596"/>
    <cellStyle name="Финансовый 2 4 4 3" xfId="1131"/>
    <cellStyle name="Финансовый 2 4 4 3 2" xfId="4078"/>
    <cellStyle name="Финансовый 2 4 4 4" xfId="2204"/>
    <cellStyle name="Финансовый 2 4 4 4 2" xfId="5151"/>
    <cellStyle name="Финансовый 2 4 4 5" xfId="3583"/>
    <cellStyle name="Финансовый 2 4 5" xfId="1395"/>
    <cellStyle name="Финансовый 2 4 5 2" xfId="2473"/>
    <cellStyle name="Финансовый 2 4 5 2 2" xfId="5420"/>
    <cellStyle name="Финансовый 2 4 5 3" xfId="4342"/>
    <cellStyle name="Финансовый 2 4 6" xfId="877"/>
    <cellStyle name="Финансовый 2 4 6 2" xfId="3834"/>
    <cellStyle name="Финансовый 2 4 7" xfId="1951"/>
    <cellStyle name="Финансовый 2 4 7 2" xfId="4898"/>
    <cellStyle name="Финансовый 2 4 8" xfId="3330"/>
    <cellStyle name="Финансовый 2 5" xfId="349"/>
    <cellStyle name="Финансовый 2 5 2" xfId="350"/>
    <cellStyle name="Финансовый 2 5 2 2" xfId="620"/>
    <cellStyle name="Финансовый 2 5 2 2 2" xfId="1653"/>
    <cellStyle name="Финансовый 2 5 2 2 2 2" xfId="2731"/>
    <cellStyle name="Финансовый 2 5 2 2 2 2 2" xfId="5678"/>
    <cellStyle name="Финансовый 2 5 2 2 2 3" xfId="4600"/>
    <cellStyle name="Финансовый 2 5 2 2 3" xfId="1135"/>
    <cellStyle name="Финансовый 2 5 2 2 3 2" xfId="4082"/>
    <cellStyle name="Финансовый 2 5 2 2 4" xfId="2208"/>
    <cellStyle name="Финансовый 2 5 2 2 4 2" xfId="5155"/>
    <cellStyle name="Финансовый 2 5 2 2 5" xfId="3587"/>
    <cellStyle name="Финансовый 2 5 2 3" xfId="1399"/>
    <cellStyle name="Финансовый 2 5 2 3 2" xfId="2477"/>
    <cellStyle name="Финансовый 2 5 2 3 2 2" xfId="5424"/>
    <cellStyle name="Финансовый 2 5 2 3 3" xfId="4346"/>
    <cellStyle name="Финансовый 2 5 2 4" xfId="881"/>
    <cellStyle name="Финансовый 2 5 2 4 2" xfId="3838"/>
    <cellStyle name="Финансовый 2 5 2 5" xfId="1955"/>
    <cellStyle name="Финансовый 2 5 2 5 2" xfId="4902"/>
    <cellStyle name="Финансовый 2 5 2 6" xfId="3334"/>
    <cellStyle name="Финансовый 2 5 3" xfId="619"/>
    <cellStyle name="Финансовый 2 5 3 2" xfId="1652"/>
    <cellStyle name="Финансовый 2 5 3 2 2" xfId="2730"/>
    <cellStyle name="Финансовый 2 5 3 2 2 2" xfId="5677"/>
    <cellStyle name="Финансовый 2 5 3 2 3" xfId="4599"/>
    <cellStyle name="Финансовый 2 5 3 3" xfId="1134"/>
    <cellStyle name="Финансовый 2 5 3 3 2" xfId="4081"/>
    <cellStyle name="Финансовый 2 5 3 4" xfId="2207"/>
    <cellStyle name="Финансовый 2 5 3 4 2" xfId="5154"/>
    <cellStyle name="Финансовый 2 5 3 5" xfId="3586"/>
    <cellStyle name="Финансовый 2 5 4" xfId="1398"/>
    <cellStyle name="Финансовый 2 5 4 2" xfId="2476"/>
    <cellStyle name="Финансовый 2 5 4 2 2" xfId="5423"/>
    <cellStyle name="Финансовый 2 5 4 3" xfId="4345"/>
    <cellStyle name="Финансовый 2 5 5" xfId="880"/>
    <cellStyle name="Финансовый 2 5 5 2" xfId="3837"/>
    <cellStyle name="Финансовый 2 5 6" xfId="1954"/>
    <cellStyle name="Финансовый 2 5 6 2" xfId="4901"/>
    <cellStyle name="Финансовый 2 5 7" xfId="3333"/>
    <cellStyle name="Финансовый 2 6" xfId="351"/>
    <cellStyle name="Финансовый 2 6 2" xfId="621"/>
    <cellStyle name="Финансовый 2 6 2 2" xfId="1654"/>
    <cellStyle name="Финансовый 2 6 2 2 2" xfId="2732"/>
    <cellStyle name="Финансовый 2 6 2 2 2 2" xfId="5679"/>
    <cellStyle name="Финансовый 2 6 2 2 3" xfId="4601"/>
    <cellStyle name="Финансовый 2 6 2 3" xfId="1136"/>
    <cellStyle name="Финансовый 2 6 2 3 2" xfId="4083"/>
    <cellStyle name="Финансовый 2 6 2 4" xfId="2209"/>
    <cellStyle name="Финансовый 2 6 2 4 2" xfId="5156"/>
    <cellStyle name="Финансовый 2 6 2 5" xfId="3588"/>
    <cellStyle name="Финансовый 2 6 3" xfId="1400"/>
    <cellStyle name="Финансовый 2 6 3 2" xfId="2478"/>
    <cellStyle name="Финансовый 2 6 3 2 2" xfId="5425"/>
    <cellStyle name="Финансовый 2 6 3 3" xfId="4347"/>
    <cellStyle name="Финансовый 2 6 4" xfId="882"/>
    <cellStyle name="Финансовый 2 6 4 2" xfId="3839"/>
    <cellStyle name="Финансовый 2 6 5" xfId="1956"/>
    <cellStyle name="Финансовый 2 6 5 2" xfId="4903"/>
    <cellStyle name="Финансовый 2 6 6" xfId="3335"/>
    <cellStyle name="Финансовый 2 7" xfId="352"/>
    <cellStyle name="Финансовый 2 7 2" xfId="1401"/>
    <cellStyle name="Финансовый 2 7 2 2" xfId="2479"/>
    <cellStyle name="Финансовый 2 7 2 2 2" xfId="5426"/>
    <cellStyle name="Финансовый 2 7 2 3" xfId="4348"/>
    <cellStyle name="Финансовый 2 7 3" xfId="1957"/>
    <cellStyle name="Финансовый 2 7 3 2" xfId="4904"/>
    <cellStyle name="Финансовый 2 7 4" xfId="3336"/>
    <cellStyle name="Финансовый 2 8" xfId="353"/>
    <cellStyle name="Финансовый 2 9" xfId="335"/>
    <cellStyle name="Финансовый 2 9 2" xfId="610"/>
    <cellStyle name="Финансовый 2 9 2 2" xfId="1643"/>
    <cellStyle name="Финансовый 2 9 2 2 2" xfId="2721"/>
    <cellStyle name="Финансовый 2 9 2 2 2 2" xfId="5668"/>
    <cellStyle name="Финансовый 2 9 2 2 3" xfId="4590"/>
    <cellStyle name="Финансовый 2 9 2 3" xfId="1125"/>
    <cellStyle name="Финансовый 2 9 2 3 2" xfId="4072"/>
    <cellStyle name="Финансовый 2 9 2 4" xfId="2198"/>
    <cellStyle name="Финансовый 2 9 2 4 2" xfId="5145"/>
    <cellStyle name="Финансовый 2 9 2 5" xfId="3577"/>
    <cellStyle name="Финансовый 2 9 3" xfId="1386"/>
    <cellStyle name="Финансовый 2 9 3 2" xfId="2464"/>
    <cellStyle name="Финансовый 2 9 3 2 2" xfId="5411"/>
    <cellStyle name="Финансовый 2 9 3 3" xfId="4333"/>
    <cellStyle name="Финансовый 2 9 4" xfId="871"/>
    <cellStyle name="Финансовый 2 9 4 2" xfId="3828"/>
    <cellStyle name="Финансовый 2 9 5" xfId="1942"/>
    <cellStyle name="Финансовый 2 9 5 2" xfId="4889"/>
    <cellStyle name="Финансовый 2 9 6" xfId="3321"/>
    <cellStyle name="Финансовый 20" xfId="3073"/>
    <cellStyle name="Финансовый 21" xfId="2"/>
    <cellStyle name="Финансовый 21 2" xfId="3105"/>
    <cellStyle name="Финансовый 22" xfId="3078"/>
    <cellStyle name="Финансовый 22 2" xfId="6020"/>
    <cellStyle name="Финансовый 3" xfId="37"/>
    <cellStyle name="Финансовый 3 10" xfId="1746"/>
    <cellStyle name="Финансовый 3 10 2" xfId="4693"/>
    <cellStyle name="Финансовый 3 11" xfId="3126"/>
    <cellStyle name="Финансовый 3 2" xfId="59"/>
    <cellStyle name="Финансовый 3 2 2" xfId="356"/>
    <cellStyle name="Финансовый 3 2 2 2" xfId="357"/>
    <cellStyle name="Финансовый 3 2 2 2 2" xfId="1405"/>
    <cellStyle name="Финансовый 3 2 2 2 2 2" xfId="2483"/>
    <cellStyle name="Финансовый 3 2 2 2 2 2 2" xfId="5430"/>
    <cellStyle name="Финансовый 3 2 2 2 2 3" xfId="4352"/>
    <cellStyle name="Финансовый 3 2 2 2 3" xfId="1961"/>
    <cellStyle name="Финансовый 3 2 2 2 3 2" xfId="4908"/>
    <cellStyle name="Финансовый 3 2 2 2 4" xfId="3340"/>
    <cellStyle name="Финансовый 3 2 2 3" xfId="624"/>
    <cellStyle name="Финансовый 3 2 2 3 2" xfId="1657"/>
    <cellStyle name="Финансовый 3 2 2 3 2 2" xfId="2735"/>
    <cellStyle name="Финансовый 3 2 2 3 2 2 2" xfId="5682"/>
    <cellStyle name="Финансовый 3 2 2 3 2 3" xfId="4604"/>
    <cellStyle name="Финансовый 3 2 2 3 3" xfId="1139"/>
    <cellStyle name="Финансовый 3 2 2 3 3 2" xfId="4086"/>
    <cellStyle name="Финансовый 3 2 2 3 4" xfId="2212"/>
    <cellStyle name="Финансовый 3 2 2 3 4 2" xfId="5159"/>
    <cellStyle name="Финансовый 3 2 2 3 5" xfId="3591"/>
    <cellStyle name="Финансовый 3 2 2 4" xfId="1404"/>
    <cellStyle name="Финансовый 3 2 2 4 2" xfId="2482"/>
    <cellStyle name="Финансовый 3 2 2 4 2 2" xfId="5429"/>
    <cellStyle name="Финансовый 3 2 2 4 3" xfId="4351"/>
    <cellStyle name="Финансовый 3 2 2 5" xfId="885"/>
    <cellStyle name="Финансовый 3 2 2 5 2" xfId="3842"/>
    <cellStyle name="Финансовый 3 2 2 6" xfId="1960"/>
    <cellStyle name="Финансовый 3 2 2 6 2" xfId="4907"/>
    <cellStyle name="Финансовый 3 2 2 7" xfId="3339"/>
    <cellStyle name="Финансовый 3 2 3" xfId="358"/>
    <cellStyle name="Финансовый 3 2 4" xfId="355"/>
    <cellStyle name="Финансовый 3 2 4 2" xfId="623"/>
    <cellStyle name="Финансовый 3 2 4 2 2" xfId="1656"/>
    <cellStyle name="Финансовый 3 2 4 2 2 2" xfId="2734"/>
    <cellStyle name="Финансовый 3 2 4 2 2 2 2" xfId="5681"/>
    <cellStyle name="Финансовый 3 2 4 2 2 3" xfId="4603"/>
    <cellStyle name="Финансовый 3 2 4 2 3" xfId="1138"/>
    <cellStyle name="Финансовый 3 2 4 2 3 2" xfId="4085"/>
    <cellStyle name="Финансовый 3 2 4 2 4" xfId="2211"/>
    <cellStyle name="Финансовый 3 2 4 2 4 2" xfId="5158"/>
    <cellStyle name="Финансовый 3 2 4 2 5" xfId="3590"/>
    <cellStyle name="Финансовый 3 2 4 3" xfId="1403"/>
    <cellStyle name="Финансовый 3 2 4 3 2" xfId="2481"/>
    <cellStyle name="Финансовый 3 2 4 3 2 2" xfId="5428"/>
    <cellStyle name="Финансовый 3 2 4 3 3" xfId="4350"/>
    <cellStyle name="Финансовый 3 2 4 4" xfId="884"/>
    <cellStyle name="Финансовый 3 2 4 4 2" xfId="3841"/>
    <cellStyle name="Финансовый 3 2 4 5" xfId="1959"/>
    <cellStyle name="Финансовый 3 2 4 5 2" xfId="4906"/>
    <cellStyle name="Финансовый 3 2 4 6" xfId="3338"/>
    <cellStyle name="Финансовый 3 2 5" xfId="434"/>
    <cellStyle name="Финансовый 3 2 5 2" xfId="1476"/>
    <cellStyle name="Финансовый 3 2 5 2 2" xfId="2554"/>
    <cellStyle name="Финансовый 3 2 5 2 2 2" xfId="5501"/>
    <cellStyle name="Финансовый 3 2 5 2 3" xfId="4423"/>
    <cellStyle name="Финансовый 3 2 5 3" xfId="949"/>
    <cellStyle name="Финансовый 3 2 5 3 2" xfId="3906"/>
    <cellStyle name="Финансовый 3 2 5 4" xfId="2032"/>
    <cellStyle name="Финансовый 3 2 5 4 2" xfId="4979"/>
    <cellStyle name="Финансовый 3 2 5 5" xfId="3411"/>
    <cellStyle name="Финансовый 3 2 6" xfId="1204"/>
    <cellStyle name="Финансовый 3 2 6 2" xfId="2282"/>
    <cellStyle name="Финансовый 3 2 6 2 2" xfId="5229"/>
    <cellStyle name="Финансовый 3 2 6 3" xfId="4151"/>
    <cellStyle name="Финансовый 3 2 7" xfId="693"/>
    <cellStyle name="Финансовый 3 2 7 2" xfId="3660"/>
    <cellStyle name="Финансовый 3 2 8" xfId="1761"/>
    <cellStyle name="Финансовый 3 2 8 2" xfId="4708"/>
    <cellStyle name="Финансовый 3 2 9" xfId="3141"/>
    <cellStyle name="Финансовый 3 3" xfId="63"/>
    <cellStyle name="Финансовый 3 3 2" xfId="360"/>
    <cellStyle name="Финансовый 3 3 2 2" xfId="626"/>
    <cellStyle name="Финансовый 3 3 2 2 2" xfId="1659"/>
    <cellStyle name="Финансовый 3 3 2 2 2 2" xfId="2737"/>
    <cellStyle name="Финансовый 3 3 2 2 2 2 2" xfId="5684"/>
    <cellStyle name="Финансовый 3 3 2 2 2 3" xfId="4606"/>
    <cellStyle name="Финансовый 3 3 2 2 3" xfId="1141"/>
    <cellStyle name="Финансовый 3 3 2 2 3 2" xfId="4088"/>
    <cellStyle name="Финансовый 3 3 2 2 4" xfId="2214"/>
    <cellStyle name="Финансовый 3 3 2 2 4 2" xfId="5161"/>
    <cellStyle name="Финансовый 3 3 2 2 5" xfId="3593"/>
    <cellStyle name="Финансовый 3 3 2 3" xfId="1407"/>
    <cellStyle name="Финансовый 3 3 2 3 2" xfId="2485"/>
    <cellStyle name="Финансовый 3 3 2 3 2 2" xfId="5432"/>
    <cellStyle name="Финансовый 3 3 2 3 3" xfId="4354"/>
    <cellStyle name="Финансовый 3 3 2 4" xfId="887"/>
    <cellStyle name="Финансовый 3 3 2 4 2" xfId="3844"/>
    <cellStyle name="Финансовый 3 3 2 5" xfId="1963"/>
    <cellStyle name="Финансовый 3 3 2 5 2" xfId="4910"/>
    <cellStyle name="Финансовый 3 3 2 6" xfId="3342"/>
    <cellStyle name="Финансовый 3 3 3" xfId="361"/>
    <cellStyle name="Финансовый 3 3 3 2" xfId="1408"/>
    <cellStyle name="Финансовый 3 3 3 2 2" xfId="2486"/>
    <cellStyle name="Финансовый 3 3 3 2 2 2" xfId="5433"/>
    <cellStyle name="Финансовый 3 3 3 2 3" xfId="4355"/>
    <cellStyle name="Финансовый 3 3 3 3" xfId="1964"/>
    <cellStyle name="Финансовый 3 3 3 3 2" xfId="4911"/>
    <cellStyle name="Финансовый 3 3 3 4" xfId="3343"/>
    <cellStyle name="Финансовый 3 3 4" xfId="359"/>
    <cellStyle name="Финансовый 3 3 4 2" xfId="625"/>
    <cellStyle name="Финансовый 3 3 4 2 2" xfId="1658"/>
    <cellStyle name="Финансовый 3 3 4 2 2 2" xfId="2736"/>
    <cellStyle name="Финансовый 3 3 4 2 2 2 2" xfId="5683"/>
    <cellStyle name="Финансовый 3 3 4 2 2 3" xfId="4605"/>
    <cellStyle name="Финансовый 3 3 4 2 3" xfId="1140"/>
    <cellStyle name="Финансовый 3 3 4 2 3 2" xfId="4087"/>
    <cellStyle name="Финансовый 3 3 4 2 4" xfId="2213"/>
    <cellStyle name="Финансовый 3 3 4 2 4 2" xfId="5160"/>
    <cellStyle name="Финансовый 3 3 4 2 5" xfId="3592"/>
    <cellStyle name="Финансовый 3 3 4 3" xfId="1406"/>
    <cellStyle name="Финансовый 3 3 4 3 2" xfId="2484"/>
    <cellStyle name="Финансовый 3 3 4 3 2 2" xfId="5431"/>
    <cellStyle name="Финансовый 3 3 4 3 3" xfId="4353"/>
    <cellStyle name="Финансовый 3 3 4 4" xfId="886"/>
    <cellStyle name="Финансовый 3 3 4 4 2" xfId="3843"/>
    <cellStyle name="Финансовый 3 3 4 5" xfId="1962"/>
    <cellStyle name="Финансовый 3 3 4 5 2" xfId="4909"/>
    <cellStyle name="Финансовый 3 3 4 6" xfId="3341"/>
    <cellStyle name="Финансовый 3 3 5" xfId="438"/>
    <cellStyle name="Финансовый 3 3 5 2" xfId="1480"/>
    <cellStyle name="Финансовый 3 3 5 2 2" xfId="2558"/>
    <cellStyle name="Финансовый 3 3 5 2 2 2" xfId="5505"/>
    <cellStyle name="Финансовый 3 3 5 2 3" xfId="4427"/>
    <cellStyle name="Финансовый 3 3 5 3" xfId="953"/>
    <cellStyle name="Финансовый 3 3 5 3 2" xfId="3910"/>
    <cellStyle name="Финансовый 3 3 5 4" xfId="2036"/>
    <cellStyle name="Финансовый 3 3 5 4 2" xfId="4983"/>
    <cellStyle name="Финансовый 3 3 5 5" xfId="3415"/>
    <cellStyle name="Финансовый 3 3 6" xfId="1208"/>
    <cellStyle name="Финансовый 3 3 6 2" xfId="2286"/>
    <cellStyle name="Финансовый 3 3 6 2 2" xfId="5233"/>
    <cellStyle name="Финансовый 3 3 6 3" xfId="4155"/>
    <cellStyle name="Финансовый 3 3 7" xfId="697"/>
    <cellStyle name="Финансовый 3 3 7 2" xfId="3664"/>
    <cellStyle name="Финансовый 3 3 8" xfId="1765"/>
    <cellStyle name="Финансовый 3 3 8 2" xfId="4712"/>
    <cellStyle name="Финансовый 3 3 9" xfId="3145"/>
    <cellStyle name="Финансовый 3 4" xfId="362"/>
    <cellStyle name="Финансовый 3 4 2" xfId="363"/>
    <cellStyle name="Финансовый 3 4 2 2" xfId="1410"/>
    <cellStyle name="Финансовый 3 4 2 2 2" xfId="2488"/>
    <cellStyle name="Финансовый 3 4 2 2 2 2" xfId="5435"/>
    <cellStyle name="Финансовый 3 4 2 2 3" xfId="4357"/>
    <cellStyle name="Финансовый 3 4 2 3" xfId="1966"/>
    <cellStyle name="Финансовый 3 4 2 3 2" xfId="4913"/>
    <cellStyle name="Финансовый 3 4 2 4" xfId="3345"/>
    <cellStyle name="Финансовый 3 4 3" xfId="627"/>
    <cellStyle name="Финансовый 3 4 3 2" xfId="1660"/>
    <cellStyle name="Финансовый 3 4 3 2 2" xfId="2738"/>
    <cellStyle name="Финансовый 3 4 3 2 2 2" xfId="5685"/>
    <cellStyle name="Финансовый 3 4 3 2 3" xfId="4607"/>
    <cellStyle name="Финансовый 3 4 3 3" xfId="1142"/>
    <cellStyle name="Финансовый 3 4 3 3 2" xfId="4089"/>
    <cellStyle name="Финансовый 3 4 3 4" xfId="2215"/>
    <cellStyle name="Финансовый 3 4 3 4 2" xfId="5162"/>
    <cellStyle name="Финансовый 3 4 3 5" xfId="3594"/>
    <cellStyle name="Финансовый 3 4 4" xfId="1409"/>
    <cellStyle name="Финансовый 3 4 4 2" xfId="2487"/>
    <cellStyle name="Финансовый 3 4 4 2 2" xfId="5434"/>
    <cellStyle name="Финансовый 3 4 4 3" xfId="4356"/>
    <cellStyle name="Финансовый 3 4 5" xfId="888"/>
    <cellStyle name="Финансовый 3 4 5 2" xfId="3845"/>
    <cellStyle name="Финансовый 3 4 6" xfId="1965"/>
    <cellStyle name="Финансовый 3 4 6 2" xfId="4912"/>
    <cellStyle name="Финансовый 3 4 7" xfId="3344"/>
    <cellStyle name="Финансовый 3 5" xfId="364"/>
    <cellStyle name="Финансовый 3 6" xfId="354"/>
    <cellStyle name="Финансовый 3 6 2" xfId="622"/>
    <cellStyle name="Финансовый 3 6 2 2" xfId="1655"/>
    <cellStyle name="Финансовый 3 6 2 2 2" xfId="2733"/>
    <cellStyle name="Финансовый 3 6 2 2 2 2" xfId="5680"/>
    <cellStyle name="Финансовый 3 6 2 2 3" xfId="4602"/>
    <cellStyle name="Финансовый 3 6 2 3" xfId="1137"/>
    <cellStyle name="Финансовый 3 6 2 3 2" xfId="4084"/>
    <cellStyle name="Финансовый 3 6 2 4" xfId="2210"/>
    <cellStyle name="Финансовый 3 6 2 4 2" xfId="5157"/>
    <cellStyle name="Финансовый 3 6 2 5" xfId="3589"/>
    <cellStyle name="Финансовый 3 6 3" xfId="1402"/>
    <cellStyle name="Финансовый 3 6 3 2" xfId="2480"/>
    <cellStyle name="Финансовый 3 6 3 2 2" xfId="5427"/>
    <cellStyle name="Финансовый 3 6 3 3" xfId="4349"/>
    <cellStyle name="Финансовый 3 6 4" xfId="883"/>
    <cellStyle name="Финансовый 3 6 4 2" xfId="3840"/>
    <cellStyle name="Финансовый 3 6 5" xfId="1958"/>
    <cellStyle name="Финансовый 3 6 5 2" xfId="4905"/>
    <cellStyle name="Финансовый 3 6 6" xfId="3337"/>
    <cellStyle name="Финансовый 3 7" xfId="419"/>
    <cellStyle name="Финансовый 3 7 2" xfId="1461"/>
    <cellStyle name="Финансовый 3 7 2 2" xfId="2539"/>
    <cellStyle name="Финансовый 3 7 2 2 2" xfId="5486"/>
    <cellStyle name="Финансовый 3 7 2 3" xfId="4408"/>
    <cellStyle name="Финансовый 3 7 3" xfId="934"/>
    <cellStyle name="Финансовый 3 7 3 2" xfId="3891"/>
    <cellStyle name="Финансовый 3 7 4" xfId="2017"/>
    <cellStyle name="Финансовый 3 7 4 2" xfId="4964"/>
    <cellStyle name="Финансовый 3 7 5" xfId="3396"/>
    <cellStyle name="Финансовый 3 8" xfId="1189"/>
    <cellStyle name="Финансовый 3 8 2" xfId="2267"/>
    <cellStyle name="Финансовый 3 8 2 2" xfId="5214"/>
    <cellStyle name="Финансовый 3 8 3" xfId="4136"/>
    <cellStyle name="Финансовый 3 9" xfId="678"/>
    <cellStyle name="Финансовый 3 9 2" xfId="3645"/>
    <cellStyle name="Финансовый 4" xfId="39"/>
    <cellStyle name="Финансовый 4 2" xfId="366"/>
    <cellStyle name="Финансовый 4 2 2" xfId="367"/>
    <cellStyle name="Финансовый 4 2 2 2" xfId="368"/>
    <cellStyle name="Финансовый 4 2 2 2 2" xfId="1414"/>
    <cellStyle name="Финансовый 4 2 2 2 2 2" xfId="2492"/>
    <cellStyle name="Финансовый 4 2 2 2 2 2 2" xfId="5439"/>
    <cellStyle name="Финансовый 4 2 2 2 2 3" xfId="4361"/>
    <cellStyle name="Финансовый 4 2 2 2 3" xfId="1970"/>
    <cellStyle name="Финансовый 4 2 2 2 3 2" xfId="4917"/>
    <cellStyle name="Финансовый 4 2 2 2 4" xfId="3349"/>
    <cellStyle name="Финансовый 4 2 2 3" xfId="630"/>
    <cellStyle name="Финансовый 4 2 2 3 2" xfId="1663"/>
    <cellStyle name="Финансовый 4 2 2 3 2 2" xfId="2741"/>
    <cellStyle name="Финансовый 4 2 2 3 2 2 2" xfId="5688"/>
    <cellStyle name="Финансовый 4 2 2 3 2 3" xfId="4610"/>
    <cellStyle name="Финансовый 4 2 2 3 3" xfId="1145"/>
    <cellStyle name="Финансовый 4 2 2 3 3 2" xfId="4092"/>
    <cellStyle name="Финансовый 4 2 2 3 4" xfId="2218"/>
    <cellStyle name="Финансовый 4 2 2 3 4 2" xfId="5165"/>
    <cellStyle name="Финансовый 4 2 2 3 5" xfId="3597"/>
    <cellStyle name="Финансовый 4 2 2 4" xfId="1413"/>
    <cellStyle name="Финансовый 4 2 2 4 2" xfId="2491"/>
    <cellStyle name="Финансовый 4 2 2 4 2 2" xfId="5438"/>
    <cellStyle name="Финансовый 4 2 2 4 3" xfId="4360"/>
    <cellStyle name="Финансовый 4 2 2 5" xfId="891"/>
    <cellStyle name="Финансовый 4 2 2 5 2" xfId="3848"/>
    <cellStyle name="Финансовый 4 2 2 6" xfId="1969"/>
    <cellStyle name="Финансовый 4 2 2 6 2" xfId="4916"/>
    <cellStyle name="Финансовый 4 2 2 7" xfId="3348"/>
    <cellStyle name="Финансовый 4 2 3" xfId="369"/>
    <cellStyle name="Финансовый 4 2 4" xfId="629"/>
    <cellStyle name="Финансовый 4 2 4 2" xfId="1662"/>
    <cellStyle name="Финансовый 4 2 4 2 2" xfId="2740"/>
    <cellStyle name="Финансовый 4 2 4 2 2 2" xfId="5687"/>
    <cellStyle name="Финансовый 4 2 4 2 3" xfId="4609"/>
    <cellStyle name="Финансовый 4 2 4 3" xfId="1144"/>
    <cellStyle name="Финансовый 4 2 4 3 2" xfId="4091"/>
    <cellStyle name="Финансовый 4 2 4 4" xfId="2217"/>
    <cellStyle name="Финансовый 4 2 4 4 2" xfId="5164"/>
    <cellStyle name="Финансовый 4 2 4 5" xfId="3596"/>
    <cellStyle name="Финансовый 4 2 5" xfId="1412"/>
    <cellStyle name="Финансовый 4 2 5 2" xfId="2490"/>
    <cellStyle name="Финансовый 4 2 5 2 2" xfId="5437"/>
    <cellStyle name="Финансовый 4 2 5 3" xfId="4359"/>
    <cellStyle name="Финансовый 4 2 6" xfId="890"/>
    <cellStyle name="Финансовый 4 2 6 2" xfId="3847"/>
    <cellStyle name="Финансовый 4 2 7" xfId="1968"/>
    <cellStyle name="Финансовый 4 2 7 2" xfId="4915"/>
    <cellStyle name="Финансовый 4 2 8" xfId="3347"/>
    <cellStyle name="Финансовый 4 3" xfId="370"/>
    <cellStyle name="Финансовый 4 3 2" xfId="371"/>
    <cellStyle name="Финансовый 4 3 2 2" xfId="632"/>
    <cellStyle name="Финансовый 4 3 2 2 2" xfId="1665"/>
    <cellStyle name="Финансовый 4 3 2 2 2 2" xfId="2743"/>
    <cellStyle name="Финансовый 4 3 2 2 2 2 2" xfId="5690"/>
    <cellStyle name="Финансовый 4 3 2 2 2 3" xfId="4612"/>
    <cellStyle name="Финансовый 4 3 2 2 3" xfId="1147"/>
    <cellStyle name="Финансовый 4 3 2 2 3 2" xfId="4094"/>
    <cellStyle name="Финансовый 4 3 2 2 4" xfId="2220"/>
    <cellStyle name="Финансовый 4 3 2 2 4 2" xfId="5167"/>
    <cellStyle name="Финансовый 4 3 2 2 5" xfId="3599"/>
    <cellStyle name="Финансовый 4 3 2 3" xfId="1416"/>
    <cellStyle name="Финансовый 4 3 2 3 2" xfId="2494"/>
    <cellStyle name="Финансовый 4 3 2 3 2 2" xfId="5441"/>
    <cellStyle name="Финансовый 4 3 2 3 3" xfId="4363"/>
    <cellStyle name="Финансовый 4 3 2 4" xfId="893"/>
    <cellStyle name="Финансовый 4 3 2 4 2" xfId="3850"/>
    <cellStyle name="Финансовый 4 3 2 5" xfId="1972"/>
    <cellStyle name="Финансовый 4 3 2 5 2" xfId="4919"/>
    <cellStyle name="Финансовый 4 3 2 6" xfId="3351"/>
    <cellStyle name="Финансовый 4 3 3" xfId="372"/>
    <cellStyle name="Финансовый 4 3 3 2" xfId="633"/>
    <cellStyle name="Финансовый 4 3 3 2 2" xfId="1666"/>
    <cellStyle name="Финансовый 4 3 3 2 2 2" xfId="2744"/>
    <cellStyle name="Финансовый 4 3 3 2 2 2 2" xfId="5691"/>
    <cellStyle name="Финансовый 4 3 3 2 2 3" xfId="4613"/>
    <cellStyle name="Финансовый 4 3 3 2 3" xfId="1148"/>
    <cellStyle name="Финансовый 4 3 3 2 3 2" xfId="4095"/>
    <cellStyle name="Финансовый 4 3 3 2 4" xfId="2221"/>
    <cellStyle name="Финансовый 4 3 3 2 4 2" xfId="5168"/>
    <cellStyle name="Финансовый 4 3 3 2 5" xfId="3600"/>
    <cellStyle name="Финансовый 4 3 3 3" xfId="1417"/>
    <cellStyle name="Финансовый 4 3 3 3 2" xfId="2495"/>
    <cellStyle name="Финансовый 4 3 3 3 2 2" xfId="5442"/>
    <cellStyle name="Финансовый 4 3 3 3 3" xfId="4364"/>
    <cellStyle name="Финансовый 4 3 3 4" xfId="894"/>
    <cellStyle name="Финансовый 4 3 3 4 2" xfId="3851"/>
    <cellStyle name="Финансовый 4 3 3 5" xfId="1973"/>
    <cellStyle name="Финансовый 4 3 3 5 2" xfId="4920"/>
    <cellStyle name="Финансовый 4 3 3 6" xfId="3352"/>
    <cellStyle name="Финансовый 4 3 4" xfId="631"/>
    <cellStyle name="Финансовый 4 3 4 2" xfId="1664"/>
    <cellStyle name="Финансовый 4 3 4 2 2" xfId="2742"/>
    <cellStyle name="Финансовый 4 3 4 2 2 2" xfId="5689"/>
    <cellStyle name="Финансовый 4 3 4 2 3" xfId="4611"/>
    <cellStyle name="Финансовый 4 3 4 3" xfId="1146"/>
    <cellStyle name="Финансовый 4 3 4 3 2" xfId="4093"/>
    <cellStyle name="Финансовый 4 3 4 4" xfId="2219"/>
    <cellStyle name="Финансовый 4 3 4 4 2" xfId="5166"/>
    <cellStyle name="Финансовый 4 3 4 5" xfId="3598"/>
    <cellStyle name="Финансовый 4 3 5" xfId="1415"/>
    <cellStyle name="Финансовый 4 3 5 2" xfId="2493"/>
    <cellStyle name="Финансовый 4 3 5 2 2" xfId="5440"/>
    <cellStyle name="Финансовый 4 3 5 3" xfId="4362"/>
    <cellStyle name="Финансовый 4 3 6" xfId="892"/>
    <cellStyle name="Финансовый 4 3 6 2" xfId="3849"/>
    <cellStyle name="Финансовый 4 3 7" xfId="1971"/>
    <cellStyle name="Финансовый 4 3 7 2" xfId="4918"/>
    <cellStyle name="Финансовый 4 3 8" xfId="3350"/>
    <cellStyle name="Финансовый 4 4" xfId="373"/>
    <cellStyle name="Финансовый 4 4 2" xfId="634"/>
    <cellStyle name="Финансовый 4 4 2 2" xfId="1667"/>
    <cellStyle name="Финансовый 4 4 2 2 2" xfId="2745"/>
    <cellStyle name="Финансовый 4 4 2 2 2 2" xfId="5692"/>
    <cellStyle name="Финансовый 4 4 2 2 3" xfId="4614"/>
    <cellStyle name="Финансовый 4 4 2 3" xfId="1149"/>
    <cellStyle name="Финансовый 4 4 2 3 2" xfId="4096"/>
    <cellStyle name="Финансовый 4 4 2 4" xfId="2222"/>
    <cellStyle name="Финансовый 4 4 2 4 2" xfId="5169"/>
    <cellStyle name="Финансовый 4 4 2 5" xfId="3601"/>
    <cellStyle name="Финансовый 4 4 3" xfId="1418"/>
    <cellStyle name="Финансовый 4 4 3 2" xfId="2496"/>
    <cellStyle name="Финансовый 4 4 3 2 2" xfId="5443"/>
    <cellStyle name="Финансовый 4 4 3 3" xfId="4365"/>
    <cellStyle name="Финансовый 4 4 4" xfId="895"/>
    <cellStyle name="Финансовый 4 4 4 2" xfId="3852"/>
    <cellStyle name="Финансовый 4 4 5" xfId="1974"/>
    <cellStyle name="Финансовый 4 4 5 2" xfId="4921"/>
    <cellStyle name="Финансовый 4 4 6" xfId="3353"/>
    <cellStyle name="Финансовый 4 5" xfId="365"/>
    <cellStyle name="Финансовый 4 5 2" xfId="628"/>
    <cellStyle name="Финансовый 4 5 2 2" xfId="1661"/>
    <cellStyle name="Финансовый 4 5 2 2 2" xfId="2739"/>
    <cellStyle name="Финансовый 4 5 2 2 2 2" xfId="5686"/>
    <cellStyle name="Финансовый 4 5 2 2 3" xfId="4608"/>
    <cellStyle name="Финансовый 4 5 2 3" xfId="1143"/>
    <cellStyle name="Финансовый 4 5 2 3 2" xfId="4090"/>
    <cellStyle name="Финансовый 4 5 2 4" xfId="2216"/>
    <cellStyle name="Финансовый 4 5 2 4 2" xfId="5163"/>
    <cellStyle name="Финансовый 4 5 2 5" xfId="3595"/>
    <cellStyle name="Финансовый 4 5 3" xfId="1411"/>
    <cellStyle name="Финансовый 4 5 3 2" xfId="2489"/>
    <cellStyle name="Финансовый 4 5 3 2 2" xfId="5436"/>
    <cellStyle name="Финансовый 4 5 3 3" xfId="4358"/>
    <cellStyle name="Финансовый 4 5 4" xfId="889"/>
    <cellStyle name="Финансовый 4 5 4 2" xfId="3846"/>
    <cellStyle name="Финансовый 4 5 5" xfId="1967"/>
    <cellStyle name="Финансовый 4 5 5 2" xfId="4914"/>
    <cellStyle name="Финансовый 4 5 6" xfId="3346"/>
    <cellStyle name="Финансовый 4 6" xfId="3088"/>
    <cellStyle name="Финансовый 4 6 2" xfId="6029"/>
    <cellStyle name="Финансовый 4 7" xfId="6038"/>
    <cellStyle name="Финансовый 4 8" xfId="6042"/>
    <cellStyle name="Финансовый 5" xfId="26"/>
    <cellStyle name="Финансовый 5 2" xfId="46"/>
    <cellStyle name="Финансовый 5 3" xfId="374"/>
    <cellStyle name="Финансовый 6" xfId="375"/>
    <cellStyle name="Финансовый 6 10" xfId="3354"/>
    <cellStyle name="Финансовый 6 2" xfId="376"/>
    <cellStyle name="Финансовый 6 2 2" xfId="377"/>
    <cellStyle name="Финансовый 6 2 2 2" xfId="637"/>
    <cellStyle name="Финансовый 6 2 2 2 2" xfId="1670"/>
    <cellStyle name="Финансовый 6 2 2 2 2 2" xfId="2748"/>
    <cellStyle name="Финансовый 6 2 2 2 2 2 2" xfId="5695"/>
    <cellStyle name="Финансовый 6 2 2 2 2 3" xfId="4617"/>
    <cellStyle name="Финансовый 6 2 2 2 3" xfId="1152"/>
    <cellStyle name="Финансовый 6 2 2 2 3 2" xfId="4099"/>
    <cellStyle name="Финансовый 6 2 2 2 4" xfId="2225"/>
    <cellStyle name="Финансовый 6 2 2 2 4 2" xfId="5172"/>
    <cellStyle name="Финансовый 6 2 2 2 5" xfId="3604"/>
    <cellStyle name="Финансовый 6 2 2 3" xfId="1421"/>
    <cellStyle name="Финансовый 6 2 2 3 2" xfId="2499"/>
    <cellStyle name="Финансовый 6 2 2 3 2 2" xfId="5446"/>
    <cellStyle name="Финансовый 6 2 2 3 3" xfId="4368"/>
    <cellStyle name="Финансовый 6 2 2 4" xfId="898"/>
    <cellStyle name="Финансовый 6 2 2 4 2" xfId="3855"/>
    <cellStyle name="Финансовый 6 2 2 5" xfId="1977"/>
    <cellStyle name="Финансовый 6 2 2 5 2" xfId="4924"/>
    <cellStyle name="Финансовый 6 2 2 6" xfId="3356"/>
    <cellStyle name="Финансовый 6 2 3" xfId="378"/>
    <cellStyle name="Финансовый 6 2 3 2" xfId="1422"/>
    <cellStyle name="Финансовый 6 2 3 2 2" xfId="2500"/>
    <cellStyle name="Финансовый 6 2 3 2 2 2" xfId="5447"/>
    <cellStyle name="Финансовый 6 2 3 2 3" xfId="4369"/>
    <cellStyle name="Финансовый 6 2 3 3" xfId="1978"/>
    <cellStyle name="Финансовый 6 2 3 3 2" xfId="4925"/>
    <cellStyle name="Финансовый 6 2 3 4" xfId="3357"/>
    <cellStyle name="Финансовый 6 2 4" xfId="636"/>
    <cellStyle name="Финансовый 6 2 4 2" xfId="1669"/>
    <cellStyle name="Финансовый 6 2 4 2 2" xfId="2747"/>
    <cellStyle name="Финансовый 6 2 4 2 2 2" xfId="5694"/>
    <cellStyle name="Финансовый 6 2 4 2 3" xfId="4616"/>
    <cellStyle name="Финансовый 6 2 4 3" xfId="1151"/>
    <cellStyle name="Финансовый 6 2 4 3 2" xfId="4098"/>
    <cellStyle name="Финансовый 6 2 4 4" xfId="2224"/>
    <cellStyle name="Финансовый 6 2 4 4 2" xfId="5171"/>
    <cellStyle name="Финансовый 6 2 4 5" xfId="3603"/>
    <cellStyle name="Финансовый 6 2 5" xfId="1420"/>
    <cellStyle name="Финансовый 6 2 5 2" xfId="2498"/>
    <cellStyle name="Финансовый 6 2 5 2 2" xfId="5445"/>
    <cellStyle name="Финансовый 6 2 5 3" xfId="4367"/>
    <cellStyle name="Финансовый 6 2 6" xfId="897"/>
    <cellStyle name="Финансовый 6 2 6 2" xfId="3854"/>
    <cellStyle name="Финансовый 6 2 7" xfId="1976"/>
    <cellStyle name="Финансовый 6 2 7 2" xfId="4923"/>
    <cellStyle name="Финансовый 6 2 8" xfId="3355"/>
    <cellStyle name="Финансовый 6 3" xfId="379"/>
    <cellStyle name="Финансовый 6 3 2" xfId="380"/>
    <cellStyle name="Финансовый 6 3 2 2" xfId="639"/>
    <cellStyle name="Финансовый 6 3 2 2 2" xfId="1672"/>
    <cellStyle name="Финансовый 6 3 2 2 2 2" xfId="2750"/>
    <cellStyle name="Финансовый 6 3 2 2 2 2 2" xfId="5697"/>
    <cellStyle name="Финансовый 6 3 2 2 2 3" xfId="4619"/>
    <cellStyle name="Финансовый 6 3 2 2 3" xfId="1154"/>
    <cellStyle name="Финансовый 6 3 2 2 3 2" xfId="4101"/>
    <cellStyle name="Финансовый 6 3 2 2 4" xfId="2227"/>
    <cellStyle name="Финансовый 6 3 2 2 4 2" xfId="5174"/>
    <cellStyle name="Финансовый 6 3 2 2 5" xfId="3606"/>
    <cellStyle name="Финансовый 6 3 2 3" xfId="1424"/>
    <cellStyle name="Финансовый 6 3 2 3 2" xfId="2502"/>
    <cellStyle name="Финансовый 6 3 2 3 2 2" xfId="5449"/>
    <cellStyle name="Финансовый 6 3 2 3 3" xfId="4371"/>
    <cellStyle name="Финансовый 6 3 2 4" xfId="900"/>
    <cellStyle name="Финансовый 6 3 2 4 2" xfId="3857"/>
    <cellStyle name="Финансовый 6 3 2 5" xfId="1980"/>
    <cellStyle name="Финансовый 6 3 2 5 2" xfId="4927"/>
    <cellStyle name="Финансовый 6 3 2 6" xfId="3359"/>
    <cellStyle name="Финансовый 6 3 3" xfId="638"/>
    <cellStyle name="Финансовый 6 3 3 2" xfId="1671"/>
    <cellStyle name="Финансовый 6 3 3 2 2" xfId="2749"/>
    <cellStyle name="Финансовый 6 3 3 2 2 2" xfId="5696"/>
    <cellStyle name="Финансовый 6 3 3 2 3" xfId="4618"/>
    <cellStyle name="Финансовый 6 3 3 3" xfId="1153"/>
    <cellStyle name="Финансовый 6 3 3 3 2" xfId="4100"/>
    <cellStyle name="Финансовый 6 3 3 4" xfId="2226"/>
    <cellStyle name="Финансовый 6 3 3 4 2" xfId="5173"/>
    <cellStyle name="Финансовый 6 3 3 5" xfId="3605"/>
    <cellStyle name="Финансовый 6 3 4" xfId="1423"/>
    <cellStyle name="Финансовый 6 3 4 2" xfId="2501"/>
    <cellStyle name="Финансовый 6 3 4 2 2" xfId="5448"/>
    <cellStyle name="Финансовый 6 3 4 3" xfId="4370"/>
    <cellStyle name="Финансовый 6 3 5" xfId="899"/>
    <cellStyle name="Финансовый 6 3 5 2" xfId="3856"/>
    <cellStyle name="Финансовый 6 3 6" xfId="1979"/>
    <cellStyle name="Финансовый 6 3 6 2" xfId="4926"/>
    <cellStyle name="Финансовый 6 3 7" xfId="3358"/>
    <cellStyle name="Финансовый 6 4" xfId="381"/>
    <cellStyle name="Финансовый 6 4 2" xfId="640"/>
    <cellStyle name="Финансовый 6 4 2 2" xfId="1673"/>
    <cellStyle name="Финансовый 6 4 2 2 2" xfId="2751"/>
    <cellStyle name="Финансовый 6 4 2 2 2 2" xfId="5698"/>
    <cellStyle name="Финансовый 6 4 2 2 3" xfId="4620"/>
    <cellStyle name="Финансовый 6 4 2 3" xfId="1155"/>
    <cellStyle name="Финансовый 6 4 2 3 2" xfId="4102"/>
    <cellStyle name="Финансовый 6 4 2 4" xfId="2228"/>
    <cellStyle name="Финансовый 6 4 2 4 2" xfId="5175"/>
    <cellStyle name="Финансовый 6 4 2 5" xfId="3607"/>
    <cellStyle name="Финансовый 6 4 3" xfId="1425"/>
    <cellStyle name="Финансовый 6 4 3 2" xfId="2503"/>
    <cellStyle name="Финансовый 6 4 3 2 2" xfId="5450"/>
    <cellStyle name="Финансовый 6 4 3 3" xfId="4372"/>
    <cellStyle name="Финансовый 6 4 4" xfId="901"/>
    <cellStyle name="Финансовый 6 4 4 2" xfId="3858"/>
    <cellStyle name="Финансовый 6 4 5" xfId="1981"/>
    <cellStyle name="Финансовый 6 4 5 2" xfId="4928"/>
    <cellStyle name="Финансовый 6 4 6" xfId="3360"/>
    <cellStyle name="Финансовый 6 5" xfId="382"/>
    <cellStyle name="Финансовый 6 6" xfId="635"/>
    <cellStyle name="Финансовый 6 6 2" xfId="1668"/>
    <cellStyle name="Финансовый 6 6 2 2" xfId="2746"/>
    <cellStyle name="Финансовый 6 6 2 2 2" xfId="5693"/>
    <cellStyle name="Финансовый 6 6 2 3" xfId="4615"/>
    <cellStyle name="Финансовый 6 6 3" xfId="1150"/>
    <cellStyle name="Финансовый 6 6 3 2" xfId="4097"/>
    <cellStyle name="Финансовый 6 6 4" xfId="2223"/>
    <cellStyle name="Финансовый 6 6 4 2" xfId="5170"/>
    <cellStyle name="Финансовый 6 6 5" xfId="3602"/>
    <cellStyle name="Финансовый 6 7" xfId="1419"/>
    <cellStyle name="Финансовый 6 7 2" xfId="2497"/>
    <cellStyle name="Финансовый 6 7 2 2" xfId="5444"/>
    <cellStyle name="Финансовый 6 7 3" xfId="4366"/>
    <cellStyle name="Финансовый 6 8" xfId="896"/>
    <cellStyle name="Финансовый 6 8 2" xfId="3853"/>
    <cellStyle name="Финансовый 6 9" xfId="1975"/>
    <cellStyle name="Финансовый 6 9 2" xfId="4922"/>
    <cellStyle name="Финансовый 7" xfId="383"/>
    <cellStyle name="Финансовый 7 10" xfId="1982"/>
    <cellStyle name="Финансовый 7 10 2" xfId="4929"/>
    <cellStyle name="Финансовый 7 11" xfId="3361"/>
    <cellStyle name="Финансовый 7 2" xfId="384"/>
    <cellStyle name="Финансовый 7 2 10" xfId="3362"/>
    <cellStyle name="Финансовый 7 2 2" xfId="385"/>
    <cellStyle name="Финансовый 7 2 2 2" xfId="386"/>
    <cellStyle name="Финансовый 7 2 2 2 2" xfId="644"/>
    <cellStyle name="Финансовый 7 2 2 2 2 2" xfId="1677"/>
    <cellStyle name="Финансовый 7 2 2 2 2 2 2" xfId="2755"/>
    <cellStyle name="Финансовый 7 2 2 2 2 2 2 2" xfId="5702"/>
    <cellStyle name="Финансовый 7 2 2 2 2 2 3" xfId="4624"/>
    <cellStyle name="Финансовый 7 2 2 2 2 3" xfId="1159"/>
    <cellStyle name="Финансовый 7 2 2 2 2 3 2" xfId="4106"/>
    <cellStyle name="Финансовый 7 2 2 2 2 4" xfId="2232"/>
    <cellStyle name="Финансовый 7 2 2 2 2 4 2" xfId="5179"/>
    <cellStyle name="Финансовый 7 2 2 2 2 5" xfId="3611"/>
    <cellStyle name="Финансовый 7 2 2 2 3" xfId="1429"/>
    <cellStyle name="Финансовый 7 2 2 2 3 2" xfId="2507"/>
    <cellStyle name="Финансовый 7 2 2 2 3 2 2" xfId="5454"/>
    <cellStyle name="Финансовый 7 2 2 2 3 3" xfId="4376"/>
    <cellStyle name="Финансовый 7 2 2 2 4" xfId="905"/>
    <cellStyle name="Финансовый 7 2 2 2 4 2" xfId="3862"/>
    <cellStyle name="Финансовый 7 2 2 2 5" xfId="1985"/>
    <cellStyle name="Финансовый 7 2 2 2 5 2" xfId="4932"/>
    <cellStyle name="Финансовый 7 2 2 2 6" xfId="3364"/>
    <cellStyle name="Финансовый 7 2 2 3" xfId="643"/>
    <cellStyle name="Финансовый 7 2 2 3 2" xfId="1676"/>
    <cellStyle name="Финансовый 7 2 2 3 2 2" xfId="2754"/>
    <cellStyle name="Финансовый 7 2 2 3 2 2 2" xfId="5701"/>
    <cellStyle name="Финансовый 7 2 2 3 2 3" xfId="4623"/>
    <cellStyle name="Финансовый 7 2 2 3 3" xfId="1158"/>
    <cellStyle name="Финансовый 7 2 2 3 3 2" xfId="4105"/>
    <cellStyle name="Финансовый 7 2 2 3 4" xfId="2231"/>
    <cellStyle name="Финансовый 7 2 2 3 4 2" xfId="5178"/>
    <cellStyle name="Финансовый 7 2 2 3 5" xfId="3610"/>
    <cellStyle name="Финансовый 7 2 2 4" xfId="1428"/>
    <cellStyle name="Финансовый 7 2 2 4 2" xfId="2506"/>
    <cellStyle name="Финансовый 7 2 2 4 2 2" xfId="5453"/>
    <cellStyle name="Финансовый 7 2 2 4 3" xfId="4375"/>
    <cellStyle name="Финансовый 7 2 2 5" xfId="904"/>
    <cellStyle name="Финансовый 7 2 2 5 2" xfId="3861"/>
    <cellStyle name="Финансовый 7 2 2 6" xfId="1984"/>
    <cellStyle name="Финансовый 7 2 2 6 2" xfId="4931"/>
    <cellStyle name="Финансовый 7 2 2 7" xfId="3363"/>
    <cellStyle name="Финансовый 7 2 3" xfId="387"/>
    <cellStyle name="Финансовый 7 2 3 2" xfId="388"/>
    <cellStyle name="Финансовый 7 2 3 2 2" xfId="646"/>
    <cellStyle name="Финансовый 7 2 3 2 2 2" xfId="1679"/>
    <cellStyle name="Финансовый 7 2 3 2 2 2 2" xfId="2757"/>
    <cellStyle name="Финансовый 7 2 3 2 2 2 2 2" xfId="5704"/>
    <cellStyle name="Финансовый 7 2 3 2 2 2 3" xfId="4626"/>
    <cellStyle name="Финансовый 7 2 3 2 2 3" xfId="1161"/>
    <cellStyle name="Финансовый 7 2 3 2 2 3 2" xfId="4108"/>
    <cellStyle name="Финансовый 7 2 3 2 2 4" xfId="2234"/>
    <cellStyle name="Финансовый 7 2 3 2 2 4 2" xfId="5181"/>
    <cellStyle name="Финансовый 7 2 3 2 2 5" xfId="3613"/>
    <cellStyle name="Финансовый 7 2 3 2 3" xfId="1431"/>
    <cellStyle name="Финансовый 7 2 3 2 3 2" xfId="2509"/>
    <cellStyle name="Финансовый 7 2 3 2 3 2 2" xfId="5456"/>
    <cellStyle name="Финансовый 7 2 3 2 3 3" xfId="4378"/>
    <cellStyle name="Финансовый 7 2 3 2 4" xfId="907"/>
    <cellStyle name="Финансовый 7 2 3 2 4 2" xfId="3864"/>
    <cellStyle name="Финансовый 7 2 3 2 5" xfId="1987"/>
    <cellStyle name="Финансовый 7 2 3 2 5 2" xfId="4934"/>
    <cellStyle name="Финансовый 7 2 3 2 6" xfId="3366"/>
    <cellStyle name="Финансовый 7 2 3 3" xfId="645"/>
    <cellStyle name="Финансовый 7 2 3 3 2" xfId="1678"/>
    <cellStyle name="Финансовый 7 2 3 3 2 2" xfId="2756"/>
    <cellStyle name="Финансовый 7 2 3 3 2 2 2" xfId="5703"/>
    <cellStyle name="Финансовый 7 2 3 3 2 3" xfId="4625"/>
    <cellStyle name="Финансовый 7 2 3 3 3" xfId="1160"/>
    <cellStyle name="Финансовый 7 2 3 3 3 2" xfId="4107"/>
    <cellStyle name="Финансовый 7 2 3 3 4" xfId="2233"/>
    <cellStyle name="Финансовый 7 2 3 3 4 2" xfId="5180"/>
    <cellStyle name="Финансовый 7 2 3 3 5" xfId="3612"/>
    <cellStyle name="Финансовый 7 2 3 4" xfId="1430"/>
    <cellStyle name="Финансовый 7 2 3 4 2" xfId="2508"/>
    <cellStyle name="Финансовый 7 2 3 4 2 2" xfId="5455"/>
    <cellStyle name="Финансовый 7 2 3 4 3" xfId="4377"/>
    <cellStyle name="Финансовый 7 2 3 5" xfId="906"/>
    <cellStyle name="Финансовый 7 2 3 5 2" xfId="3863"/>
    <cellStyle name="Финансовый 7 2 3 6" xfId="1986"/>
    <cellStyle name="Финансовый 7 2 3 6 2" xfId="4933"/>
    <cellStyle name="Финансовый 7 2 3 7" xfId="3365"/>
    <cellStyle name="Финансовый 7 2 4" xfId="389"/>
    <cellStyle name="Финансовый 7 2 4 2" xfId="647"/>
    <cellStyle name="Финансовый 7 2 4 2 2" xfId="1680"/>
    <cellStyle name="Финансовый 7 2 4 2 2 2" xfId="2758"/>
    <cellStyle name="Финансовый 7 2 4 2 2 2 2" xfId="5705"/>
    <cellStyle name="Финансовый 7 2 4 2 2 3" xfId="4627"/>
    <cellStyle name="Финансовый 7 2 4 2 3" xfId="1162"/>
    <cellStyle name="Финансовый 7 2 4 2 3 2" xfId="4109"/>
    <cellStyle name="Финансовый 7 2 4 2 4" xfId="2235"/>
    <cellStyle name="Финансовый 7 2 4 2 4 2" xfId="5182"/>
    <cellStyle name="Финансовый 7 2 4 2 5" xfId="3614"/>
    <cellStyle name="Финансовый 7 2 4 3" xfId="1432"/>
    <cellStyle name="Финансовый 7 2 4 3 2" xfId="2510"/>
    <cellStyle name="Финансовый 7 2 4 3 2 2" xfId="5457"/>
    <cellStyle name="Финансовый 7 2 4 3 3" xfId="4379"/>
    <cellStyle name="Финансовый 7 2 4 4" xfId="908"/>
    <cellStyle name="Финансовый 7 2 4 4 2" xfId="3865"/>
    <cellStyle name="Финансовый 7 2 4 5" xfId="1988"/>
    <cellStyle name="Финансовый 7 2 4 5 2" xfId="4935"/>
    <cellStyle name="Финансовый 7 2 4 6" xfId="3367"/>
    <cellStyle name="Финансовый 7 2 5" xfId="642"/>
    <cellStyle name="Финансовый 7 2 5 2" xfId="1675"/>
    <cellStyle name="Финансовый 7 2 5 2 2" xfId="2753"/>
    <cellStyle name="Финансовый 7 2 5 2 2 2" xfId="5700"/>
    <cellStyle name="Финансовый 7 2 5 2 3" xfId="4622"/>
    <cellStyle name="Финансовый 7 2 5 3" xfId="1157"/>
    <cellStyle name="Финансовый 7 2 5 3 2" xfId="4104"/>
    <cellStyle name="Финансовый 7 2 5 4" xfId="2230"/>
    <cellStyle name="Финансовый 7 2 5 4 2" xfId="5177"/>
    <cellStyle name="Финансовый 7 2 5 5" xfId="3609"/>
    <cellStyle name="Финансовый 7 2 6" xfId="1427"/>
    <cellStyle name="Финансовый 7 2 6 2" xfId="2505"/>
    <cellStyle name="Финансовый 7 2 6 2 2" xfId="5452"/>
    <cellStyle name="Финансовый 7 2 6 3" xfId="4374"/>
    <cellStyle name="Финансовый 7 2 7" xfId="903"/>
    <cellStyle name="Финансовый 7 2 7 2" xfId="3860"/>
    <cellStyle name="Финансовый 7 2 8" xfId="1983"/>
    <cellStyle name="Финансовый 7 2 8 2" xfId="4930"/>
    <cellStyle name="Финансовый 7 2 9" xfId="3094"/>
    <cellStyle name="Финансовый 7 3" xfId="390"/>
    <cellStyle name="Финансовый 7 3 2" xfId="391"/>
    <cellStyle name="Финансовый 7 3 2 2" xfId="649"/>
    <cellStyle name="Финансовый 7 3 2 2 2" xfId="1682"/>
    <cellStyle name="Финансовый 7 3 2 2 2 2" xfId="2760"/>
    <cellStyle name="Финансовый 7 3 2 2 2 2 2" xfId="5707"/>
    <cellStyle name="Финансовый 7 3 2 2 2 3" xfId="4629"/>
    <cellStyle name="Финансовый 7 3 2 2 3" xfId="1164"/>
    <cellStyle name="Финансовый 7 3 2 2 3 2" xfId="4111"/>
    <cellStyle name="Финансовый 7 3 2 2 4" xfId="2237"/>
    <cellStyle name="Финансовый 7 3 2 2 4 2" xfId="5184"/>
    <cellStyle name="Финансовый 7 3 2 2 5" xfId="3616"/>
    <cellStyle name="Финансовый 7 3 2 3" xfId="1434"/>
    <cellStyle name="Финансовый 7 3 2 3 2" xfId="2512"/>
    <cellStyle name="Финансовый 7 3 2 3 2 2" xfId="5459"/>
    <cellStyle name="Финансовый 7 3 2 3 3" xfId="4381"/>
    <cellStyle name="Финансовый 7 3 2 4" xfId="910"/>
    <cellStyle name="Финансовый 7 3 2 4 2" xfId="3867"/>
    <cellStyle name="Финансовый 7 3 2 5" xfId="1990"/>
    <cellStyle name="Финансовый 7 3 2 5 2" xfId="4937"/>
    <cellStyle name="Финансовый 7 3 2 6" xfId="3369"/>
    <cellStyle name="Финансовый 7 3 3" xfId="648"/>
    <cellStyle name="Финансовый 7 3 3 2" xfId="1681"/>
    <cellStyle name="Финансовый 7 3 3 2 2" xfId="2759"/>
    <cellStyle name="Финансовый 7 3 3 2 2 2" xfId="5706"/>
    <cellStyle name="Финансовый 7 3 3 2 3" xfId="4628"/>
    <cellStyle name="Финансовый 7 3 3 3" xfId="1163"/>
    <cellStyle name="Финансовый 7 3 3 3 2" xfId="4110"/>
    <cellStyle name="Финансовый 7 3 3 4" xfId="2236"/>
    <cellStyle name="Финансовый 7 3 3 4 2" xfId="5183"/>
    <cellStyle name="Финансовый 7 3 3 5" xfId="3615"/>
    <cellStyle name="Финансовый 7 3 4" xfId="1433"/>
    <cellStyle name="Финансовый 7 3 4 2" xfId="2511"/>
    <cellStyle name="Финансовый 7 3 4 2 2" xfId="5458"/>
    <cellStyle name="Финансовый 7 3 4 3" xfId="4380"/>
    <cellStyle name="Финансовый 7 3 5" xfId="909"/>
    <cellStyle name="Финансовый 7 3 5 2" xfId="3866"/>
    <cellStyle name="Финансовый 7 3 6" xfId="1989"/>
    <cellStyle name="Финансовый 7 3 6 2" xfId="4936"/>
    <cellStyle name="Финансовый 7 3 7" xfId="3368"/>
    <cellStyle name="Финансовый 7 4" xfId="392"/>
    <cellStyle name="Финансовый 7 4 2" xfId="393"/>
    <cellStyle name="Финансовый 7 4 2 2" xfId="651"/>
    <cellStyle name="Финансовый 7 4 2 2 2" xfId="1684"/>
    <cellStyle name="Финансовый 7 4 2 2 2 2" xfId="2762"/>
    <cellStyle name="Финансовый 7 4 2 2 2 2 2" xfId="5709"/>
    <cellStyle name="Финансовый 7 4 2 2 2 3" xfId="4631"/>
    <cellStyle name="Финансовый 7 4 2 2 3" xfId="1166"/>
    <cellStyle name="Финансовый 7 4 2 2 3 2" xfId="4113"/>
    <cellStyle name="Финансовый 7 4 2 2 4" xfId="2239"/>
    <cellStyle name="Финансовый 7 4 2 2 4 2" xfId="5186"/>
    <cellStyle name="Финансовый 7 4 2 2 5" xfId="3618"/>
    <cellStyle name="Финансовый 7 4 2 3" xfId="1436"/>
    <cellStyle name="Финансовый 7 4 2 3 2" xfId="2514"/>
    <cellStyle name="Финансовый 7 4 2 3 2 2" xfId="5461"/>
    <cellStyle name="Финансовый 7 4 2 3 3" xfId="4383"/>
    <cellStyle name="Финансовый 7 4 2 4" xfId="912"/>
    <cellStyle name="Финансовый 7 4 2 4 2" xfId="3869"/>
    <cellStyle name="Финансовый 7 4 2 5" xfId="1992"/>
    <cellStyle name="Финансовый 7 4 2 5 2" xfId="4939"/>
    <cellStyle name="Финансовый 7 4 2 6" xfId="3371"/>
    <cellStyle name="Финансовый 7 4 3" xfId="650"/>
    <cellStyle name="Финансовый 7 4 3 2" xfId="1683"/>
    <cellStyle name="Финансовый 7 4 3 2 2" xfId="2761"/>
    <cellStyle name="Финансовый 7 4 3 2 2 2" xfId="5708"/>
    <cellStyle name="Финансовый 7 4 3 2 3" xfId="4630"/>
    <cellStyle name="Финансовый 7 4 3 3" xfId="1165"/>
    <cellStyle name="Финансовый 7 4 3 3 2" xfId="4112"/>
    <cellStyle name="Финансовый 7 4 3 4" xfId="2238"/>
    <cellStyle name="Финансовый 7 4 3 4 2" xfId="5185"/>
    <cellStyle name="Финансовый 7 4 3 5" xfId="3617"/>
    <cellStyle name="Финансовый 7 4 4" xfId="1435"/>
    <cellStyle name="Финансовый 7 4 4 2" xfId="2513"/>
    <cellStyle name="Финансовый 7 4 4 2 2" xfId="5460"/>
    <cellStyle name="Финансовый 7 4 4 3" xfId="4382"/>
    <cellStyle name="Финансовый 7 4 5" xfId="911"/>
    <cellStyle name="Финансовый 7 4 5 2" xfId="3868"/>
    <cellStyle name="Финансовый 7 4 6" xfId="1991"/>
    <cellStyle name="Финансовый 7 4 6 2" xfId="4938"/>
    <cellStyle name="Финансовый 7 4 7" xfId="3370"/>
    <cellStyle name="Финансовый 7 5" xfId="394"/>
    <cellStyle name="Финансовый 7 5 2" xfId="652"/>
    <cellStyle name="Финансовый 7 5 2 2" xfId="1685"/>
    <cellStyle name="Финансовый 7 5 2 2 2" xfId="2763"/>
    <cellStyle name="Финансовый 7 5 2 2 2 2" xfId="5710"/>
    <cellStyle name="Финансовый 7 5 2 2 3" xfId="4632"/>
    <cellStyle name="Финансовый 7 5 2 3" xfId="1167"/>
    <cellStyle name="Финансовый 7 5 2 3 2" xfId="4114"/>
    <cellStyle name="Финансовый 7 5 2 4" xfId="2240"/>
    <cellStyle name="Финансовый 7 5 2 4 2" xfId="5187"/>
    <cellStyle name="Финансовый 7 5 2 5" xfId="3619"/>
    <cellStyle name="Финансовый 7 5 3" xfId="1437"/>
    <cellStyle name="Финансовый 7 5 3 2" xfId="2515"/>
    <cellStyle name="Финансовый 7 5 3 2 2" xfId="5462"/>
    <cellStyle name="Финансовый 7 5 3 3" xfId="4384"/>
    <cellStyle name="Финансовый 7 5 4" xfId="913"/>
    <cellStyle name="Финансовый 7 5 4 2" xfId="3870"/>
    <cellStyle name="Финансовый 7 5 5" xfId="1993"/>
    <cellStyle name="Финансовый 7 5 5 2" xfId="4940"/>
    <cellStyle name="Финансовый 7 5 6" xfId="3372"/>
    <cellStyle name="Финансовый 7 6" xfId="395"/>
    <cellStyle name="Финансовый 7 6 2" xfId="653"/>
    <cellStyle name="Финансовый 7 6 2 2" xfId="1686"/>
    <cellStyle name="Финансовый 7 6 2 2 2" xfId="2764"/>
    <cellStyle name="Финансовый 7 6 2 2 2 2" xfId="5711"/>
    <cellStyle name="Финансовый 7 6 2 2 3" xfId="4633"/>
    <cellStyle name="Финансовый 7 6 2 3" xfId="1168"/>
    <cellStyle name="Финансовый 7 6 2 3 2" xfId="4115"/>
    <cellStyle name="Финансовый 7 6 2 4" xfId="2241"/>
    <cellStyle name="Финансовый 7 6 2 4 2" xfId="5188"/>
    <cellStyle name="Финансовый 7 6 2 5" xfId="3620"/>
    <cellStyle name="Финансовый 7 6 3" xfId="1438"/>
    <cellStyle name="Финансовый 7 6 3 2" xfId="2516"/>
    <cellStyle name="Финансовый 7 6 3 2 2" xfId="5463"/>
    <cellStyle name="Финансовый 7 6 3 3" xfId="4385"/>
    <cellStyle name="Финансовый 7 6 4" xfId="914"/>
    <cellStyle name="Финансовый 7 6 4 2" xfId="3871"/>
    <cellStyle name="Финансовый 7 6 5" xfId="1994"/>
    <cellStyle name="Финансовый 7 6 5 2" xfId="4941"/>
    <cellStyle name="Финансовый 7 6 6" xfId="3373"/>
    <cellStyle name="Финансовый 7 7" xfId="641"/>
    <cellStyle name="Финансовый 7 7 2" xfId="1674"/>
    <cellStyle name="Финансовый 7 7 2 2" xfId="2752"/>
    <cellStyle name="Финансовый 7 7 2 2 2" xfId="5699"/>
    <cellStyle name="Финансовый 7 7 2 3" xfId="4621"/>
    <cellStyle name="Финансовый 7 7 3" xfId="1156"/>
    <cellStyle name="Финансовый 7 7 3 2" xfId="4103"/>
    <cellStyle name="Финансовый 7 7 4" xfId="2229"/>
    <cellStyle name="Финансовый 7 7 4 2" xfId="5176"/>
    <cellStyle name="Финансовый 7 7 5" xfId="3608"/>
    <cellStyle name="Финансовый 7 8" xfId="1426"/>
    <cellStyle name="Финансовый 7 8 2" xfId="2504"/>
    <cellStyle name="Финансовый 7 8 2 2" xfId="5451"/>
    <cellStyle name="Финансовый 7 8 3" xfId="4373"/>
    <cellStyle name="Финансовый 7 9" xfId="902"/>
    <cellStyle name="Финансовый 7 9 2" xfId="3859"/>
    <cellStyle name="Финансовый 8" xfId="396"/>
    <cellStyle name="Финансовый 8 2" xfId="397"/>
    <cellStyle name="Финансовый 8 2 2" xfId="654"/>
    <cellStyle name="Финансовый 8 2 2 2" xfId="1687"/>
    <cellStyle name="Финансовый 8 2 2 2 2" xfId="2765"/>
    <cellStyle name="Финансовый 8 2 2 2 2 2" xfId="5712"/>
    <cellStyle name="Финансовый 8 2 2 2 3" xfId="4634"/>
    <cellStyle name="Финансовый 8 2 2 3" xfId="1169"/>
    <cellStyle name="Финансовый 8 2 2 3 2" xfId="4116"/>
    <cellStyle name="Финансовый 8 2 2 4" xfId="2242"/>
    <cellStyle name="Финансовый 8 2 2 4 2" xfId="5189"/>
    <cellStyle name="Финансовый 8 2 2 5" xfId="3621"/>
    <cellStyle name="Финансовый 8 2 3" xfId="1440"/>
    <cellStyle name="Финансовый 8 2 3 2" xfId="2518"/>
    <cellStyle name="Финансовый 8 2 3 2 2" xfId="5465"/>
    <cellStyle name="Финансовый 8 2 3 3" xfId="4387"/>
    <cellStyle name="Финансовый 8 2 4" xfId="915"/>
    <cellStyle name="Финансовый 8 2 4 2" xfId="3872"/>
    <cellStyle name="Финансовый 8 2 5" xfId="1996"/>
    <cellStyle name="Финансовый 8 2 5 2" xfId="4943"/>
    <cellStyle name="Финансовый 8 2 6" xfId="3375"/>
    <cellStyle name="Финансовый 8 3" xfId="1439"/>
    <cellStyle name="Финансовый 8 3 2" xfId="2517"/>
    <cellStyle name="Финансовый 8 3 2 2" xfId="5464"/>
    <cellStyle name="Финансовый 8 3 3" xfId="4386"/>
    <cellStyle name="Финансовый 8 4" xfId="1995"/>
    <cellStyle name="Финансовый 8 4 2" xfId="4942"/>
    <cellStyle name="Финансовый 8 5" xfId="3374"/>
    <cellStyle name="Финансовый 9" xfId="398"/>
    <cellStyle name="Финансовый 9 2" xfId="4"/>
    <cellStyle name="Финансовый 9 2 10" xfId="413"/>
    <cellStyle name="Финансовый 9 2 10 2" xfId="1455"/>
    <cellStyle name="Финансовый 9 2 10 2 2" xfId="2533"/>
    <cellStyle name="Финансовый 9 2 10 2 2 2" xfId="5480"/>
    <cellStyle name="Финансовый 9 2 10 2 3" xfId="4402"/>
    <cellStyle name="Финансовый 9 2 10 3" xfId="928"/>
    <cellStyle name="Финансовый 9 2 10 3 2" xfId="3885"/>
    <cellStyle name="Финансовый 9 2 10 4" xfId="2011"/>
    <cellStyle name="Финансовый 9 2 10 4 2" xfId="4958"/>
    <cellStyle name="Финансовый 9 2 10 5" xfId="3390"/>
    <cellStyle name="Финансовый 9 2 11" xfId="660"/>
    <cellStyle name="Финансовый 9 2 11 2" xfId="1693"/>
    <cellStyle name="Финансовый 9 2 11 2 2" xfId="2771"/>
    <cellStyle name="Финансовый 9 2 11 2 2 2" xfId="5718"/>
    <cellStyle name="Финансовый 9 2 11 2 3" xfId="4640"/>
    <cellStyle name="Финансовый 9 2 11 3" xfId="1175"/>
    <cellStyle name="Финансовый 9 2 11 3 2" xfId="4122"/>
    <cellStyle name="Финансовый 9 2 11 4" xfId="2248"/>
    <cellStyle name="Финансовый 9 2 11 4 2" xfId="5195"/>
    <cellStyle name="Финансовый 9 2 11 5" xfId="3627"/>
    <cellStyle name="Финансовый 9 2 12" xfId="663"/>
    <cellStyle name="Финансовый 9 2 12 2" xfId="1696"/>
    <cellStyle name="Финансовый 9 2 12 2 2" xfId="2774"/>
    <cellStyle name="Финансовый 9 2 12 2 2 2" xfId="5721"/>
    <cellStyle name="Финансовый 9 2 12 2 3" xfId="4643"/>
    <cellStyle name="Финансовый 9 2 12 3" xfId="2251"/>
    <cellStyle name="Финансовый 9 2 12 3 2" xfId="5198"/>
    <cellStyle name="Финансовый 9 2 12 4" xfId="3630"/>
    <cellStyle name="Финансовый 9 2 13" xfId="1183"/>
    <cellStyle name="Финансовый 9 2 13 2" xfId="2261"/>
    <cellStyle name="Финансовый 9 2 13 2 2" xfId="5208"/>
    <cellStyle name="Финансовый 9 2 13 3" xfId="4130"/>
    <cellStyle name="Финансовый 9 2 14" xfId="1712"/>
    <cellStyle name="Финансовый 9 2 14 2" xfId="2790"/>
    <cellStyle name="Финансовый 9 2 14 2 2" xfId="5737"/>
    <cellStyle name="Финансовый 9 2 14 3" xfId="4659"/>
    <cellStyle name="Финансовый 9 2 15" xfId="1740"/>
    <cellStyle name="Финансовый 9 2 15 2" xfId="4687"/>
    <cellStyle name="Финансовый 9 2 16" xfId="3106"/>
    <cellStyle name="Финансовый 9 2 2" xfId="34"/>
    <cellStyle name="Финансовый 9 2 2 2" xfId="55"/>
    <cellStyle name="Финансовый 9 2 2 2 2" xfId="430"/>
    <cellStyle name="Финансовый 9 2 2 2 2 2" xfId="1472"/>
    <cellStyle name="Финансовый 9 2 2 2 2 2 2" xfId="2550"/>
    <cellStyle name="Финансовый 9 2 2 2 2 2 2 2" xfId="5497"/>
    <cellStyle name="Финансовый 9 2 2 2 2 2 3" xfId="4419"/>
    <cellStyle name="Финансовый 9 2 2 2 2 3" xfId="945"/>
    <cellStyle name="Финансовый 9 2 2 2 2 3 2" xfId="3902"/>
    <cellStyle name="Финансовый 9 2 2 2 2 4" xfId="2028"/>
    <cellStyle name="Финансовый 9 2 2 2 2 4 2" xfId="4975"/>
    <cellStyle name="Финансовый 9 2 2 2 2 5" xfId="3407"/>
    <cellStyle name="Финансовый 9 2 2 2 3" xfId="1200"/>
    <cellStyle name="Финансовый 9 2 2 2 3 2" xfId="2278"/>
    <cellStyle name="Финансовый 9 2 2 2 3 2 2" xfId="5225"/>
    <cellStyle name="Финансовый 9 2 2 2 3 3" xfId="4147"/>
    <cellStyle name="Финансовый 9 2 2 2 4" xfId="689"/>
    <cellStyle name="Финансовый 9 2 2 2 4 2" xfId="3656"/>
    <cellStyle name="Финансовый 9 2 2 2 5" xfId="1757"/>
    <cellStyle name="Финансовый 9 2 2 2 5 2" xfId="4704"/>
    <cellStyle name="Финансовый 9 2 2 2 6" xfId="3137"/>
    <cellStyle name="Финансовый 9 2 2 3" xfId="400"/>
    <cellStyle name="Финансовый 9 2 2 3 2" xfId="656"/>
    <cellStyle name="Финансовый 9 2 2 3 2 2" xfId="1689"/>
    <cellStyle name="Финансовый 9 2 2 3 2 2 2" xfId="2767"/>
    <cellStyle name="Финансовый 9 2 2 3 2 2 2 2" xfId="5714"/>
    <cellStyle name="Финансовый 9 2 2 3 2 2 3" xfId="4636"/>
    <cellStyle name="Финансовый 9 2 2 3 2 3" xfId="1171"/>
    <cellStyle name="Финансовый 9 2 2 3 2 3 2" xfId="4118"/>
    <cellStyle name="Финансовый 9 2 2 3 2 4" xfId="2244"/>
    <cellStyle name="Финансовый 9 2 2 3 2 4 2" xfId="5191"/>
    <cellStyle name="Финансовый 9 2 2 3 2 5" xfId="3623"/>
    <cellStyle name="Финансовый 9 2 2 3 3" xfId="1442"/>
    <cellStyle name="Финансовый 9 2 2 3 3 2" xfId="2520"/>
    <cellStyle name="Финансовый 9 2 2 3 3 2 2" xfId="5467"/>
    <cellStyle name="Финансовый 9 2 2 3 3 3" xfId="4389"/>
    <cellStyle name="Финансовый 9 2 2 3 4" xfId="917"/>
    <cellStyle name="Финансовый 9 2 2 3 4 2" xfId="3874"/>
    <cellStyle name="Финансовый 9 2 2 3 5" xfId="1998"/>
    <cellStyle name="Финансовый 9 2 2 3 5 2" xfId="4945"/>
    <cellStyle name="Финансовый 9 2 2 3 6" xfId="3377"/>
    <cellStyle name="Финансовый 9 2 2 4" xfId="415"/>
    <cellStyle name="Финансовый 9 2 2 4 2" xfId="1457"/>
    <cellStyle name="Финансовый 9 2 2 4 2 2" xfId="2535"/>
    <cellStyle name="Финансовый 9 2 2 4 2 2 2" xfId="5482"/>
    <cellStyle name="Финансовый 9 2 2 4 2 3" xfId="4404"/>
    <cellStyle name="Финансовый 9 2 2 4 3" xfId="930"/>
    <cellStyle name="Финансовый 9 2 2 4 3 2" xfId="3887"/>
    <cellStyle name="Финансовый 9 2 2 4 4" xfId="2013"/>
    <cellStyle name="Финансовый 9 2 2 4 4 2" xfId="4960"/>
    <cellStyle name="Финансовый 9 2 2 4 5" xfId="3392"/>
    <cellStyle name="Финансовый 9 2 2 5" xfId="1185"/>
    <cellStyle name="Финансовый 9 2 2 5 2" xfId="2263"/>
    <cellStyle name="Финансовый 9 2 2 5 2 2" xfId="5210"/>
    <cellStyle name="Финансовый 9 2 2 5 3" xfId="4132"/>
    <cellStyle name="Финансовый 9 2 2 6" xfId="674"/>
    <cellStyle name="Финансовый 9 2 2 6 2" xfId="3641"/>
    <cellStyle name="Финансовый 9 2 2 7" xfId="1742"/>
    <cellStyle name="Финансовый 9 2 2 7 2" xfId="4689"/>
    <cellStyle name="Финансовый 9 2 2 8" xfId="3123"/>
    <cellStyle name="Финансовый 9 2 3" xfId="35"/>
    <cellStyle name="Финансовый 9 2 3 2" xfId="57"/>
    <cellStyle name="Финансовый 9 2 3 2 2" xfId="432"/>
    <cellStyle name="Финансовый 9 2 3 2 2 2" xfId="1474"/>
    <cellStyle name="Финансовый 9 2 3 2 2 2 2" xfId="2552"/>
    <cellStyle name="Финансовый 9 2 3 2 2 2 2 2" xfId="5499"/>
    <cellStyle name="Финансовый 9 2 3 2 2 2 3" xfId="4421"/>
    <cellStyle name="Финансовый 9 2 3 2 2 3" xfId="947"/>
    <cellStyle name="Финансовый 9 2 3 2 2 3 2" xfId="3904"/>
    <cellStyle name="Финансовый 9 2 3 2 2 4" xfId="2030"/>
    <cellStyle name="Финансовый 9 2 3 2 2 4 2" xfId="4977"/>
    <cellStyle name="Финансовый 9 2 3 2 2 5" xfId="3409"/>
    <cellStyle name="Финансовый 9 2 3 2 3" xfId="1202"/>
    <cellStyle name="Финансовый 9 2 3 2 3 2" xfId="2280"/>
    <cellStyle name="Финансовый 9 2 3 2 3 2 2" xfId="5227"/>
    <cellStyle name="Финансовый 9 2 3 2 3 3" xfId="4149"/>
    <cellStyle name="Финансовый 9 2 3 2 4" xfId="691"/>
    <cellStyle name="Финансовый 9 2 3 2 4 2" xfId="3658"/>
    <cellStyle name="Финансовый 9 2 3 2 5" xfId="1759"/>
    <cellStyle name="Финансовый 9 2 3 2 5 2" xfId="4706"/>
    <cellStyle name="Финансовый 9 2 3 2 6" xfId="3139"/>
    <cellStyle name="Финансовый 9 2 3 3" xfId="417"/>
    <cellStyle name="Финансовый 9 2 3 3 2" xfId="1459"/>
    <cellStyle name="Финансовый 9 2 3 3 2 2" xfId="2537"/>
    <cellStyle name="Финансовый 9 2 3 3 2 2 2" xfId="5484"/>
    <cellStyle name="Финансовый 9 2 3 3 2 3" xfId="4406"/>
    <cellStyle name="Финансовый 9 2 3 3 3" xfId="932"/>
    <cellStyle name="Финансовый 9 2 3 3 3 2" xfId="3889"/>
    <cellStyle name="Финансовый 9 2 3 3 4" xfId="2015"/>
    <cellStyle name="Финансовый 9 2 3 3 4 2" xfId="4962"/>
    <cellStyle name="Финансовый 9 2 3 3 5" xfId="3394"/>
    <cellStyle name="Финансовый 9 2 3 4" xfId="1187"/>
    <cellStyle name="Финансовый 9 2 3 4 2" xfId="2265"/>
    <cellStyle name="Финансовый 9 2 3 4 2 2" xfId="5212"/>
    <cellStyle name="Финансовый 9 2 3 4 3" xfId="4134"/>
    <cellStyle name="Финансовый 9 2 3 5" xfId="676"/>
    <cellStyle name="Финансовый 9 2 3 5 2" xfId="3643"/>
    <cellStyle name="Финансовый 9 2 3 6" xfId="1744"/>
    <cellStyle name="Финансовый 9 2 3 6 2" xfId="4691"/>
    <cellStyle name="Финансовый 9 2 3 7" xfId="3124"/>
    <cellStyle name="Финансовый 9 2 4" xfId="53"/>
    <cellStyle name="Финансовый 9 2 4 2" xfId="428"/>
    <cellStyle name="Финансовый 9 2 4 2 2" xfId="1470"/>
    <cellStyle name="Финансовый 9 2 4 2 2 2" xfId="2548"/>
    <cellStyle name="Финансовый 9 2 4 2 2 2 2" xfId="5495"/>
    <cellStyle name="Финансовый 9 2 4 2 2 3" xfId="4417"/>
    <cellStyle name="Финансовый 9 2 4 2 3" xfId="943"/>
    <cellStyle name="Финансовый 9 2 4 2 3 2" xfId="3900"/>
    <cellStyle name="Финансовый 9 2 4 2 4" xfId="2026"/>
    <cellStyle name="Финансовый 9 2 4 2 4 2" xfId="4973"/>
    <cellStyle name="Финансовый 9 2 4 2 5" xfId="3405"/>
    <cellStyle name="Финансовый 9 2 4 3" xfId="1198"/>
    <cellStyle name="Финансовый 9 2 4 3 2" xfId="2276"/>
    <cellStyle name="Финансовый 9 2 4 3 2 2" xfId="5223"/>
    <cellStyle name="Финансовый 9 2 4 3 3" xfId="4145"/>
    <cellStyle name="Финансовый 9 2 4 4" xfId="687"/>
    <cellStyle name="Финансовый 9 2 4 4 2" xfId="3654"/>
    <cellStyle name="Финансовый 9 2 4 5" xfId="1755"/>
    <cellStyle name="Финансовый 9 2 4 5 2" xfId="4702"/>
    <cellStyle name="Финансовый 9 2 4 6" xfId="3135"/>
    <cellStyle name="Финансовый 9 2 5" xfId="61"/>
    <cellStyle name="Финансовый 9 2 5 2" xfId="436"/>
    <cellStyle name="Финансовый 9 2 5 2 2" xfId="1478"/>
    <cellStyle name="Финансовый 9 2 5 2 2 2" xfId="2556"/>
    <cellStyle name="Финансовый 9 2 5 2 2 2 2" xfId="5503"/>
    <cellStyle name="Финансовый 9 2 5 2 2 3" xfId="4425"/>
    <cellStyle name="Финансовый 9 2 5 2 3" xfId="951"/>
    <cellStyle name="Финансовый 9 2 5 2 3 2" xfId="3908"/>
    <cellStyle name="Финансовый 9 2 5 2 4" xfId="2034"/>
    <cellStyle name="Финансовый 9 2 5 2 4 2" xfId="4981"/>
    <cellStyle name="Финансовый 9 2 5 2 5" xfId="3413"/>
    <cellStyle name="Финансовый 9 2 5 3" xfId="1206"/>
    <cellStyle name="Финансовый 9 2 5 3 2" xfId="2284"/>
    <cellStyle name="Финансовый 9 2 5 3 2 2" xfId="5231"/>
    <cellStyle name="Финансовый 9 2 5 3 3" xfId="4153"/>
    <cellStyle name="Финансовый 9 2 5 4" xfId="695"/>
    <cellStyle name="Финансовый 9 2 5 4 2" xfId="3662"/>
    <cellStyle name="Финансовый 9 2 5 5" xfId="1763"/>
    <cellStyle name="Финансовый 9 2 5 5 2" xfId="4710"/>
    <cellStyle name="Финансовый 9 2 5 6" xfId="3143"/>
    <cellStyle name="Финансовый 9 2 6" xfId="64"/>
    <cellStyle name="Финансовый 9 2 6 2" xfId="440"/>
    <cellStyle name="Финансовый 9 2 6 2 2" xfId="1482"/>
    <cellStyle name="Финансовый 9 2 6 2 2 2" xfId="2560"/>
    <cellStyle name="Финансовый 9 2 6 2 2 2 2" xfId="5507"/>
    <cellStyle name="Финансовый 9 2 6 2 2 3" xfId="4429"/>
    <cellStyle name="Финансовый 9 2 6 2 3" xfId="955"/>
    <cellStyle name="Финансовый 9 2 6 2 3 2" xfId="3912"/>
    <cellStyle name="Финансовый 9 2 6 2 4" xfId="2038"/>
    <cellStyle name="Финансовый 9 2 6 2 4 2" xfId="4985"/>
    <cellStyle name="Финансовый 9 2 6 2 5" xfId="3417"/>
    <cellStyle name="Финансовый 9 2 6 3" xfId="1210"/>
    <cellStyle name="Финансовый 9 2 6 3 2" xfId="2288"/>
    <cellStyle name="Финансовый 9 2 6 3 2 2" xfId="5235"/>
    <cellStyle name="Финансовый 9 2 6 3 3" xfId="4157"/>
    <cellStyle name="Финансовый 9 2 6 4" xfId="699"/>
    <cellStyle name="Финансовый 9 2 6 4 2" xfId="3666"/>
    <cellStyle name="Финансовый 9 2 6 5" xfId="1767"/>
    <cellStyle name="Финансовый 9 2 6 5 2" xfId="4714"/>
    <cellStyle name="Финансовый 9 2 6 6" xfId="3146"/>
    <cellStyle name="Финансовый 9 2 7" xfId="66"/>
    <cellStyle name="Финансовый 9 2 7 2" xfId="442"/>
    <cellStyle name="Финансовый 9 2 7 2 2" xfId="1484"/>
    <cellStyle name="Финансовый 9 2 7 2 2 2" xfId="2562"/>
    <cellStyle name="Финансовый 9 2 7 2 2 2 2" xfId="5509"/>
    <cellStyle name="Финансовый 9 2 7 2 2 3" xfId="4431"/>
    <cellStyle name="Финансовый 9 2 7 2 3" xfId="957"/>
    <cellStyle name="Финансовый 9 2 7 2 3 2" xfId="3914"/>
    <cellStyle name="Финансовый 9 2 7 2 4" xfId="2040"/>
    <cellStyle name="Финансовый 9 2 7 2 4 2" xfId="4987"/>
    <cellStyle name="Финансовый 9 2 7 2 5" xfId="3419"/>
    <cellStyle name="Финансовый 9 2 7 3" xfId="1212"/>
    <cellStyle name="Финансовый 9 2 7 3 2" xfId="2290"/>
    <cellStyle name="Финансовый 9 2 7 3 2 2" xfId="5237"/>
    <cellStyle name="Финансовый 9 2 7 3 3" xfId="4159"/>
    <cellStyle name="Финансовый 9 2 7 4" xfId="701"/>
    <cellStyle name="Финансовый 9 2 7 4 2" xfId="3668"/>
    <cellStyle name="Финансовый 9 2 7 5" xfId="1769"/>
    <cellStyle name="Финансовый 9 2 7 5 2" xfId="4716"/>
    <cellStyle name="Финансовый 9 2 7 6" xfId="3148"/>
    <cellStyle name="Финансовый 9 2 8" xfId="399"/>
    <cellStyle name="Финансовый 9 2 8 2" xfId="655"/>
    <cellStyle name="Финансовый 9 2 8 2 2" xfId="1688"/>
    <cellStyle name="Финансовый 9 2 8 2 2 2" xfId="2766"/>
    <cellStyle name="Финансовый 9 2 8 2 2 2 2" xfId="5713"/>
    <cellStyle name="Финансовый 9 2 8 2 2 3" xfId="4635"/>
    <cellStyle name="Финансовый 9 2 8 2 3" xfId="1170"/>
    <cellStyle name="Финансовый 9 2 8 2 3 2" xfId="4117"/>
    <cellStyle name="Финансовый 9 2 8 2 4" xfId="2243"/>
    <cellStyle name="Финансовый 9 2 8 2 4 2" xfId="5190"/>
    <cellStyle name="Финансовый 9 2 8 2 5" xfId="3622"/>
    <cellStyle name="Финансовый 9 2 8 3" xfId="1441"/>
    <cellStyle name="Финансовый 9 2 8 3 2" xfId="2519"/>
    <cellStyle name="Финансовый 9 2 8 3 2 2" xfId="5466"/>
    <cellStyle name="Финансовый 9 2 8 3 3" xfId="4388"/>
    <cellStyle name="Финансовый 9 2 8 4" xfId="916"/>
    <cellStyle name="Финансовый 9 2 8 4 2" xfId="3873"/>
    <cellStyle name="Финансовый 9 2 8 5" xfId="1997"/>
    <cellStyle name="Финансовый 9 2 8 5 2" xfId="4944"/>
    <cellStyle name="Финансовый 9 2 8 6" xfId="3376"/>
    <cellStyle name="Финансовый 9 2 9" xfId="403"/>
    <cellStyle name="Финансовый 9 2 9 2" xfId="1445"/>
    <cellStyle name="Финансовый 9 2 9 2 2" xfId="2523"/>
    <cellStyle name="Финансовый 9 2 9 2 2 2" xfId="5470"/>
    <cellStyle name="Финансовый 9 2 9 2 3" xfId="4392"/>
    <cellStyle name="Финансовый 9 2 9 3" xfId="918"/>
    <cellStyle name="Финансовый 9 2 9 3 2" xfId="3875"/>
    <cellStyle name="Финансовый 9 2 9 4" xfId="2001"/>
    <cellStyle name="Финансовый 9 2 9 4 2" xfId="4948"/>
    <cellStyle name="Финансовый 9 2 9 5" xfId="3380"/>
    <cellStyle name="Финансовый 9 3" xfId="401"/>
    <cellStyle name="Финансовый 9 3 2" xfId="1443"/>
    <cellStyle name="Финансовый 9 3 2 2" xfId="2521"/>
    <cellStyle name="Финансовый 9 3 2 2 2" xfId="5468"/>
    <cellStyle name="Финансовый 9 3 2 3" xfId="4390"/>
    <cellStyle name="Финансовый 9 3 3" xfId="1999"/>
    <cellStyle name="Финансовый 9 3 3 2" xfId="4946"/>
    <cellStyle name="Финансовый 9 3 4" xfId="33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externalLink" Target="externalLinks/externalLink14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externalLink" Target="externalLinks/externalLink17.xml"/><Relationship Id="rId47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25.xml"/><Relationship Id="rId55" Type="http://schemas.openxmlformats.org/officeDocument/2006/relationships/externalLink" Target="externalLinks/externalLink30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4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15.xml"/><Relationship Id="rId45" Type="http://schemas.openxmlformats.org/officeDocument/2006/relationships/externalLink" Target="externalLinks/externalLink20.xml"/><Relationship Id="rId53" Type="http://schemas.openxmlformats.org/officeDocument/2006/relationships/externalLink" Target="externalLinks/externalLink28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43" Type="http://schemas.openxmlformats.org/officeDocument/2006/relationships/externalLink" Target="externalLinks/externalLink18.xml"/><Relationship Id="rId48" Type="http://schemas.openxmlformats.org/officeDocument/2006/relationships/externalLink" Target="externalLinks/externalLink23.xml"/><Relationship Id="rId56" Type="http://schemas.openxmlformats.org/officeDocument/2006/relationships/externalLink" Target="externalLinks/externalLink31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46" Type="http://schemas.openxmlformats.org/officeDocument/2006/relationships/externalLink" Target="externalLinks/externalLink21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6.xml"/><Relationship Id="rId54" Type="http://schemas.openxmlformats.org/officeDocument/2006/relationships/externalLink" Target="externalLinks/externalLink29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49" Type="http://schemas.openxmlformats.org/officeDocument/2006/relationships/externalLink" Target="externalLinks/externalLink24.xml"/><Relationship Id="rId57" Type="http://schemas.openxmlformats.org/officeDocument/2006/relationships/externalLink" Target="externalLinks/externalLink3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6.xml"/><Relationship Id="rId44" Type="http://schemas.openxmlformats.org/officeDocument/2006/relationships/externalLink" Target="externalLinks/externalLink19.xml"/><Relationship Id="rId52" Type="http://schemas.openxmlformats.org/officeDocument/2006/relationships/externalLink" Target="externalLinks/externalLink27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5ACFC6A\Disease_specific_PF_template_dropdown_3+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E422911\Disease_specific_PF_template_dropdown_3+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B_Financial%20Report%20Y1%20EFR%20guidelines%20Updated%2011.02.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KGZ%20tb_budgeting_templa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nex%208.%20SLD%20request%20KG%202007-2012_2nd%20line%20TBs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/Users/user/Downloads/Users/t.aliev/AppData/Local/Microsoft/Windows/Temporary%20Internet%20Files/Content.Outlook/ZSL6530C/Users/&#1090;&#1091;&#1073;&#1077;&#1088;&#1082;&#1091;&#1083;&#1077;&#1079;/AppData/Roaming/Microsoft/Excel/MDA%20tb%20budgeting%20template%20v3%20en.xls?4EF821E6" TargetMode="External"/><Relationship Id="rId1" Type="http://schemas.openxmlformats.org/officeDocument/2006/relationships/externalLinkPath" Target="file:///\\4EF821E6\MDA%20tb%20budgeting%20template%20v3%20e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.aliev\AppData\Local\Microsoft\Windows\Temporary%20Internet%20Files\Content.Outlook\ZSL6530C\Users\&#1090;&#1091;&#1073;&#1077;&#1088;&#1082;&#1091;&#1083;&#1077;&#1079;\AppData\Roaming\Microsoft\Excel\MDA%20tb%20budgeting%20template%20v3%20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-%20Outpatient%20Treatment\&#1052;&#1086;&#1080;%20&#1076;&#1086;&#1082;&#1091;&#1084;&#1077;&#1085;&#1090;&#1099;\&#1041;&#1072;&#1082;&#1090;&#1099;&#1075;&#1091;&#1083;&#1103;\&#1058;&#1041;\&#1085;&#1086;&#1074;&#1099;&#1081;%20&#1073;&#1102;&#1076;&#1078;&#1077;&#1090;%20&#1085;&#1072;%2016-17%20&#1075;&#1075;\KGZ-S10-G08-T_6%20months%20Jan-%20June%202016_final_sign-of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73FF3F\Rnd9-Budget-12.04.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.aliev\AppData\Local\Microsoft\Windows\Temporary%20Internet%20Files\Content.Outlook\ZSL6530C\9&#1088;\&#1053;&#1086;&#1074;&#1072;&#1103;%20&#1087;&#1072;&#1087;&#1082;&#1072;\Rnd9-Budget-12.04.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sites/GF-UNDPKyrgyzRepublic/Shared%20Documents/2021-2023_HIV&amp;TB%20program%20docs/Agreements/HIV/2021/RCN/KGZ-C-UNDP_DB_29Jun20_fina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73B1035\Disease_specific_PF_template_dropdown_3+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411A1A7\Disease_specific_PF_template_dropdown_3+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10_PerformanceFramework_ru_020810_13-00%20%20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Users\t.aliev\AppData\Local\Microsoft\Windows\Temporary%20Internet%20Files\Content.Outlook\ZSL6530C\Users\&#1090;&#1091;&#1073;&#1077;&#1088;&#1082;&#1091;&#1083;&#1077;&#1079;\AppData\Roaming\Microsoft\Excel\TKM%20TB%20R9.%20PF%20v04%2021%20May%202010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microsoft.com/office/2019/04/relationships/externalLinkLongPath" Target="/Users/user/Downloads/Users/t.aliev/AppData/Local/Microsoft/Windows/Temporary%20Internet%20Files/Content.Outlook/ZSL6530C/Users/&#1090;&#1091;&#1073;&#1077;&#1088;&#1082;&#1091;&#1083;&#1077;&#1079;/AppData/Roaming/Microsoft/Excel/TKM%20TB%20R9.%20PF%20v04%2021%20May%202010.xls?4EF821E6" TargetMode="External"/><Relationship Id="rId1" Type="http://schemas.openxmlformats.org/officeDocument/2006/relationships/externalLinkPath" Target="file:///\\4EF821E6\TKM%20TB%20R9.%20PF%20v04%2021%20May%20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b.turdiyev\Documents\Programmes\SR%20agreements\AFEW\April_June%202013\Users\b.turdiyev\Documents\Programmes\PR_SSF_16_08_201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HIV\M&amp;E\M&amp;E%20Specialist%20files_2014\&#1048;&#1085;&#1076;&#1080;&#1082;&#1072;&#1090;&#1086;&#1088;&#1099;%20&#1085;&#1072;%202015\&#1048;&#1085;&#1076;&#1080;&#1082;&#1072;&#1090;&#1086;&#1088;&#1099;%20&#1085;&#1072;%202014%20&#1087;&#1086;%20&#1089;&#1086;&#1089;&#1090;&#1086;&#1103;&#1085;&#1080;&#1102;%20&#1085;&#1072;%20241213\PR_SSF_16_08_201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.aliev\AppData\Local\Microsoft\Windows\Temporary%20Internet%20Files\Content.Outlook\ZSL6530C\Users\&#1090;&#1091;&#1073;&#1077;&#1088;&#1082;&#1091;&#1083;&#1077;&#1079;\AppData\Roaming\Microsoft\Excel\TKM%20TB%20R9.%20PF%20v04%2021%20May%202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8E94CA8\Template%20for%20Summary%20budgets%20Generic%201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7063\yulia\Alina\2%20&#1092;&#1072;&#1079;&#1072;-1\Template%20for%20Summary%20budgets%20Generic%201.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F737495\Copy%20of%20KGZ-C-UNDP%202021-2023%20grant%20making%20Detailed%20Budget%20Oct%206%202020%20LFA%20reviewed%20(003)_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gf/sites/Operations/EasternEurope/PrivateZone/Belarus/Monitoring%20and%20Evaluation/R6%20TB/Attachment%20Negotiations/BLR_Rd6_Att1_GF%20Review%20_20Ap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3664A8\Disease_specific_PF_template_dropdown_3+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7C7ED7\Disease_specific_PF_template_dropdown_3+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3B2E827\Disease_specific_PF_template_dropdown_3+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Users\t.aliev\AppData\Local\Microsoft\Windows\Temporary%20Internet%20Files\Content.Outlook\ZSL6530C\Users\&#1090;&#1091;&#1073;&#1077;&#1088;&#1082;&#1091;&#1083;&#1077;&#1079;\AppData\Roaming\Microsoft\Excel\MDA%20tb%20budgeting%20template%20v3%20e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Volumes\NO%20NAME\2014\&#1103;&#1085;&#1074;&#1072;&#1088;&#1100;\&#1058;&#1047;%20&#1040;&#1056;&#1042;%202014\&#1052;&#1086;&#1075;&#1080;&#1083;&#1077;&#1074;\&#1052;&#1086;&#1075;&#1080;&#1083;&#1077;&#1074;%20&#1085;&#1072;%20&#1040;&#1056;&#1042;%20&#1085;&#1072;%202015%20&#1075;&#1086;&#1076;%20(1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Users/user/Downloads/Volumes/NO%20NAME/2014/&#1103;&#1085;&#1074;&#1072;&#1088;&#1100;/&#1058;&#1047;%20&#1040;&#1056;&#1042;%202014/&#1052;&#1086;&#1075;&#1080;&#1083;&#1077;&#1074;/&#1052;&#1086;&#1075;&#1080;&#1083;&#1077;&#1074;%20&#1085;&#1072;%20&#1040;&#1056;&#1042;%20&#1085;&#1072;%202015%20&#1075;&#1086;&#1076;%20(1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Volumes\NO%20NAME\2014\&#1103;&#1085;&#1074;&#1072;&#1088;&#1100;\&#1058;&#1047;%20&#1040;&#1056;&#1042;%202014\&#1042;&#1080;&#1090;&#1077;&#1073;&#1089;&#1082;\&#1055;&#1088;&#1086;&#1075;&#1085;&#1086;&#1079;%20&#1040;&#1056;&#1042;&#1058;%202015&#1075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Users/user/Downloads/Volumes/NO%20NAME/2014/&#1103;&#1085;&#1074;&#1072;&#1088;&#1100;/&#1058;&#1047;%20&#1040;&#1056;&#1042;%202014/&#1042;&#1080;&#1090;&#1077;&#1073;&#1089;&#1082;/&#1055;&#1088;&#1086;&#1075;&#1085;&#1086;&#1079;%20&#1040;&#1056;&#1042;&#1058;%202015&#1075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dp.sharepoint.com/Users/User/AppData/Local/Temp/&#1055;&#1088;&#1086;&#1075;&#1085;&#1086;&#1079;%20&#1040;&#1056;&#1058;%20&#1085;&#1072;%203%20&#1075;&#1086;&#1076;&#1072;%202023-2025%2010.02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erformance Framework 3&amp;4"/>
      <sheetName val="HIV"/>
      <sheetName val="TB"/>
      <sheetName val="Malaria"/>
    </sheetNames>
    <sheetDataSet>
      <sheetData sheetId="0" refreshError="1"/>
      <sheetData sheetId="1" refreshError="1"/>
      <sheetData sheetId="2">
        <row r="2">
          <cell r="A2" t="str">
            <v>Please select…</v>
          </cell>
          <cell r="D2" t="str">
            <v>Please select…</v>
          </cell>
        </row>
        <row r="3">
          <cell r="A3" t="str">
            <v>BCC - Mass media</v>
          </cell>
          <cell r="D3" t="str">
            <v xml:space="preserve">% of women and men aged 15-49 who have had sexual intercourse with more than one partner in the last 12 months </v>
          </cell>
        </row>
        <row r="4">
          <cell r="A4" t="str">
            <v>BCC - community outreach and schools</v>
          </cell>
          <cell r="D4" t="str">
            <v>% of never married young men and women aged 15-24 who have never had sex</v>
          </cell>
        </row>
        <row r="5">
          <cell r="A5" t="str">
            <v xml:space="preserve">Condom </v>
          </cell>
          <cell r="D5" t="str">
            <v xml:space="preserve">% of young women and men aged 15-24 who have had sexual intercourse before the age of 15 </v>
          </cell>
          <cell r="F5" t="str">
            <v>Please enter a SDA here…</v>
          </cell>
        </row>
        <row r="6">
          <cell r="A6" t="str">
            <v>Testing and Counseling</v>
          </cell>
          <cell r="D6" t="str">
            <v xml:space="preserve">% of injecting drug users reporting the use of sterile injecting equipment the last time they injected </v>
          </cell>
        </row>
        <row r="7">
          <cell r="A7" t="str">
            <v>PMTCT</v>
          </cell>
          <cell r="D7" t="str">
            <v xml:space="preserve">% of injecting drug users reporting the use of a condom the last time they had sexual intercourse </v>
          </cell>
        </row>
        <row r="8">
          <cell r="A8" t="str">
            <v>Post-exposure prophylaxis (PEP)</v>
          </cell>
          <cell r="D8" t="str">
            <v>Current school attendance among orphans and non-orphans</v>
          </cell>
        </row>
        <row r="9">
          <cell r="A9" t="str">
            <v>STI diagnosis and treatment</v>
          </cell>
          <cell r="D9" t="str">
            <v>% of women and men aged 15-49 who have had more than one sexual partner in the past 12 months reporting the use of a condom during their last sexual intercourse</v>
          </cell>
        </row>
        <row r="10">
          <cell r="A10" t="str">
            <v>Blood safety and universal precaution</v>
          </cell>
          <cell r="D10" t="str">
            <v xml:space="preserve">% of women and men aged 15-49 expressing accepting attitudes towards people with HIV </v>
          </cell>
        </row>
        <row r="11">
          <cell r="A11" t="str">
            <v>Antiretroviral treatment (ARV) and monitoring</v>
          </cell>
          <cell r="D11" t="str">
            <v xml:space="preserve">% of female and male sex workers reporting the use of a condom with their most recent client </v>
          </cell>
        </row>
        <row r="12">
          <cell r="A12" t="str">
            <v>Prophylaxis and treatment for opportunistic infections</v>
          </cell>
          <cell r="D12" t="str">
            <v xml:space="preserve">% of men aged 15-49 reporting sex with a sex worker in the last 12 months who used a condom during last paid intercourse </v>
          </cell>
        </row>
        <row r="13">
          <cell r="A13" t="str">
            <v>Care and support for the chronically ill</v>
          </cell>
          <cell r="D13" t="str">
            <v xml:space="preserve">% of men reporting the use of condom the last time they had anal sex with a male partner </v>
          </cell>
        </row>
        <row r="14">
          <cell r="A14" t="str">
            <v>Support for orphans and vulnerable children</v>
          </cell>
        </row>
        <row r="15">
          <cell r="A15" t="str">
            <v>TB/HIV</v>
          </cell>
        </row>
        <row r="16">
          <cell r="A16" t="str">
            <v>Policy development including workplace policy</v>
          </cell>
        </row>
        <row r="17">
          <cell r="A17" t="str">
            <v xml:space="preserve">Strengthening of civil society and institutional capacity building </v>
          </cell>
        </row>
        <row r="18">
          <cell r="A18" t="str">
            <v>Stigma reduction in all settings</v>
          </cell>
        </row>
        <row r="19">
          <cell r="A19" t="str">
            <v>HSS: Service delivery</v>
          </cell>
        </row>
        <row r="20">
          <cell r="A20" t="str">
            <v>HSS: Health Workforce</v>
          </cell>
        </row>
        <row r="21">
          <cell r="A21" t="str">
            <v>HSS: Medical Products, vaccines and technology</v>
          </cell>
        </row>
        <row r="22">
          <cell r="A22" t="str">
            <v>HSS: Financing</v>
          </cell>
        </row>
        <row r="23">
          <cell r="A23" t="str">
            <v>HSS: Leadership and Governance</v>
          </cell>
        </row>
        <row r="24">
          <cell r="A24" t="str">
            <v xml:space="preserve">HSS: Information system </v>
          </cell>
        </row>
      </sheetData>
      <sheetData sheetId="3">
        <row r="2">
          <cell r="B2" t="str">
            <v>please select…</v>
          </cell>
          <cell r="D2" t="str">
            <v>please select…</v>
          </cell>
        </row>
        <row r="3">
          <cell r="B3" t="str">
            <v>TB prevalence rate</v>
          </cell>
          <cell r="D3" t="str">
            <v>Case detection rate: new smear positive TB cases</v>
          </cell>
        </row>
        <row r="4">
          <cell r="B4" t="str">
            <v>TB incidence rate</v>
          </cell>
          <cell r="D4" t="str">
            <v>Treatment success rate: new smear positive TB cases</v>
          </cell>
        </row>
        <row r="5">
          <cell r="B5" t="str">
            <v>TB mortality rate</v>
          </cell>
        </row>
      </sheetData>
      <sheetData sheetId="4">
        <row r="2">
          <cell r="A2" t="str">
            <v>please select…</v>
          </cell>
          <cell r="E2" t="str">
            <v>please select…</v>
          </cell>
        </row>
        <row r="3">
          <cell r="A3" t="str">
            <v>BCC - Mass media</v>
          </cell>
          <cell r="E3" t="str">
            <v>DHS/DHS+ (Demographic and Health Survey)</v>
          </cell>
        </row>
        <row r="4">
          <cell r="A4" t="str">
            <v>BCC - community outreach</v>
          </cell>
          <cell r="E4" t="str">
            <v>MIS (Malaria Indicator Survey)</v>
          </cell>
        </row>
        <row r="5">
          <cell r="A5" t="str">
            <v>Insecticide-treated nets (ITNs)</v>
          </cell>
          <cell r="E5" t="str">
            <v>MICS (Multiple Indicator Cluster Survey)</v>
          </cell>
        </row>
        <row r="6">
          <cell r="A6" t="str">
            <v>Malaria prevention during pregnancy</v>
          </cell>
          <cell r="E6" t="str">
            <v>Situation Analysis</v>
          </cell>
        </row>
        <row r="7">
          <cell r="A7" t="str">
            <v>Indoor Residual Spraying</v>
          </cell>
          <cell r="E7" t="str">
            <v>HMIS</v>
          </cell>
        </row>
        <row r="8">
          <cell r="A8" t="str">
            <v>Prompt, effective anti-malarial treatment</v>
          </cell>
          <cell r="E8" t="str">
            <v>Health Facility survey</v>
          </cell>
        </row>
        <row r="9">
          <cell r="A9" t="str">
            <v>Home based management of malaria</v>
          </cell>
          <cell r="E9" t="str">
            <v>Health Provider survey</v>
          </cell>
        </row>
        <row r="10">
          <cell r="A10" t="str">
            <v>Diagnosis</v>
          </cell>
          <cell r="E10" t="str">
            <v>Key informant survey</v>
          </cell>
        </row>
        <row r="11">
          <cell r="A11" t="str">
            <v>Monitoring drug resistance</v>
          </cell>
          <cell r="E11" t="str">
            <v>Households survey</v>
          </cell>
        </row>
        <row r="12">
          <cell r="A12" t="str">
            <v>Monitoring insecticide resistance</v>
          </cell>
          <cell r="E12" t="str">
            <v>Vital registration systems</v>
          </cell>
        </row>
        <row r="13">
          <cell r="A13" t="str">
            <v>Coordination and partnership development (national, community, public-private)</v>
          </cell>
          <cell r="E13" t="str">
            <v>Training records</v>
          </cell>
        </row>
        <row r="14">
          <cell r="A14" t="str">
            <v>HSS: Service delivery</v>
          </cell>
          <cell r="E14" t="str">
            <v>Patients records</v>
          </cell>
        </row>
        <row r="15">
          <cell r="A15" t="str">
            <v xml:space="preserve">HSS: Health Workforce </v>
          </cell>
          <cell r="E15" t="str">
            <v>Surveillance systems</v>
          </cell>
        </row>
        <row r="16">
          <cell r="A16" t="str">
            <v xml:space="preserve">HSS: Medical Products, Vaccines and Technology </v>
          </cell>
          <cell r="E16" t="str">
            <v>Other report, specify</v>
          </cell>
        </row>
        <row r="17">
          <cell r="A17" t="str">
            <v xml:space="preserve">HSS: Information system </v>
          </cell>
          <cell r="E17" t="str">
            <v>National Health Account</v>
          </cell>
        </row>
        <row r="18">
          <cell r="A18" t="str">
            <v xml:space="preserve">HSS: Financing </v>
          </cell>
          <cell r="E18" t="str">
            <v>SAMS (Service Availability Mapping Survey)</v>
          </cell>
        </row>
        <row r="19">
          <cell r="A19" t="str">
            <v xml:space="preserve">HSS: Leadership and Goverance </v>
          </cell>
          <cell r="E19" t="str">
            <v>Other survey, specify</v>
          </cell>
        </row>
        <row r="20">
          <cell r="E20" t="str">
            <v>Administrative records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erformance Framework 3&amp;4"/>
      <sheetName val="HIV"/>
      <sheetName val="TB"/>
      <sheetName val="Malaria"/>
    </sheetNames>
    <sheetDataSet>
      <sheetData sheetId="0" refreshError="1"/>
      <sheetData sheetId="1" refreshError="1"/>
      <sheetData sheetId="2">
        <row r="2">
          <cell r="A2" t="str">
            <v>Please select…</v>
          </cell>
          <cell r="D2" t="str">
            <v>Please select…</v>
          </cell>
        </row>
        <row r="3">
          <cell r="A3" t="str">
            <v>BCC - Mass media</v>
          </cell>
          <cell r="D3" t="str">
            <v xml:space="preserve">% of women and men aged 15-49 who have had sexual intercourse with more than one partner in the last 12 months </v>
          </cell>
        </row>
        <row r="4">
          <cell r="A4" t="str">
            <v>BCC - community outreach and schools</v>
          </cell>
          <cell r="D4" t="str">
            <v>% of never married young men and women aged 15-24 who have never had sex</v>
          </cell>
        </row>
        <row r="5">
          <cell r="A5" t="str">
            <v xml:space="preserve">Condom </v>
          </cell>
          <cell r="D5" t="str">
            <v xml:space="preserve">% of young women and men aged 15-24 who have had sexual intercourse before the age of 15 </v>
          </cell>
          <cell r="F5" t="str">
            <v>Please enter a SDA here…</v>
          </cell>
        </row>
        <row r="6">
          <cell r="A6" t="str">
            <v>Testing and Counseling</v>
          </cell>
          <cell r="D6" t="str">
            <v xml:space="preserve">% of injecting drug users reporting the use of sterile injecting equipment the last time they injected </v>
          </cell>
        </row>
        <row r="7">
          <cell r="A7" t="str">
            <v>PMTCT</v>
          </cell>
          <cell r="D7" t="str">
            <v xml:space="preserve">% of injecting drug users reporting the use of a condom the last time they had sexual intercourse </v>
          </cell>
        </row>
        <row r="8">
          <cell r="A8" t="str">
            <v>Post-exposure prophylaxis (PEP)</v>
          </cell>
          <cell r="D8" t="str">
            <v>Current school attendance among orphans and non-orphans</v>
          </cell>
        </row>
        <row r="9">
          <cell r="A9" t="str">
            <v>STI diagnosis and treatment</v>
          </cell>
          <cell r="D9" t="str">
            <v>% of women and men aged 15-49 who have had more than one sexual partner in the past 12 months reporting the use of a condom during their last sexual intercourse</v>
          </cell>
        </row>
        <row r="10">
          <cell r="A10" t="str">
            <v>Blood safety and universal precaution</v>
          </cell>
          <cell r="D10" t="str">
            <v xml:space="preserve">% of women and men aged 15-49 expressing accepting attitudes towards people with HIV </v>
          </cell>
        </row>
        <row r="11">
          <cell r="A11" t="str">
            <v>Antiretroviral treatment (ARV) and monitoring</v>
          </cell>
          <cell r="D11" t="str">
            <v xml:space="preserve">% of female and male sex workers reporting the use of a condom with their most recent client </v>
          </cell>
        </row>
        <row r="12">
          <cell r="A12" t="str">
            <v>Prophylaxis and treatment for opportunistic infections</v>
          </cell>
          <cell r="D12" t="str">
            <v xml:space="preserve">% of men aged 15-49 reporting sex with a sex worker in the last 12 months who used a condom during last paid intercourse </v>
          </cell>
        </row>
        <row r="13">
          <cell r="A13" t="str">
            <v>Care and support for the chronically ill</v>
          </cell>
          <cell r="D13" t="str">
            <v xml:space="preserve">% of men reporting the use of condom the last time they had anal sex with a male partner </v>
          </cell>
        </row>
        <row r="14">
          <cell r="A14" t="str">
            <v>Support for orphans and vulnerable children</v>
          </cell>
        </row>
        <row r="15">
          <cell r="A15" t="str">
            <v>TB/HIV</v>
          </cell>
        </row>
        <row r="16">
          <cell r="A16" t="str">
            <v>Policy development including workplace policy</v>
          </cell>
        </row>
        <row r="17">
          <cell r="A17" t="str">
            <v xml:space="preserve">Strengthening of civil society and institutional capacity building </v>
          </cell>
        </row>
        <row r="18">
          <cell r="A18" t="str">
            <v>Stigma reduction in all settings</v>
          </cell>
        </row>
        <row r="19">
          <cell r="A19" t="str">
            <v>HSS: Service delivery</v>
          </cell>
        </row>
        <row r="20">
          <cell r="A20" t="str">
            <v>HSS: Health Workforce</v>
          </cell>
        </row>
        <row r="21">
          <cell r="A21" t="str">
            <v>HSS: Medical Products, vaccines and technology</v>
          </cell>
        </row>
        <row r="22">
          <cell r="A22" t="str">
            <v>HSS: Financing</v>
          </cell>
        </row>
        <row r="23">
          <cell r="A23" t="str">
            <v>HSS: Leadership and Governance</v>
          </cell>
        </row>
        <row r="24">
          <cell r="A24" t="str">
            <v xml:space="preserve">HSS: Information system </v>
          </cell>
        </row>
      </sheetData>
      <sheetData sheetId="3">
        <row r="2">
          <cell r="B2" t="str">
            <v>please select…</v>
          </cell>
          <cell r="D2" t="str">
            <v>please select…</v>
          </cell>
        </row>
        <row r="3">
          <cell r="B3" t="str">
            <v>TB prevalence rate</v>
          </cell>
          <cell r="D3" t="str">
            <v>Case detection rate: new smear positive TB cases</v>
          </cell>
        </row>
        <row r="4">
          <cell r="B4" t="str">
            <v>TB incidence rate</v>
          </cell>
          <cell r="D4" t="str">
            <v>Treatment success rate: new smear positive TB cases</v>
          </cell>
        </row>
        <row r="5">
          <cell r="B5" t="str">
            <v>TB mortality rate</v>
          </cell>
        </row>
      </sheetData>
      <sheetData sheetId="4">
        <row r="2">
          <cell r="A2" t="str">
            <v>please select…</v>
          </cell>
          <cell r="E2" t="str">
            <v>please select…</v>
          </cell>
        </row>
        <row r="3">
          <cell r="A3" t="str">
            <v>BCC - Mass media</v>
          </cell>
          <cell r="E3" t="str">
            <v>DHS/DHS+ (Demographic and Health Survey)</v>
          </cell>
        </row>
        <row r="4">
          <cell r="A4" t="str">
            <v>BCC - community outreach</v>
          </cell>
          <cell r="E4" t="str">
            <v>MIS (Malaria Indicator Survey)</v>
          </cell>
        </row>
        <row r="5">
          <cell r="A5" t="str">
            <v>Insecticide-treated nets (ITNs)</v>
          </cell>
          <cell r="E5" t="str">
            <v>MICS (Multiple Indicator Cluster Survey)</v>
          </cell>
        </row>
        <row r="6">
          <cell r="A6" t="str">
            <v>Malaria prevention during pregnancy</v>
          </cell>
          <cell r="E6" t="str">
            <v>Situation Analysis</v>
          </cell>
        </row>
        <row r="7">
          <cell r="A7" t="str">
            <v>Indoor Residual Spraying</v>
          </cell>
          <cell r="E7" t="str">
            <v>HMIS</v>
          </cell>
        </row>
        <row r="8">
          <cell r="A8" t="str">
            <v>Prompt, effective anti-malarial treatment</v>
          </cell>
          <cell r="E8" t="str">
            <v>Health Facility survey</v>
          </cell>
        </row>
        <row r="9">
          <cell r="A9" t="str">
            <v>Home based management of malaria</v>
          </cell>
          <cell r="E9" t="str">
            <v>Health Provider survey</v>
          </cell>
        </row>
        <row r="10">
          <cell r="A10" t="str">
            <v>Diagnosis</v>
          </cell>
          <cell r="E10" t="str">
            <v>Key informant survey</v>
          </cell>
        </row>
        <row r="11">
          <cell r="A11" t="str">
            <v>Monitoring drug resistance</v>
          </cell>
          <cell r="E11" t="str">
            <v>Households survey</v>
          </cell>
        </row>
        <row r="12">
          <cell r="A12" t="str">
            <v>Monitoring insecticide resistance</v>
          </cell>
          <cell r="E12" t="str">
            <v>Vital registration systems</v>
          </cell>
        </row>
        <row r="13">
          <cell r="A13" t="str">
            <v>Coordination and partnership development (national, community, public-private)</v>
          </cell>
          <cell r="E13" t="str">
            <v>Training records</v>
          </cell>
        </row>
        <row r="14">
          <cell r="A14" t="str">
            <v>HSS: Service delivery</v>
          </cell>
          <cell r="E14" t="str">
            <v>Patients records</v>
          </cell>
        </row>
        <row r="15">
          <cell r="A15" t="str">
            <v xml:space="preserve">HSS: Health Workforce </v>
          </cell>
          <cell r="E15" t="str">
            <v>Surveillance systems</v>
          </cell>
        </row>
        <row r="16">
          <cell r="A16" t="str">
            <v xml:space="preserve">HSS: Medical Products, Vaccines and Technology </v>
          </cell>
          <cell r="E16" t="str">
            <v>Other report, specify</v>
          </cell>
        </row>
        <row r="17">
          <cell r="A17" t="str">
            <v xml:space="preserve">HSS: Information system </v>
          </cell>
          <cell r="E17" t="str">
            <v>National Health Account</v>
          </cell>
        </row>
        <row r="18">
          <cell r="A18" t="str">
            <v xml:space="preserve">HSS: Financing </v>
          </cell>
          <cell r="E18" t="str">
            <v>SAMS (Service Availability Mapping Survey)</v>
          </cell>
        </row>
        <row r="19">
          <cell r="A19" t="str">
            <v xml:space="preserve">HSS: Leadership and Goverance </v>
          </cell>
          <cell r="E19" t="str">
            <v>Other survey, specify</v>
          </cell>
        </row>
        <row r="20">
          <cell r="E20" t="str">
            <v>Administrative records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_Financial Data"/>
      <sheetName val="BUDGET Y1 GF"/>
      <sheetName val="Budget Y1 New line Categories"/>
      <sheetName val="Macro-categ_Budget"/>
      <sheetName val="Budget Implem. agent"/>
      <sheetName val="Budget sub-recipients work tab "/>
      <sheetName val="ATLAS GF "/>
      <sheetName val="Expenditures by Categ."/>
      <sheetName val="Expenditures GF Macro-categ "/>
      <sheetName val="Expenditures Impl. party"/>
      <sheetName val="Definitions"/>
      <sheetName val="Sheet1"/>
      <sheetName val="HIV"/>
      <sheetName val="Malaria"/>
      <sheetName val="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pop"/>
      <sheetName val="_pvt_epicountry"/>
      <sheetName val="_epibycountry"/>
      <sheetName val="_pvt_epiregion"/>
      <sheetName val="_epibyregion"/>
      <sheetName val="_pvt_costsregion"/>
      <sheetName val="_costbyregion"/>
      <sheetName val="_pvt_costscountry"/>
      <sheetName val="_costbycountry"/>
      <sheetName val="_ref_tables"/>
      <sheetName val="_settings"/>
      <sheetName val="Welcome"/>
      <sheetName val="Options"/>
      <sheetName val="Guidelines"/>
      <sheetName val="Baseline Budget"/>
      <sheetName val="Epidemiology"/>
      <sheetName val="1.2 Improving diagnosis"/>
      <sheetName val="Lab items list"/>
      <sheetName val="1.3 Patient support"/>
      <sheetName val="1.4 First-line drugs"/>
      <sheetName val="1.5.1 M&amp;E"/>
      <sheetName val="1.5.2 Management &amp; supervision"/>
      <sheetName val="1.5.3.1 Staff"/>
      <sheetName val="1.5.3.2 International TA"/>
      <sheetName val="1.5.3.3 Training"/>
      <sheetName val="2.1 TB HIV"/>
      <sheetName val="2.2 MDR TB"/>
      <sheetName val="2.3.1 High risk grups"/>
      <sheetName val="2.3.2 Infection control"/>
      <sheetName val="2.3.3 Childhood"/>
      <sheetName val="3.2 PAL"/>
      <sheetName val="4.1 PPM"/>
      <sheetName val="5.1 ACSM"/>
      <sheetName val="5.2 Community involvement"/>
      <sheetName val="6.1 OR"/>
      <sheetName val="Other"/>
      <sheetName val="Use general health services"/>
      <sheetName val="Table Costs Funding"/>
      <sheetName val="Table Costs by activity"/>
      <sheetName val="Fig Costs"/>
      <sheetName val="Fig Funding"/>
      <sheetName val="Table budget &amp; funding"/>
      <sheetName val="Table CostCategoriesGF"/>
      <sheetName val="Definitions"/>
      <sheetName val="HIV"/>
      <sheetName val="Malaria"/>
      <sheetName val="TB"/>
      <sheetName val="HSS"/>
      <sheetName val="SDAs"/>
    </sheetNames>
    <sheetDataSet>
      <sheetData sheetId="0">
        <row r="1">
          <cell r="A1" t="str">
            <v>Countryname</v>
          </cell>
          <cell r="B1" t="str">
            <v>UnitCode</v>
          </cell>
          <cell r="C1" t="str">
            <v>GP2region</v>
          </cell>
          <cell r="D1" t="str">
            <v xml:space="preserve">Currency </v>
          </cell>
          <cell r="E1" t="str">
            <v>Exchange Rate</v>
          </cell>
          <cell r="F1">
            <v>2000</v>
          </cell>
          <cell r="G1">
            <v>2001</v>
          </cell>
          <cell r="H1">
            <v>2002</v>
          </cell>
          <cell r="I1">
            <v>2003</v>
          </cell>
          <cell r="J1">
            <v>2004</v>
          </cell>
          <cell r="K1">
            <v>2005</v>
          </cell>
          <cell r="L1">
            <v>2006</v>
          </cell>
          <cell r="M1">
            <v>2007</v>
          </cell>
          <cell r="N1">
            <v>2008</v>
          </cell>
          <cell r="O1">
            <v>2009</v>
          </cell>
          <cell r="P1">
            <v>2010</v>
          </cell>
          <cell r="Q1">
            <v>2011</v>
          </cell>
          <cell r="R1">
            <v>2012</v>
          </cell>
          <cell r="S1">
            <v>2013</v>
          </cell>
          <cell r="T1">
            <v>2014</v>
          </cell>
          <cell r="U1">
            <v>2015</v>
          </cell>
        </row>
        <row r="2">
          <cell r="A2">
            <v>1</v>
          </cell>
          <cell r="B2" t="str">
            <v>o</v>
          </cell>
          <cell r="C2" t="str">
            <v>o</v>
          </cell>
          <cell r="D2" t="str">
            <v>o</v>
          </cell>
          <cell r="E2" t="str">
            <v>o</v>
          </cell>
          <cell r="F2" t="str">
            <v>(dummy variable to deal with vlookup limitation)</v>
          </cell>
        </row>
        <row r="3">
          <cell r="A3" t="str">
            <v>Afghanistan</v>
          </cell>
          <cell r="B3" t="str">
            <v>AFG</v>
          </cell>
          <cell r="C3" t="str">
            <v>EMR</v>
          </cell>
          <cell r="D3" t="str">
            <v>Afghani</v>
          </cell>
          <cell r="E3">
            <v>3000</v>
          </cell>
          <cell r="F3">
            <v>20737253</v>
          </cell>
          <cell r="G3">
            <v>21414146</v>
          </cell>
          <cell r="H3">
            <v>22213871</v>
          </cell>
          <cell r="I3">
            <v>23114783</v>
          </cell>
          <cell r="J3">
            <v>24076396</v>
          </cell>
          <cell r="K3">
            <v>25067407</v>
          </cell>
          <cell r="L3">
            <v>26087654</v>
          </cell>
          <cell r="M3">
            <v>27145277</v>
          </cell>
          <cell r="N3">
            <v>28225646</v>
          </cell>
          <cell r="O3">
            <v>29311261</v>
          </cell>
          <cell r="P3">
            <v>30389185</v>
          </cell>
          <cell r="Q3">
            <v>31453049</v>
          </cell>
          <cell r="R3">
            <v>32503789</v>
          </cell>
          <cell r="S3">
            <v>33545374.000000004</v>
          </cell>
          <cell r="T3">
            <v>34585545</v>
          </cell>
          <cell r="U3">
            <v>35630707</v>
          </cell>
        </row>
        <row r="4">
          <cell r="A4" t="str">
            <v>Albania</v>
          </cell>
          <cell r="B4" t="str">
            <v>ALB</v>
          </cell>
          <cell r="C4" t="str">
            <v>CEUR</v>
          </cell>
          <cell r="F4">
            <v>3080066</v>
          </cell>
          <cell r="G4">
            <v>3085325</v>
          </cell>
          <cell r="H4">
            <v>3097648</v>
          </cell>
          <cell r="I4">
            <v>3114978</v>
          </cell>
          <cell r="J4">
            <v>3134402</v>
          </cell>
          <cell r="K4">
            <v>3153731</v>
          </cell>
          <cell r="L4">
            <v>3172155</v>
          </cell>
          <cell r="M4">
            <v>3190011</v>
          </cell>
          <cell r="N4">
            <v>3207639</v>
          </cell>
          <cell r="O4">
            <v>3225804</v>
          </cell>
          <cell r="P4">
            <v>3245003</v>
          </cell>
          <cell r="Q4">
            <v>3265136</v>
          </cell>
          <cell r="R4">
            <v>3285697</v>
          </cell>
          <cell r="S4">
            <v>3306332</v>
          </cell>
          <cell r="T4">
            <v>3326585</v>
          </cell>
          <cell r="U4">
            <v>3346103</v>
          </cell>
        </row>
        <row r="5">
          <cell r="A5" t="str">
            <v>Algeria</v>
          </cell>
          <cell r="B5" t="str">
            <v>ALG</v>
          </cell>
          <cell r="C5" t="str">
            <v>AFRlow</v>
          </cell>
          <cell r="D5" t="str">
            <v>Dinar</v>
          </cell>
          <cell r="E5">
            <v>77.668000000000006</v>
          </cell>
          <cell r="F5">
            <v>30506054</v>
          </cell>
          <cell r="G5">
            <v>30954219</v>
          </cell>
          <cell r="H5">
            <v>31413946</v>
          </cell>
          <cell r="I5">
            <v>31885164</v>
          </cell>
          <cell r="J5">
            <v>32365777</v>
          </cell>
          <cell r="K5">
            <v>32854159</v>
          </cell>
          <cell r="L5">
            <v>33351137.000000004</v>
          </cell>
          <cell r="M5">
            <v>33857913</v>
          </cell>
          <cell r="N5">
            <v>34373272</v>
          </cell>
          <cell r="O5">
            <v>34895385</v>
          </cell>
          <cell r="P5">
            <v>35422505</v>
          </cell>
          <cell r="Q5">
            <v>35953821</v>
          </cell>
          <cell r="R5">
            <v>36488354</v>
          </cell>
          <cell r="S5">
            <v>37023859</v>
          </cell>
          <cell r="T5">
            <v>37557691</v>
          </cell>
          <cell r="U5">
            <v>38087539</v>
          </cell>
        </row>
        <row r="6">
          <cell r="A6" t="str">
            <v>American Samoa</v>
          </cell>
          <cell r="B6" t="str">
            <v>AMS</v>
          </cell>
          <cell r="C6" t="str">
            <v>WPR</v>
          </cell>
          <cell r="F6">
            <v>57054</v>
          </cell>
          <cell r="G6">
            <v>58269</v>
          </cell>
          <cell r="H6">
            <v>59636</v>
          </cell>
          <cell r="I6">
            <v>61105</v>
          </cell>
          <cell r="J6">
            <v>62595</v>
          </cell>
          <cell r="K6">
            <v>64051</v>
          </cell>
          <cell r="L6">
            <v>65458</v>
          </cell>
          <cell r="M6">
            <v>66829</v>
          </cell>
          <cell r="N6">
            <v>68169</v>
          </cell>
          <cell r="O6">
            <v>69491</v>
          </cell>
          <cell r="P6">
            <v>70804</v>
          </cell>
          <cell r="Q6">
            <v>72104</v>
          </cell>
          <cell r="R6">
            <v>73388</v>
          </cell>
          <cell r="S6">
            <v>74659</v>
          </cell>
          <cell r="T6">
            <v>75923</v>
          </cell>
          <cell r="U6">
            <v>77185</v>
          </cell>
        </row>
        <row r="7">
          <cell r="A7" t="str">
            <v>Andorra</v>
          </cell>
          <cell r="B7" t="str">
            <v>AND</v>
          </cell>
          <cell r="C7" t="str">
            <v>EME</v>
          </cell>
          <cell r="F7">
            <v>66458</v>
          </cell>
          <cell r="G7">
            <v>67526</v>
          </cell>
          <cell r="H7">
            <v>69026</v>
          </cell>
          <cell r="I7">
            <v>70730</v>
          </cell>
          <cell r="J7">
            <v>72296</v>
          </cell>
          <cell r="K7">
            <v>73483</v>
          </cell>
          <cell r="L7">
            <v>74221</v>
          </cell>
          <cell r="M7">
            <v>74601</v>
          </cell>
          <cell r="N7">
            <v>74725</v>
          </cell>
          <cell r="O7">
            <v>74756</v>
          </cell>
          <cell r="P7">
            <v>74813</v>
          </cell>
          <cell r="Q7">
            <v>74922</v>
          </cell>
          <cell r="R7">
            <v>75045</v>
          </cell>
          <cell r="S7">
            <v>75168</v>
          </cell>
          <cell r="T7">
            <v>75263</v>
          </cell>
          <cell r="U7">
            <v>75309</v>
          </cell>
        </row>
        <row r="8">
          <cell r="A8" t="str">
            <v>Angola</v>
          </cell>
          <cell r="B8" t="str">
            <v>ANG</v>
          </cell>
          <cell r="C8" t="str">
            <v>AFRlow</v>
          </cell>
          <cell r="D8" t="str">
            <v>Kwanzas</v>
          </cell>
          <cell r="E8">
            <v>78643.899999999994</v>
          </cell>
          <cell r="F8">
            <v>13930006</v>
          </cell>
          <cell r="G8">
            <v>14318050</v>
          </cell>
          <cell r="H8">
            <v>14737151</v>
          </cell>
          <cell r="I8">
            <v>15180100</v>
          </cell>
          <cell r="J8">
            <v>15635519</v>
          </cell>
          <cell r="K8">
            <v>16095214</v>
          </cell>
          <cell r="L8">
            <v>16557050</v>
          </cell>
          <cell r="M8">
            <v>17024086</v>
          </cell>
          <cell r="N8">
            <v>17499407</v>
          </cell>
          <cell r="O8">
            <v>17987937</v>
          </cell>
          <cell r="P8">
            <v>18493048</v>
          </cell>
          <cell r="Q8">
            <v>19015505</v>
          </cell>
          <cell r="R8">
            <v>19553392</v>
          </cell>
          <cell r="S8">
            <v>20104223</v>
          </cell>
          <cell r="T8">
            <v>20664412</v>
          </cell>
          <cell r="U8">
            <v>21231329</v>
          </cell>
        </row>
        <row r="9">
          <cell r="A9" t="str">
            <v>Anguilla</v>
          </cell>
          <cell r="B9" t="str">
            <v>ANU</v>
          </cell>
          <cell r="C9" t="str">
            <v>LAC</v>
          </cell>
          <cell r="F9">
            <v>11233</v>
          </cell>
          <cell r="G9">
            <v>11430</v>
          </cell>
          <cell r="H9">
            <v>11637</v>
          </cell>
          <cell r="I9">
            <v>11848</v>
          </cell>
          <cell r="J9">
            <v>12057</v>
          </cell>
          <cell r="K9">
            <v>12256</v>
          </cell>
          <cell r="L9">
            <v>12445</v>
          </cell>
          <cell r="M9">
            <v>12625</v>
          </cell>
          <cell r="N9">
            <v>12799</v>
          </cell>
          <cell r="O9">
            <v>12973</v>
          </cell>
          <cell r="P9">
            <v>13149</v>
          </cell>
          <cell r="Q9">
            <v>13328</v>
          </cell>
          <cell r="R9">
            <v>13510</v>
          </cell>
          <cell r="S9">
            <v>13690</v>
          </cell>
          <cell r="T9">
            <v>13869</v>
          </cell>
          <cell r="U9">
            <v>14042</v>
          </cell>
        </row>
        <row r="10">
          <cell r="A10" t="str">
            <v>Antigua &amp; Barbuda</v>
          </cell>
          <cell r="B10" t="str">
            <v>ANI</v>
          </cell>
          <cell r="C10" t="str">
            <v>LAC</v>
          </cell>
          <cell r="F10">
            <v>76781</v>
          </cell>
          <cell r="G10">
            <v>78274</v>
          </cell>
          <cell r="H10">
            <v>79609</v>
          </cell>
          <cell r="I10">
            <v>80816</v>
          </cell>
          <cell r="J10">
            <v>81947</v>
          </cell>
          <cell r="K10">
            <v>83039</v>
          </cell>
          <cell r="L10">
            <v>84097</v>
          </cell>
          <cell r="M10">
            <v>85109</v>
          </cell>
          <cell r="N10">
            <v>86087</v>
          </cell>
          <cell r="O10">
            <v>87043</v>
          </cell>
          <cell r="P10">
            <v>87986</v>
          </cell>
          <cell r="Q10">
            <v>88922</v>
          </cell>
          <cell r="R10">
            <v>89855</v>
          </cell>
          <cell r="S10">
            <v>90779</v>
          </cell>
          <cell r="T10">
            <v>91693</v>
          </cell>
          <cell r="U10">
            <v>92589</v>
          </cell>
        </row>
        <row r="11">
          <cell r="A11" t="str">
            <v>Argentina</v>
          </cell>
          <cell r="B11" t="str">
            <v>ARG</v>
          </cell>
          <cell r="C11" t="str">
            <v>LAC</v>
          </cell>
          <cell r="D11" t="str">
            <v>Peso</v>
          </cell>
          <cell r="E11">
            <v>2.8706</v>
          </cell>
          <cell r="F11">
            <v>36895712</v>
          </cell>
          <cell r="G11">
            <v>37274397</v>
          </cell>
          <cell r="H11">
            <v>37642174</v>
          </cell>
          <cell r="I11">
            <v>38005141</v>
          </cell>
          <cell r="J11">
            <v>38371527</v>
          </cell>
          <cell r="K11">
            <v>38747148</v>
          </cell>
          <cell r="L11">
            <v>39134297</v>
          </cell>
          <cell r="M11">
            <v>39531118</v>
          </cell>
          <cell r="N11">
            <v>39934110</v>
          </cell>
          <cell r="O11">
            <v>40337793</v>
          </cell>
          <cell r="P11">
            <v>40737988</v>
          </cell>
          <cell r="Q11">
            <v>41133671</v>
          </cell>
          <cell r="R11">
            <v>41525585</v>
          </cell>
          <cell r="S11">
            <v>41913345</v>
          </cell>
          <cell r="T11">
            <v>42296916</v>
          </cell>
          <cell r="U11">
            <v>42676138</v>
          </cell>
        </row>
        <row r="12">
          <cell r="A12" t="str">
            <v>Armenia</v>
          </cell>
          <cell r="B12" t="str">
            <v>ARM</v>
          </cell>
          <cell r="C12" t="str">
            <v>EEUR</v>
          </cell>
          <cell r="D12" t="str">
            <v>Dram</v>
          </cell>
          <cell r="E12">
            <v>574.77</v>
          </cell>
          <cell r="F12">
            <v>3082000</v>
          </cell>
          <cell r="G12">
            <v>3064815</v>
          </cell>
          <cell r="H12">
            <v>3050157</v>
          </cell>
          <cell r="I12">
            <v>3037617</v>
          </cell>
          <cell r="J12">
            <v>3026879</v>
          </cell>
          <cell r="K12">
            <v>3017661</v>
          </cell>
          <cell r="L12">
            <v>3009549</v>
          </cell>
          <cell r="M12">
            <v>3002271</v>
          </cell>
          <cell r="N12">
            <v>2995890</v>
          </cell>
          <cell r="O12">
            <v>2990612</v>
          </cell>
          <cell r="P12">
            <v>2986527</v>
          </cell>
          <cell r="Q12">
            <v>2983525</v>
          </cell>
          <cell r="R12">
            <v>2981300</v>
          </cell>
          <cell r="S12">
            <v>2979517</v>
          </cell>
          <cell r="T12">
            <v>2977768</v>
          </cell>
          <cell r="U12">
            <v>2975711</v>
          </cell>
        </row>
        <row r="13">
          <cell r="A13" t="str">
            <v>Australia</v>
          </cell>
          <cell r="B13" t="str">
            <v>AUS</v>
          </cell>
          <cell r="C13" t="str">
            <v>EME</v>
          </cell>
          <cell r="F13">
            <v>19138735</v>
          </cell>
          <cell r="G13">
            <v>19367340</v>
          </cell>
          <cell r="H13">
            <v>19603872</v>
          </cell>
          <cell r="I13">
            <v>19843893</v>
          </cell>
          <cell r="J13">
            <v>20080889</v>
          </cell>
          <cell r="K13">
            <v>20310208</v>
          </cell>
          <cell r="L13">
            <v>20530423</v>
          </cell>
          <cell r="M13">
            <v>20743178</v>
          </cell>
          <cell r="N13">
            <v>20950604</v>
          </cell>
          <cell r="O13">
            <v>21156083</v>
          </cell>
          <cell r="P13">
            <v>21362106</v>
          </cell>
          <cell r="Q13">
            <v>21569099</v>
          </cell>
          <cell r="R13">
            <v>21776292</v>
          </cell>
          <cell r="S13">
            <v>21983583</v>
          </cell>
          <cell r="T13">
            <v>22190601</v>
          </cell>
          <cell r="U13">
            <v>22397030</v>
          </cell>
        </row>
        <row r="14">
          <cell r="A14" t="str">
            <v>Austria</v>
          </cell>
          <cell r="B14" t="str">
            <v>AUT</v>
          </cell>
          <cell r="C14" t="str">
            <v>EME</v>
          </cell>
          <cell r="F14">
            <v>8111408</v>
          </cell>
          <cell r="G14">
            <v>8137190</v>
          </cell>
          <cell r="H14">
            <v>8171742</v>
          </cell>
          <cell r="I14">
            <v>8212087</v>
          </cell>
          <cell r="J14">
            <v>8253379.9999999991</v>
          </cell>
          <cell r="K14">
            <v>8291978.9999999991</v>
          </cell>
          <cell r="L14">
            <v>8327446</v>
          </cell>
          <cell r="M14">
            <v>8360745.9999999991</v>
          </cell>
          <cell r="N14">
            <v>8391254</v>
          </cell>
          <cell r="O14">
            <v>8418472</v>
          </cell>
          <cell r="P14">
            <v>8442118</v>
          </cell>
          <cell r="Q14">
            <v>8461676</v>
          </cell>
          <cell r="R14">
            <v>8477259</v>
          </cell>
          <cell r="S14">
            <v>8490052</v>
          </cell>
          <cell r="T14">
            <v>8501754</v>
          </cell>
          <cell r="U14">
            <v>8513619</v>
          </cell>
        </row>
        <row r="15">
          <cell r="A15" t="str">
            <v>Azerbaijan</v>
          </cell>
          <cell r="B15" t="str">
            <v>AZE</v>
          </cell>
          <cell r="C15" t="str">
            <v>EEUR</v>
          </cell>
          <cell r="D15" t="str">
            <v>Manat</v>
          </cell>
          <cell r="E15">
            <v>4909.91</v>
          </cell>
          <cell r="F15">
            <v>8143111</v>
          </cell>
          <cell r="G15">
            <v>8189264</v>
          </cell>
          <cell r="H15">
            <v>8228955</v>
          </cell>
          <cell r="I15">
            <v>8266145</v>
          </cell>
          <cell r="J15">
            <v>8305941.0000000009</v>
          </cell>
          <cell r="K15">
            <v>8352021.0000000009</v>
          </cell>
          <cell r="L15">
            <v>8406028</v>
          </cell>
          <cell r="M15">
            <v>8467171</v>
          </cell>
          <cell r="N15">
            <v>8533620</v>
          </cell>
          <cell r="O15">
            <v>8602339</v>
          </cell>
          <cell r="P15">
            <v>8671004</v>
          </cell>
          <cell r="Q15">
            <v>8739108</v>
          </cell>
          <cell r="R15">
            <v>8807098</v>
          </cell>
          <cell r="S15">
            <v>8874658</v>
          </cell>
          <cell r="T15">
            <v>8941605</v>
          </cell>
          <cell r="U15">
            <v>9007672</v>
          </cell>
        </row>
        <row r="16">
          <cell r="A16" t="str">
            <v>Bahamas</v>
          </cell>
          <cell r="B16" t="str">
            <v>BAH</v>
          </cell>
          <cell r="C16" t="str">
            <v>LAC</v>
          </cell>
          <cell r="F16">
            <v>303150</v>
          </cell>
          <cell r="G16">
            <v>307333</v>
          </cell>
          <cell r="H16">
            <v>311397</v>
          </cell>
          <cell r="I16">
            <v>315379</v>
          </cell>
          <cell r="J16">
            <v>319333</v>
          </cell>
          <cell r="K16">
            <v>323295</v>
          </cell>
          <cell r="L16">
            <v>327279</v>
          </cell>
          <cell r="M16">
            <v>331277</v>
          </cell>
          <cell r="N16">
            <v>335286</v>
          </cell>
          <cell r="O16">
            <v>339296</v>
          </cell>
          <cell r="P16">
            <v>343295</v>
          </cell>
          <cell r="Q16">
            <v>347288</v>
          </cell>
          <cell r="R16">
            <v>351274</v>
          </cell>
          <cell r="S16">
            <v>355228</v>
          </cell>
          <cell r="T16">
            <v>359120</v>
          </cell>
          <cell r="U16">
            <v>362929</v>
          </cell>
        </row>
        <row r="17">
          <cell r="A17" t="str">
            <v>Bahrain</v>
          </cell>
          <cell r="B17" t="str">
            <v>BAA</v>
          </cell>
          <cell r="C17" t="str">
            <v>EMR</v>
          </cell>
          <cell r="F17">
            <v>650080</v>
          </cell>
          <cell r="G17">
            <v>664889</v>
          </cell>
          <cell r="H17">
            <v>679991</v>
          </cell>
          <cell r="I17">
            <v>695192</v>
          </cell>
          <cell r="J17">
            <v>710195</v>
          </cell>
          <cell r="K17">
            <v>724788</v>
          </cell>
          <cell r="L17">
            <v>738913</v>
          </cell>
          <cell r="M17">
            <v>752647</v>
          </cell>
          <cell r="N17">
            <v>766071</v>
          </cell>
          <cell r="O17">
            <v>779315</v>
          </cell>
          <cell r="P17">
            <v>792476</v>
          </cell>
          <cell r="Q17">
            <v>805570</v>
          </cell>
          <cell r="R17">
            <v>818563</v>
          </cell>
          <cell r="S17">
            <v>831432</v>
          </cell>
          <cell r="T17">
            <v>844142</v>
          </cell>
          <cell r="U17">
            <v>856668</v>
          </cell>
        </row>
        <row r="18">
          <cell r="A18" t="str">
            <v>Bangladesh</v>
          </cell>
          <cell r="B18" t="str">
            <v>BAN</v>
          </cell>
          <cell r="C18" t="str">
            <v>SEAR</v>
          </cell>
          <cell r="D18" t="str">
            <v>Taka</v>
          </cell>
          <cell r="E18">
            <v>58.423999999999999</v>
          </cell>
          <cell r="F18">
            <v>139434376</v>
          </cell>
          <cell r="G18">
            <v>142166620</v>
          </cell>
          <cell r="H18">
            <v>144943171</v>
          </cell>
          <cell r="I18">
            <v>147741226</v>
          </cell>
          <cell r="J18">
            <v>150528256</v>
          </cell>
          <cell r="K18">
            <v>153281120</v>
          </cell>
          <cell r="L18">
            <v>155990777</v>
          </cell>
          <cell r="M18">
            <v>158664960</v>
          </cell>
          <cell r="N18">
            <v>161317626</v>
          </cell>
          <cell r="O18">
            <v>163970361</v>
          </cell>
          <cell r="P18">
            <v>166638440</v>
          </cell>
          <cell r="Q18">
            <v>169324836</v>
          </cell>
          <cell r="R18">
            <v>172022820</v>
          </cell>
          <cell r="S18">
            <v>174726308</v>
          </cell>
          <cell r="T18">
            <v>177425806</v>
          </cell>
          <cell r="U18">
            <v>180113822</v>
          </cell>
        </row>
        <row r="19">
          <cell r="A19" t="str">
            <v>Barbados</v>
          </cell>
          <cell r="B19" t="str">
            <v>BAR</v>
          </cell>
          <cell r="C19" t="str">
            <v>LAC</v>
          </cell>
          <cell r="F19">
            <v>286437</v>
          </cell>
          <cell r="G19">
            <v>287600</v>
          </cell>
          <cell r="H19">
            <v>288732</v>
          </cell>
          <cell r="I19">
            <v>289834</v>
          </cell>
          <cell r="J19">
            <v>290901</v>
          </cell>
          <cell r="K19">
            <v>291933</v>
          </cell>
          <cell r="L19">
            <v>292930</v>
          </cell>
          <cell r="M19">
            <v>293894</v>
          </cell>
          <cell r="N19">
            <v>294826</v>
          </cell>
          <cell r="O19">
            <v>295725</v>
          </cell>
          <cell r="P19">
            <v>296590</v>
          </cell>
          <cell r="Q19">
            <v>297421</v>
          </cell>
          <cell r="R19">
            <v>298215</v>
          </cell>
          <cell r="S19">
            <v>298969</v>
          </cell>
          <cell r="T19">
            <v>299679</v>
          </cell>
          <cell r="U19">
            <v>300341</v>
          </cell>
        </row>
        <row r="20">
          <cell r="A20" t="str">
            <v>Belarus</v>
          </cell>
          <cell r="B20" t="str">
            <v>BLR</v>
          </cell>
          <cell r="C20" t="str">
            <v>EEUR</v>
          </cell>
          <cell r="F20">
            <v>10052186</v>
          </cell>
          <cell r="G20">
            <v>10001408</v>
          </cell>
          <cell r="H20">
            <v>9950507</v>
          </cell>
          <cell r="I20">
            <v>9899464</v>
          </cell>
          <cell r="J20">
            <v>9847822</v>
          </cell>
          <cell r="K20">
            <v>9795287</v>
          </cell>
          <cell r="L20">
            <v>9742122</v>
          </cell>
          <cell r="M20">
            <v>9688796</v>
          </cell>
          <cell r="N20">
            <v>9635397</v>
          </cell>
          <cell r="O20">
            <v>9581970</v>
          </cell>
          <cell r="P20">
            <v>9528528</v>
          </cell>
          <cell r="Q20">
            <v>9475150</v>
          </cell>
          <cell r="R20">
            <v>9421819</v>
          </cell>
          <cell r="S20">
            <v>9368319</v>
          </cell>
          <cell r="T20">
            <v>9314344</v>
          </cell>
          <cell r="U20">
            <v>9259657</v>
          </cell>
        </row>
        <row r="21">
          <cell r="A21" t="str">
            <v>Belgium</v>
          </cell>
          <cell r="B21" t="str">
            <v>BEL</v>
          </cell>
          <cell r="C21" t="str">
            <v>EME</v>
          </cell>
          <cell r="F21">
            <v>10193094</v>
          </cell>
          <cell r="G21">
            <v>10229003</v>
          </cell>
          <cell r="H21">
            <v>10271133</v>
          </cell>
          <cell r="I21">
            <v>10316246</v>
          </cell>
          <cell r="J21">
            <v>10359678</v>
          </cell>
          <cell r="K21">
            <v>10398049</v>
          </cell>
          <cell r="L21">
            <v>10430281</v>
          </cell>
          <cell r="M21">
            <v>10457344</v>
          </cell>
          <cell r="N21">
            <v>10480390</v>
          </cell>
          <cell r="O21">
            <v>10501376</v>
          </cell>
          <cell r="P21">
            <v>10521760</v>
          </cell>
          <cell r="Q21">
            <v>10541735</v>
          </cell>
          <cell r="R21">
            <v>10560832</v>
          </cell>
          <cell r="S21">
            <v>10579085</v>
          </cell>
          <cell r="T21">
            <v>10596425</v>
          </cell>
          <cell r="U21">
            <v>10612819</v>
          </cell>
        </row>
        <row r="22">
          <cell r="A22" t="str">
            <v>Belize</v>
          </cell>
          <cell r="B22" t="str">
            <v>BLZ</v>
          </cell>
          <cell r="C22" t="str">
            <v>LAC</v>
          </cell>
          <cell r="D22" t="str">
            <v>Belize Dollar</v>
          </cell>
          <cell r="E22">
            <v>2</v>
          </cell>
          <cell r="F22">
            <v>244661</v>
          </cell>
          <cell r="G22">
            <v>250858</v>
          </cell>
          <cell r="H22">
            <v>257056</v>
          </cell>
          <cell r="I22">
            <v>263242</v>
          </cell>
          <cell r="J22">
            <v>269409</v>
          </cell>
          <cell r="K22">
            <v>275546</v>
          </cell>
          <cell r="L22">
            <v>281644</v>
          </cell>
          <cell r="M22">
            <v>287698</v>
          </cell>
          <cell r="N22">
            <v>293717</v>
          </cell>
          <cell r="O22">
            <v>299708</v>
          </cell>
          <cell r="P22">
            <v>305680</v>
          </cell>
          <cell r="Q22">
            <v>311634</v>
          </cell>
          <cell r="R22">
            <v>317562</v>
          </cell>
          <cell r="S22">
            <v>323450</v>
          </cell>
          <cell r="T22">
            <v>329281</v>
          </cell>
          <cell r="U22">
            <v>335042</v>
          </cell>
        </row>
        <row r="23">
          <cell r="A23" t="str">
            <v>Benin</v>
          </cell>
          <cell r="B23" t="str">
            <v>BEN</v>
          </cell>
          <cell r="C23" t="str">
            <v>AFRlow</v>
          </cell>
          <cell r="D23" t="str">
            <v>Franc</v>
          </cell>
          <cell r="E23">
            <v>561.04999999999995</v>
          </cell>
          <cell r="F23">
            <v>7227219</v>
          </cell>
          <cell r="G23">
            <v>7460067</v>
          </cell>
          <cell r="H23">
            <v>7705654</v>
          </cell>
          <cell r="I23">
            <v>7961594</v>
          </cell>
          <cell r="J23">
            <v>8224097</v>
          </cell>
          <cell r="K23">
            <v>8490301</v>
          </cell>
          <cell r="L23">
            <v>8759655</v>
          </cell>
          <cell r="M23">
            <v>9032787</v>
          </cell>
          <cell r="N23">
            <v>9309370</v>
          </cell>
          <cell r="O23">
            <v>9589269</v>
          </cell>
          <cell r="P23">
            <v>9872366</v>
          </cell>
          <cell r="Q23">
            <v>10158201</v>
          </cell>
          <cell r="R23">
            <v>10446525</v>
          </cell>
          <cell r="S23">
            <v>10737735</v>
          </cell>
          <cell r="T23">
            <v>11032474</v>
          </cell>
          <cell r="U23">
            <v>11331143</v>
          </cell>
        </row>
        <row r="24">
          <cell r="A24" t="str">
            <v>Bermuda</v>
          </cell>
          <cell r="B24" t="str">
            <v>BER</v>
          </cell>
          <cell r="C24" t="str">
            <v>LAC</v>
          </cell>
          <cell r="F24">
            <v>62864</v>
          </cell>
          <cell r="G24">
            <v>63145</v>
          </cell>
          <cell r="H24">
            <v>63423</v>
          </cell>
          <cell r="I24">
            <v>63692</v>
          </cell>
          <cell r="J24">
            <v>63944</v>
          </cell>
          <cell r="K24">
            <v>64174</v>
          </cell>
          <cell r="L24">
            <v>64378</v>
          </cell>
          <cell r="M24">
            <v>64559</v>
          </cell>
          <cell r="N24">
            <v>64719</v>
          </cell>
          <cell r="O24">
            <v>64863</v>
          </cell>
          <cell r="P24">
            <v>64995</v>
          </cell>
          <cell r="Q24">
            <v>65115</v>
          </cell>
          <cell r="R24">
            <v>65222</v>
          </cell>
          <cell r="S24">
            <v>65321</v>
          </cell>
          <cell r="T24">
            <v>65411</v>
          </cell>
          <cell r="U24">
            <v>65497</v>
          </cell>
        </row>
        <row r="25">
          <cell r="A25" t="str">
            <v>Bhutan</v>
          </cell>
          <cell r="B25" t="str">
            <v>BHU</v>
          </cell>
          <cell r="C25" t="str">
            <v>SEAR</v>
          </cell>
          <cell r="D25" t="str">
            <v>Ngultrum</v>
          </cell>
          <cell r="E25">
            <v>45.393999999999998</v>
          </cell>
          <cell r="F25">
            <v>558565</v>
          </cell>
          <cell r="G25">
            <v>574296</v>
          </cell>
          <cell r="H25">
            <v>590883</v>
          </cell>
          <cell r="I25">
            <v>607475</v>
          </cell>
          <cell r="J25">
            <v>623082</v>
          </cell>
          <cell r="K25">
            <v>637013</v>
          </cell>
          <cell r="L25">
            <v>648766</v>
          </cell>
          <cell r="M25">
            <v>658481</v>
          </cell>
          <cell r="N25">
            <v>666918</v>
          </cell>
          <cell r="O25">
            <v>675241</v>
          </cell>
          <cell r="P25">
            <v>684282</v>
          </cell>
          <cell r="Q25">
            <v>694271</v>
          </cell>
          <cell r="R25">
            <v>704908</v>
          </cell>
          <cell r="S25">
            <v>715857</v>
          </cell>
          <cell r="T25">
            <v>726585</v>
          </cell>
          <cell r="U25">
            <v>736707</v>
          </cell>
        </row>
        <row r="26">
          <cell r="A26" t="str">
            <v>Bolivia</v>
          </cell>
          <cell r="B26" t="str">
            <v>BOL</v>
          </cell>
          <cell r="C26" t="str">
            <v>LAC</v>
          </cell>
          <cell r="D26" t="str">
            <v>Bolivianos</v>
          </cell>
          <cell r="E26">
            <v>7.7503000000000002</v>
          </cell>
          <cell r="F26">
            <v>8316647.9999999991</v>
          </cell>
          <cell r="G26">
            <v>8488241</v>
          </cell>
          <cell r="H26">
            <v>8661336</v>
          </cell>
          <cell r="I26">
            <v>8835246</v>
          </cell>
          <cell r="J26">
            <v>9009045</v>
          </cell>
          <cell r="K26">
            <v>9182015</v>
          </cell>
          <cell r="L26">
            <v>9353846</v>
          </cell>
          <cell r="M26">
            <v>9524569</v>
          </cell>
          <cell r="N26">
            <v>9694231</v>
          </cell>
          <cell r="O26">
            <v>9863010</v>
          </cell>
          <cell r="P26">
            <v>10031005</v>
          </cell>
          <cell r="Q26">
            <v>10198116</v>
          </cell>
          <cell r="R26">
            <v>10364136</v>
          </cell>
          <cell r="S26">
            <v>10528938</v>
          </cell>
          <cell r="T26">
            <v>10692383</v>
          </cell>
          <cell r="U26">
            <v>10854338</v>
          </cell>
        </row>
        <row r="27">
          <cell r="A27" t="str">
            <v>Bosnia &amp; Herzegovina</v>
          </cell>
          <cell r="B27" t="str">
            <v>BIH</v>
          </cell>
          <cell r="C27" t="str">
            <v>CEUR</v>
          </cell>
          <cell r="F27">
            <v>3787258</v>
          </cell>
          <cell r="G27">
            <v>3846296</v>
          </cell>
          <cell r="H27">
            <v>3880775</v>
          </cell>
          <cell r="I27">
            <v>3896625</v>
          </cell>
          <cell r="J27">
            <v>3905323</v>
          </cell>
          <cell r="K27">
            <v>3915238</v>
          </cell>
          <cell r="L27">
            <v>3926406</v>
          </cell>
          <cell r="M27">
            <v>3934818</v>
          </cell>
          <cell r="N27">
            <v>3940397</v>
          </cell>
          <cell r="O27">
            <v>3942702</v>
          </cell>
          <cell r="P27">
            <v>3941513</v>
          </cell>
          <cell r="Q27">
            <v>3937058</v>
          </cell>
          <cell r="R27">
            <v>3929946</v>
          </cell>
          <cell r="S27">
            <v>3920763</v>
          </cell>
          <cell r="T27">
            <v>3910208</v>
          </cell>
          <cell r="U27">
            <v>3898819</v>
          </cell>
        </row>
        <row r="28">
          <cell r="A28" t="str">
            <v>Botswana</v>
          </cell>
          <cell r="B28" t="str">
            <v>BOT</v>
          </cell>
          <cell r="C28" t="str">
            <v>AFRhigh</v>
          </cell>
          <cell r="D28" t="str">
            <v>Pula</v>
          </cell>
          <cell r="E28">
            <v>4.6512000000000002</v>
          </cell>
          <cell r="F28">
            <v>1728872</v>
          </cell>
          <cell r="G28">
            <v>1753407</v>
          </cell>
          <cell r="H28">
            <v>1775148</v>
          </cell>
          <cell r="I28">
            <v>1795203</v>
          </cell>
          <cell r="J28">
            <v>1815097</v>
          </cell>
          <cell r="K28">
            <v>1835938</v>
          </cell>
          <cell r="L28">
            <v>1858163</v>
          </cell>
          <cell r="M28">
            <v>1881507</v>
          </cell>
          <cell r="N28">
            <v>1905516</v>
          </cell>
          <cell r="O28">
            <v>1929429</v>
          </cell>
          <cell r="P28">
            <v>1952694</v>
          </cell>
          <cell r="Q28">
            <v>1975236</v>
          </cell>
          <cell r="R28">
            <v>1997279</v>
          </cell>
          <cell r="S28">
            <v>2018907</v>
          </cell>
          <cell r="T28">
            <v>2040279</v>
          </cell>
          <cell r="U28">
            <v>2061508</v>
          </cell>
        </row>
        <row r="29">
          <cell r="A29" t="str">
            <v>Brazil</v>
          </cell>
          <cell r="B29" t="str">
            <v>BRA</v>
          </cell>
          <cell r="C29" t="str">
            <v>LAC</v>
          </cell>
          <cell r="D29" t="str">
            <v>Reai</v>
          </cell>
          <cell r="E29">
            <v>2.8610000000000002</v>
          </cell>
          <cell r="F29">
            <v>174160601</v>
          </cell>
          <cell r="G29">
            <v>176701773</v>
          </cell>
          <cell r="H29">
            <v>179246095</v>
          </cell>
          <cell r="I29">
            <v>181787237</v>
          </cell>
          <cell r="J29">
            <v>184317696</v>
          </cell>
          <cell r="K29">
            <v>186830759</v>
          </cell>
          <cell r="L29">
            <v>189322987</v>
          </cell>
          <cell r="M29">
            <v>191790931</v>
          </cell>
          <cell r="N29">
            <v>194227983</v>
          </cell>
          <cell r="O29">
            <v>196626882</v>
          </cell>
          <cell r="P29">
            <v>198981989</v>
          </cell>
          <cell r="Q29">
            <v>201289457</v>
          </cell>
          <cell r="R29">
            <v>203548242</v>
          </cell>
          <cell r="S29">
            <v>205759257</v>
          </cell>
          <cell r="T29">
            <v>207925074</v>
          </cell>
          <cell r="U29">
            <v>210047545</v>
          </cell>
        </row>
        <row r="30">
          <cell r="A30" t="str">
            <v>British Virgin Islands</v>
          </cell>
          <cell r="B30" t="str">
            <v>VIB</v>
          </cell>
          <cell r="C30" t="str">
            <v>LAC</v>
          </cell>
          <cell r="F30">
            <v>20522</v>
          </cell>
          <cell r="G30">
            <v>20867</v>
          </cell>
          <cell r="H30">
            <v>21180</v>
          </cell>
          <cell r="I30">
            <v>21469</v>
          </cell>
          <cell r="J30">
            <v>21745</v>
          </cell>
          <cell r="K30">
            <v>22016</v>
          </cell>
          <cell r="L30">
            <v>22283</v>
          </cell>
          <cell r="M30">
            <v>22545</v>
          </cell>
          <cell r="N30">
            <v>22802</v>
          </cell>
          <cell r="O30">
            <v>23052</v>
          </cell>
          <cell r="P30">
            <v>23296</v>
          </cell>
          <cell r="Q30">
            <v>23534</v>
          </cell>
          <cell r="R30">
            <v>23768</v>
          </cell>
          <cell r="S30">
            <v>23997</v>
          </cell>
          <cell r="T30">
            <v>24222</v>
          </cell>
          <cell r="U30">
            <v>24445</v>
          </cell>
        </row>
        <row r="31">
          <cell r="A31" t="str">
            <v>Brunei Darussalam</v>
          </cell>
          <cell r="B31" t="str">
            <v>BRU</v>
          </cell>
          <cell r="C31" t="str">
            <v>WPR</v>
          </cell>
          <cell r="F31">
            <v>333469</v>
          </cell>
          <cell r="G31">
            <v>341416</v>
          </cell>
          <cell r="H31">
            <v>349456</v>
          </cell>
          <cell r="I31">
            <v>357562</v>
          </cell>
          <cell r="J31">
            <v>365697</v>
          </cell>
          <cell r="K31">
            <v>373831</v>
          </cell>
          <cell r="L31">
            <v>381952</v>
          </cell>
          <cell r="M31">
            <v>390058</v>
          </cell>
          <cell r="N31">
            <v>398142</v>
          </cell>
          <cell r="O31">
            <v>406196</v>
          </cell>
          <cell r="P31">
            <v>414215</v>
          </cell>
          <cell r="Q31">
            <v>422191</v>
          </cell>
          <cell r="R31">
            <v>430117</v>
          </cell>
          <cell r="S31">
            <v>437981</v>
          </cell>
          <cell r="T31">
            <v>445775</v>
          </cell>
          <cell r="U31">
            <v>453488</v>
          </cell>
        </row>
        <row r="32">
          <cell r="A32" t="str">
            <v>Bulgaria</v>
          </cell>
          <cell r="B32" t="str">
            <v>BUL</v>
          </cell>
          <cell r="C32" t="str">
            <v>EEUR</v>
          </cell>
          <cell r="F32">
            <v>8002519</v>
          </cell>
          <cell r="G32">
            <v>7945937</v>
          </cell>
          <cell r="H32">
            <v>7893633</v>
          </cell>
          <cell r="I32">
            <v>7843980</v>
          </cell>
          <cell r="J32">
            <v>7794837</v>
          </cell>
          <cell r="K32">
            <v>7744591</v>
          </cell>
          <cell r="L32">
            <v>7692546</v>
          </cell>
          <cell r="M32">
            <v>7638830</v>
          </cell>
          <cell r="N32">
            <v>7583684</v>
          </cell>
          <cell r="O32">
            <v>7527700</v>
          </cell>
          <cell r="P32">
            <v>7471300</v>
          </cell>
          <cell r="Q32">
            <v>7414396</v>
          </cell>
          <cell r="R32">
            <v>7356711</v>
          </cell>
          <cell r="S32">
            <v>7298300</v>
          </cell>
          <cell r="T32">
            <v>7239239</v>
          </cell>
          <cell r="U32">
            <v>7179590</v>
          </cell>
        </row>
        <row r="33">
          <cell r="A33" t="str">
            <v>Burkina Faso</v>
          </cell>
          <cell r="B33" t="str">
            <v>BFA</v>
          </cell>
          <cell r="C33" t="str">
            <v>AFRlow</v>
          </cell>
          <cell r="D33" t="str">
            <v>Franc</v>
          </cell>
          <cell r="E33">
            <v>561.04999999999995</v>
          </cell>
          <cell r="F33">
            <v>11881774</v>
          </cell>
          <cell r="G33">
            <v>12261952</v>
          </cell>
          <cell r="H33">
            <v>12663998</v>
          </cell>
          <cell r="I33">
            <v>13081911</v>
          </cell>
          <cell r="J33">
            <v>13507102</v>
          </cell>
          <cell r="K33">
            <v>13933363</v>
          </cell>
          <cell r="L33">
            <v>14358500</v>
          </cell>
          <cell r="M33">
            <v>14784289</v>
          </cell>
          <cell r="N33">
            <v>15213314</v>
          </cell>
          <cell r="O33">
            <v>15649816</v>
          </cell>
          <cell r="P33">
            <v>16096848</v>
          </cell>
          <cell r="Q33">
            <v>16554801</v>
          </cell>
          <cell r="R33">
            <v>17022377</v>
          </cell>
          <cell r="S33">
            <v>17498962</v>
          </cell>
          <cell r="T33">
            <v>17983503</v>
          </cell>
          <cell r="U33">
            <v>18475153</v>
          </cell>
        </row>
        <row r="34">
          <cell r="A34" t="str">
            <v>Burundi</v>
          </cell>
          <cell r="B34" t="str">
            <v>BUU</v>
          </cell>
          <cell r="C34" t="str">
            <v>AFRhigh</v>
          </cell>
          <cell r="D34" t="str">
            <v>Franc</v>
          </cell>
          <cell r="E34">
            <v>1073.25</v>
          </cell>
          <cell r="F34">
            <v>6668084</v>
          </cell>
          <cell r="G34">
            <v>6839210</v>
          </cell>
          <cell r="H34">
            <v>7049129</v>
          </cell>
          <cell r="I34">
            <v>7293788</v>
          </cell>
          <cell r="J34">
            <v>7565782</v>
          </cell>
          <cell r="K34">
            <v>7858791</v>
          </cell>
          <cell r="L34">
            <v>8173070</v>
          </cell>
          <cell r="M34">
            <v>8508229</v>
          </cell>
          <cell r="N34">
            <v>8856221</v>
          </cell>
          <cell r="O34">
            <v>9206890</v>
          </cell>
          <cell r="P34">
            <v>9552918</v>
          </cell>
          <cell r="Q34">
            <v>9890426</v>
          </cell>
          <cell r="R34">
            <v>10220757</v>
          </cell>
          <cell r="S34">
            <v>10548390</v>
          </cell>
          <cell r="T34">
            <v>10880570</v>
          </cell>
          <cell r="U34">
            <v>11222569</v>
          </cell>
        </row>
        <row r="35">
          <cell r="A35" t="str">
            <v>Cambodia</v>
          </cell>
          <cell r="B35" t="str">
            <v>CAM</v>
          </cell>
          <cell r="C35" t="str">
            <v>WPR</v>
          </cell>
          <cell r="D35" t="str">
            <v>Riel</v>
          </cell>
          <cell r="E35">
            <v>4001</v>
          </cell>
          <cell r="F35">
            <v>12779568</v>
          </cell>
          <cell r="G35">
            <v>13023501</v>
          </cell>
          <cell r="H35">
            <v>13258758</v>
          </cell>
          <cell r="I35">
            <v>13489330</v>
          </cell>
          <cell r="J35">
            <v>13720274</v>
          </cell>
          <cell r="K35">
            <v>13955507</v>
          </cell>
          <cell r="L35">
            <v>14196611</v>
          </cell>
          <cell r="M35">
            <v>14443678</v>
          </cell>
          <cell r="N35">
            <v>14697217</v>
          </cell>
          <cell r="O35">
            <v>14957208</v>
          </cell>
          <cell r="P35">
            <v>15223505</v>
          </cell>
          <cell r="Q35">
            <v>15496504</v>
          </cell>
          <cell r="R35">
            <v>15776188</v>
          </cell>
          <cell r="S35">
            <v>16061313</v>
          </cell>
          <cell r="T35">
            <v>16350115</v>
          </cell>
          <cell r="U35">
            <v>16641072</v>
          </cell>
        </row>
        <row r="36">
          <cell r="A36" t="str">
            <v>Cameroon</v>
          </cell>
          <cell r="B36" t="str">
            <v>CAE</v>
          </cell>
          <cell r="C36" t="str">
            <v>AFRhigh</v>
          </cell>
          <cell r="D36" t="str">
            <v>Franc</v>
          </cell>
          <cell r="E36">
            <v>564.41</v>
          </cell>
          <cell r="F36">
            <v>15860778</v>
          </cell>
          <cell r="G36">
            <v>16240110</v>
          </cell>
          <cell r="H36">
            <v>16627376</v>
          </cell>
          <cell r="I36">
            <v>17018907</v>
          </cell>
          <cell r="J36">
            <v>17409433</v>
          </cell>
          <cell r="K36">
            <v>17795149</v>
          </cell>
          <cell r="L36">
            <v>18174696</v>
          </cell>
          <cell r="M36">
            <v>18549179</v>
          </cell>
          <cell r="N36">
            <v>18920236</v>
          </cell>
          <cell r="O36">
            <v>19290538</v>
          </cell>
          <cell r="P36">
            <v>19661991</v>
          </cell>
          <cell r="Q36">
            <v>20034913</v>
          </cell>
          <cell r="R36">
            <v>20408452</v>
          </cell>
          <cell r="S36">
            <v>20781972</v>
          </cell>
          <cell r="T36">
            <v>21154471</v>
          </cell>
          <cell r="U36">
            <v>21525198</v>
          </cell>
        </row>
        <row r="37">
          <cell r="A37" t="str">
            <v>Canada</v>
          </cell>
          <cell r="B37" t="str">
            <v>CAN</v>
          </cell>
          <cell r="C37" t="str">
            <v>EME</v>
          </cell>
          <cell r="F37">
            <v>30689036</v>
          </cell>
          <cell r="G37">
            <v>30991926</v>
          </cell>
          <cell r="H37">
            <v>31308230</v>
          </cell>
          <cell r="I37">
            <v>31632169</v>
          </cell>
          <cell r="J37">
            <v>31955042</v>
          </cell>
          <cell r="K37">
            <v>32270507</v>
          </cell>
          <cell r="L37">
            <v>32576860</v>
          </cell>
          <cell r="M37">
            <v>32876045</v>
          </cell>
          <cell r="N37">
            <v>33169733.999999996</v>
          </cell>
          <cell r="O37">
            <v>33460860.999999996</v>
          </cell>
          <cell r="P37">
            <v>33751570</v>
          </cell>
          <cell r="Q37">
            <v>34041966</v>
          </cell>
          <cell r="R37">
            <v>34331141</v>
          </cell>
          <cell r="S37">
            <v>34619080</v>
          </cell>
          <cell r="T37">
            <v>34905630</v>
          </cell>
          <cell r="U37">
            <v>35190631</v>
          </cell>
        </row>
        <row r="38">
          <cell r="A38" t="str">
            <v>Cape Verde</v>
          </cell>
          <cell r="B38" t="str">
            <v>CAV</v>
          </cell>
          <cell r="C38" t="str">
            <v>AFRlow</v>
          </cell>
          <cell r="D38" t="str">
            <v>Escudo</v>
          </cell>
          <cell r="E38">
            <v>94.316000000000003</v>
          </cell>
          <cell r="F38">
            <v>450597</v>
          </cell>
          <cell r="G38">
            <v>461331</v>
          </cell>
          <cell r="H38">
            <v>472372</v>
          </cell>
          <cell r="I38">
            <v>483675</v>
          </cell>
          <cell r="J38">
            <v>495171</v>
          </cell>
          <cell r="K38">
            <v>506807</v>
          </cell>
          <cell r="L38">
            <v>518562</v>
          </cell>
          <cell r="M38">
            <v>530438</v>
          </cell>
          <cell r="N38">
            <v>542422</v>
          </cell>
          <cell r="O38">
            <v>554505</v>
          </cell>
          <cell r="P38">
            <v>566677</v>
          </cell>
          <cell r="Q38">
            <v>578925</v>
          </cell>
          <cell r="R38">
            <v>591231</v>
          </cell>
          <cell r="S38">
            <v>603575</v>
          </cell>
          <cell r="T38">
            <v>615934</v>
          </cell>
          <cell r="U38">
            <v>628293</v>
          </cell>
        </row>
        <row r="39">
          <cell r="A39" t="str">
            <v>Cayman Islands</v>
          </cell>
          <cell r="B39" t="str">
            <v>CAY</v>
          </cell>
          <cell r="C39" t="str">
            <v>LAC</v>
          </cell>
          <cell r="F39">
            <v>40232</v>
          </cell>
          <cell r="G39">
            <v>41494</v>
          </cell>
          <cell r="H39">
            <v>42649</v>
          </cell>
          <cell r="I39">
            <v>43706</v>
          </cell>
          <cell r="J39">
            <v>44682</v>
          </cell>
          <cell r="K39">
            <v>45591</v>
          </cell>
          <cell r="L39">
            <v>46435</v>
          </cell>
          <cell r="M39">
            <v>47210</v>
          </cell>
          <cell r="N39">
            <v>47919</v>
          </cell>
          <cell r="O39">
            <v>48565</v>
          </cell>
          <cell r="P39">
            <v>49153</v>
          </cell>
          <cell r="Q39">
            <v>49684</v>
          </cell>
          <cell r="R39">
            <v>50165</v>
          </cell>
          <cell r="S39">
            <v>50610</v>
          </cell>
          <cell r="T39">
            <v>51037</v>
          </cell>
          <cell r="U39">
            <v>51459</v>
          </cell>
        </row>
        <row r="40">
          <cell r="A40" t="str">
            <v>Central African Republic</v>
          </cell>
          <cell r="B40" t="str">
            <v>CAF</v>
          </cell>
          <cell r="C40" t="str">
            <v>AFRhigh</v>
          </cell>
          <cell r="D40" t="str">
            <v>Franc</v>
          </cell>
          <cell r="E40">
            <v>561.04999999999995</v>
          </cell>
          <cell r="F40">
            <v>3863718</v>
          </cell>
          <cell r="G40">
            <v>3933039</v>
          </cell>
          <cell r="H40">
            <v>3997410</v>
          </cell>
          <cell r="I40">
            <v>4059572</v>
          </cell>
          <cell r="J40">
            <v>4123325</v>
          </cell>
          <cell r="K40">
            <v>4191429</v>
          </cell>
          <cell r="L40">
            <v>4264806</v>
          </cell>
          <cell r="M40">
            <v>4342736</v>
          </cell>
          <cell r="N40">
            <v>4424292</v>
          </cell>
          <cell r="O40">
            <v>4507875</v>
          </cell>
          <cell r="P40">
            <v>4592236</v>
          </cell>
          <cell r="Q40">
            <v>4677254</v>
          </cell>
          <cell r="R40">
            <v>4763160</v>
          </cell>
          <cell r="S40">
            <v>4849423</v>
          </cell>
          <cell r="T40">
            <v>4935455</v>
          </cell>
          <cell r="U40">
            <v>5020797</v>
          </cell>
        </row>
        <row r="41">
          <cell r="A41" t="str">
            <v>Chad</v>
          </cell>
          <cell r="B41" t="str">
            <v>CHA</v>
          </cell>
          <cell r="C41" t="str">
            <v>AFRlow</v>
          </cell>
          <cell r="D41" t="str">
            <v>Franc</v>
          </cell>
          <cell r="E41">
            <v>561.04999999999995</v>
          </cell>
          <cell r="F41">
            <v>8465430</v>
          </cell>
          <cell r="G41">
            <v>8782786</v>
          </cell>
          <cell r="H41">
            <v>9118887</v>
          </cell>
          <cell r="I41">
            <v>9465233</v>
          </cell>
          <cell r="J41">
            <v>9810218</v>
          </cell>
          <cell r="K41">
            <v>10145609</v>
          </cell>
          <cell r="L41">
            <v>10468179</v>
          </cell>
          <cell r="M41">
            <v>10780573</v>
          </cell>
          <cell r="N41">
            <v>11087698</v>
          </cell>
          <cell r="O41">
            <v>11397225</v>
          </cell>
          <cell r="P41">
            <v>11714904</v>
          </cell>
          <cell r="Q41">
            <v>12042161</v>
          </cell>
          <cell r="R41">
            <v>12377650</v>
          </cell>
          <cell r="S41">
            <v>12721125</v>
          </cell>
          <cell r="T41">
            <v>13071630</v>
          </cell>
          <cell r="U41">
            <v>13428620</v>
          </cell>
        </row>
        <row r="42">
          <cell r="A42" t="str">
            <v>Chile</v>
          </cell>
          <cell r="B42" t="str">
            <v>CHI</v>
          </cell>
          <cell r="C42" t="str">
            <v>LAC</v>
          </cell>
          <cell r="F42">
            <v>15411830</v>
          </cell>
          <cell r="G42">
            <v>15596338</v>
          </cell>
          <cell r="H42">
            <v>15775677</v>
          </cell>
          <cell r="I42">
            <v>15951029</v>
          </cell>
          <cell r="J42">
            <v>16123815</v>
          </cell>
          <cell r="K42">
            <v>16295102</v>
          </cell>
          <cell r="L42">
            <v>16465419.000000002</v>
          </cell>
          <cell r="M42">
            <v>16634758.000000002</v>
          </cell>
          <cell r="N42">
            <v>16802953</v>
          </cell>
          <cell r="O42">
            <v>16969574</v>
          </cell>
          <cell r="P42">
            <v>17134263</v>
          </cell>
          <cell r="Q42">
            <v>17297076</v>
          </cell>
          <cell r="R42">
            <v>17458066</v>
          </cell>
          <cell r="S42">
            <v>17616820</v>
          </cell>
          <cell r="T42">
            <v>17772805</v>
          </cell>
          <cell r="U42">
            <v>17925603</v>
          </cell>
        </row>
        <row r="43">
          <cell r="A43" t="str">
            <v>China</v>
          </cell>
          <cell r="B43" t="str">
            <v>CHN</v>
          </cell>
          <cell r="C43" t="str">
            <v>WPR</v>
          </cell>
          <cell r="D43" t="str">
            <v>Yuan</v>
          </cell>
          <cell r="E43">
            <v>8.2767999999999997</v>
          </cell>
          <cell r="F43">
            <v>1269961711</v>
          </cell>
          <cell r="G43">
            <v>1279485526</v>
          </cell>
          <cell r="H43">
            <v>1288400832</v>
          </cell>
          <cell r="I43">
            <v>1296838416</v>
          </cell>
          <cell r="J43">
            <v>1304983325</v>
          </cell>
          <cell r="K43">
            <v>1312978855</v>
          </cell>
          <cell r="L43">
            <v>1320864226</v>
          </cell>
          <cell r="M43">
            <v>1328629911</v>
          </cell>
          <cell r="N43">
            <v>1336310713</v>
          </cell>
          <cell r="O43">
            <v>1343932885</v>
          </cell>
          <cell r="P43">
            <v>1351512494</v>
          </cell>
          <cell r="Q43">
            <v>1359068661</v>
          </cell>
          <cell r="R43">
            <v>1366599088</v>
          </cell>
          <cell r="S43">
            <v>1374066829</v>
          </cell>
          <cell r="T43">
            <v>1381416319</v>
          </cell>
          <cell r="U43">
            <v>1388599811</v>
          </cell>
        </row>
        <row r="44">
          <cell r="A44" t="str">
            <v>China, Hong Kong SAR</v>
          </cell>
          <cell r="B44" t="str">
            <v>HOK</v>
          </cell>
          <cell r="C44" t="str">
            <v>WPR</v>
          </cell>
          <cell r="F44">
            <v>6662170</v>
          </cell>
          <cell r="G44">
            <v>6745642</v>
          </cell>
          <cell r="H44">
            <v>6826365</v>
          </cell>
          <cell r="I44">
            <v>6904815</v>
          </cell>
          <cell r="J44">
            <v>6981667</v>
          </cell>
          <cell r="K44">
            <v>7057418</v>
          </cell>
          <cell r="L44">
            <v>7132261</v>
          </cell>
          <cell r="M44">
            <v>7206088</v>
          </cell>
          <cell r="N44">
            <v>7278734</v>
          </cell>
          <cell r="O44">
            <v>7349909</v>
          </cell>
          <cell r="P44">
            <v>7419413</v>
          </cell>
          <cell r="Q44">
            <v>7487223</v>
          </cell>
          <cell r="R44">
            <v>7553471</v>
          </cell>
          <cell r="S44">
            <v>7618290</v>
          </cell>
          <cell r="T44">
            <v>7681874</v>
          </cell>
          <cell r="U44">
            <v>7744361</v>
          </cell>
        </row>
        <row r="45">
          <cell r="A45" t="str">
            <v>China, Macao SAR</v>
          </cell>
          <cell r="B45" t="str">
            <v>MAC</v>
          </cell>
          <cell r="C45" t="str">
            <v>WPR</v>
          </cell>
          <cell r="F45">
            <v>441063</v>
          </cell>
          <cell r="G45">
            <v>447562</v>
          </cell>
          <cell r="H45">
            <v>454426</v>
          </cell>
          <cell r="I45">
            <v>461290</v>
          </cell>
          <cell r="J45">
            <v>467631</v>
          </cell>
          <cell r="K45">
            <v>473090</v>
          </cell>
          <cell r="L45">
            <v>477534</v>
          </cell>
          <cell r="M45">
            <v>481122</v>
          </cell>
          <cell r="N45">
            <v>484131</v>
          </cell>
          <cell r="O45">
            <v>486975</v>
          </cell>
          <cell r="P45">
            <v>489961</v>
          </cell>
          <cell r="Q45">
            <v>493167</v>
          </cell>
          <cell r="R45">
            <v>496514</v>
          </cell>
          <cell r="S45">
            <v>499961</v>
          </cell>
          <cell r="T45">
            <v>503417</v>
          </cell>
          <cell r="U45">
            <v>506811</v>
          </cell>
        </row>
        <row r="46">
          <cell r="A46" t="str">
            <v>Colombia</v>
          </cell>
          <cell r="B46" t="str">
            <v>COL</v>
          </cell>
          <cell r="C46" t="str">
            <v>LAC</v>
          </cell>
          <cell r="D46" t="str">
            <v>Peso</v>
          </cell>
          <cell r="E46">
            <v>2876.2</v>
          </cell>
          <cell r="F46">
            <v>41682594</v>
          </cell>
          <cell r="G46">
            <v>42354499</v>
          </cell>
          <cell r="H46">
            <v>43019308</v>
          </cell>
          <cell r="I46">
            <v>43674544</v>
          </cell>
          <cell r="J46">
            <v>44317343</v>
          </cell>
          <cell r="K46">
            <v>44945790</v>
          </cell>
          <cell r="L46">
            <v>45558450</v>
          </cell>
          <cell r="M46">
            <v>46155958</v>
          </cell>
          <cell r="N46">
            <v>46741096</v>
          </cell>
          <cell r="O46">
            <v>47317963</v>
          </cell>
          <cell r="P46">
            <v>47889550</v>
          </cell>
          <cell r="Q46">
            <v>48456604</v>
          </cell>
          <cell r="R46">
            <v>49018253</v>
          </cell>
          <cell r="S46">
            <v>49573903</v>
          </cell>
          <cell r="T46">
            <v>50122420</v>
          </cell>
          <cell r="U46">
            <v>50662890</v>
          </cell>
        </row>
        <row r="47">
          <cell r="A47" t="str">
            <v>Comoros</v>
          </cell>
          <cell r="B47" t="str">
            <v>COM</v>
          </cell>
          <cell r="C47" t="str">
            <v>AFRlow</v>
          </cell>
          <cell r="D47" t="str">
            <v>Franc</v>
          </cell>
          <cell r="E47">
            <v>420.79</v>
          </cell>
          <cell r="F47">
            <v>699035</v>
          </cell>
          <cell r="G47">
            <v>718329</v>
          </cell>
          <cell r="H47">
            <v>737851</v>
          </cell>
          <cell r="I47">
            <v>757608</v>
          </cell>
          <cell r="J47">
            <v>777622</v>
          </cell>
          <cell r="K47">
            <v>797902</v>
          </cell>
          <cell r="L47">
            <v>818437</v>
          </cell>
          <cell r="M47">
            <v>839189</v>
          </cell>
          <cell r="N47">
            <v>860100</v>
          </cell>
          <cell r="O47">
            <v>881098</v>
          </cell>
          <cell r="P47">
            <v>902125</v>
          </cell>
          <cell r="Q47">
            <v>923158</v>
          </cell>
          <cell r="R47">
            <v>944194</v>
          </cell>
          <cell r="S47">
            <v>965215</v>
          </cell>
          <cell r="T47">
            <v>986213</v>
          </cell>
          <cell r="U47">
            <v>1007182</v>
          </cell>
        </row>
        <row r="48">
          <cell r="A48" t="str">
            <v>Congo</v>
          </cell>
          <cell r="B48" t="str">
            <v>CNG</v>
          </cell>
          <cell r="C48" t="str">
            <v>AFRhigh</v>
          </cell>
          <cell r="D48" t="str">
            <v>Franc</v>
          </cell>
          <cell r="E48">
            <v>561.04999999999995</v>
          </cell>
          <cell r="F48">
            <v>3202861</v>
          </cell>
          <cell r="G48">
            <v>3285163</v>
          </cell>
          <cell r="H48">
            <v>3367143</v>
          </cell>
          <cell r="I48">
            <v>3448646</v>
          </cell>
          <cell r="J48">
            <v>3529551</v>
          </cell>
          <cell r="K48">
            <v>3609851</v>
          </cell>
          <cell r="L48">
            <v>3689299</v>
          </cell>
          <cell r="M48">
            <v>3768087</v>
          </cell>
          <cell r="N48">
            <v>3847191</v>
          </cell>
          <cell r="O48">
            <v>3927932</v>
          </cell>
          <cell r="P48">
            <v>4011220</v>
          </cell>
          <cell r="Q48">
            <v>4097463</v>
          </cell>
          <cell r="R48">
            <v>4186291</v>
          </cell>
          <cell r="S48">
            <v>4276871</v>
          </cell>
          <cell r="T48">
            <v>4367964</v>
          </cell>
          <cell r="U48">
            <v>4458662</v>
          </cell>
        </row>
        <row r="49">
          <cell r="A49" t="str">
            <v>Cook Islands</v>
          </cell>
          <cell r="B49" t="str">
            <v>COK</v>
          </cell>
          <cell r="C49" t="str">
            <v>WPR</v>
          </cell>
          <cell r="F49">
            <v>15982</v>
          </cell>
          <cell r="G49">
            <v>15536</v>
          </cell>
          <cell r="H49">
            <v>15117</v>
          </cell>
          <cell r="I49">
            <v>14721</v>
          </cell>
          <cell r="J49">
            <v>14346</v>
          </cell>
          <cell r="K49">
            <v>13984</v>
          </cell>
          <cell r="L49">
            <v>13641</v>
          </cell>
          <cell r="M49">
            <v>13325</v>
          </cell>
          <cell r="N49">
            <v>13032</v>
          </cell>
          <cell r="O49">
            <v>12761</v>
          </cell>
          <cell r="P49">
            <v>12510</v>
          </cell>
          <cell r="Q49">
            <v>12277</v>
          </cell>
          <cell r="R49">
            <v>12065</v>
          </cell>
          <cell r="S49">
            <v>11877</v>
          </cell>
          <cell r="T49">
            <v>11724</v>
          </cell>
          <cell r="U49">
            <v>11609</v>
          </cell>
        </row>
        <row r="50">
          <cell r="A50" t="str">
            <v>Costa Rica</v>
          </cell>
          <cell r="B50" t="str">
            <v>COR</v>
          </cell>
          <cell r="C50" t="str">
            <v>LAC</v>
          </cell>
          <cell r="D50" t="str">
            <v>Colone</v>
          </cell>
          <cell r="E50">
            <v>410.35</v>
          </cell>
          <cell r="F50">
            <v>3928797</v>
          </cell>
          <cell r="G50">
            <v>4014435</v>
          </cell>
          <cell r="H50">
            <v>4096943</v>
          </cell>
          <cell r="I50">
            <v>4176372</v>
          </cell>
          <cell r="J50">
            <v>4253037</v>
          </cell>
          <cell r="K50">
            <v>4327228</v>
          </cell>
          <cell r="L50">
            <v>4398770</v>
          </cell>
          <cell r="M50">
            <v>4467626</v>
          </cell>
          <cell r="N50">
            <v>4534435</v>
          </cell>
          <cell r="O50">
            <v>4600059</v>
          </cell>
          <cell r="P50">
            <v>4665140</v>
          </cell>
          <cell r="Q50">
            <v>4729947</v>
          </cell>
          <cell r="R50">
            <v>4794376</v>
          </cell>
          <cell r="S50">
            <v>4858235</v>
          </cell>
          <cell r="T50">
            <v>4921165</v>
          </cell>
          <cell r="U50">
            <v>4982917</v>
          </cell>
        </row>
        <row r="51">
          <cell r="A51" t="str">
            <v>Côte d'Ivoire</v>
          </cell>
          <cell r="B51" t="str">
            <v>IVC</v>
          </cell>
          <cell r="C51" t="str">
            <v>AFRhigh</v>
          </cell>
          <cell r="D51" t="str">
            <v>Franc</v>
          </cell>
          <cell r="E51">
            <v>561.04999999999995</v>
          </cell>
          <cell r="F51">
            <v>17049189</v>
          </cell>
          <cell r="G51">
            <v>17384828</v>
          </cell>
          <cell r="H51">
            <v>17691452</v>
          </cell>
          <cell r="I51">
            <v>17982164</v>
          </cell>
          <cell r="J51">
            <v>18275382</v>
          </cell>
          <cell r="K51">
            <v>18584701</v>
          </cell>
          <cell r="L51">
            <v>18914474</v>
          </cell>
          <cell r="M51">
            <v>19261825</v>
          </cell>
          <cell r="N51">
            <v>19624236</v>
          </cell>
          <cell r="O51">
            <v>19996522</v>
          </cell>
          <cell r="P51">
            <v>20374642</v>
          </cell>
          <cell r="Q51">
            <v>20758696</v>
          </cell>
          <cell r="R51">
            <v>21149793</v>
          </cell>
          <cell r="S51">
            <v>21545804</v>
          </cell>
          <cell r="T51">
            <v>21944088</v>
          </cell>
          <cell r="U51">
            <v>22342541</v>
          </cell>
        </row>
        <row r="52">
          <cell r="A52" t="str">
            <v>Croatia</v>
          </cell>
          <cell r="B52" t="str">
            <v>CRO</v>
          </cell>
          <cell r="C52" t="str">
            <v>CEUR</v>
          </cell>
          <cell r="F52">
            <v>4505558</v>
          </cell>
          <cell r="G52">
            <v>4498193</v>
          </cell>
          <cell r="H52">
            <v>4505689</v>
          </cell>
          <cell r="I52">
            <v>4522480</v>
          </cell>
          <cell r="J52">
            <v>4539878</v>
          </cell>
          <cell r="K52">
            <v>4551490</v>
          </cell>
          <cell r="L52">
            <v>4556020</v>
          </cell>
          <cell r="M52">
            <v>4555402</v>
          </cell>
          <cell r="N52">
            <v>4550273</v>
          </cell>
          <cell r="O52">
            <v>4542138</v>
          </cell>
          <cell r="P52">
            <v>4532155</v>
          </cell>
          <cell r="Q52">
            <v>4520128</v>
          </cell>
          <cell r="R52">
            <v>4505610</v>
          </cell>
          <cell r="S52">
            <v>4489319</v>
          </cell>
          <cell r="T52">
            <v>4472188</v>
          </cell>
          <cell r="U52">
            <v>4454922</v>
          </cell>
        </row>
        <row r="53">
          <cell r="A53" t="str">
            <v>Cuba</v>
          </cell>
          <cell r="B53" t="str">
            <v>CUB</v>
          </cell>
          <cell r="C53" t="str">
            <v>LAC</v>
          </cell>
          <cell r="F53">
            <v>11142065</v>
          </cell>
          <cell r="G53">
            <v>11173872</v>
          </cell>
          <cell r="H53">
            <v>11202599</v>
          </cell>
          <cell r="I53">
            <v>11227307</v>
          </cell>
          <cell r="J53">
            <v>11246670</v>
          </cell>
          <cell r="K53">
            <v>11259905</v>
          </cell>
          <cell r="L53">
            <v>11266701</v>
          </cell>
          <cell r="M53">
            <v>11267884</v>
          </cell>
          <cell r="N53">
            <v>11265216</v>
          </cell>
          <cell r="O53">
            <v>11261104</v>
          </cell>
          <cell r="P53">
            <v>11257369</v>
          </cell>
          <cell r="Q53">
            <v>11254651</v>
          </cell>
          <cell r="R53">
            <v>11252746</v>
          </cell>
          <cell r="S53">
            <v>11251580</v>
          </cell>
          <cell r="T53">
            <v>11250783</v>
          </cell>
          <cell r="U53">
            <v>11250063</v>
          </cell>
        </row>
        <row r="54">
          <cell r="A54" t="str">
            <v>Cyprus</v>
          </cell>
          <cell r="B54" t="str">
            <v>CYP</v>
          </cell>
          <cell r="C54" t="str">
            <v>CEUR</v>
          </cell>
          <cell r="F54">
            <v>786339</v>
          </cell>
          <cell r="G54">
            <v>796883</v>
          </cell>
          <cell r="H54">
            <v>807132</v>
          </cell>
          <cell r="I54">
            <v>817095</v>
          </cell>
          <cell r="J54">
            <v>826812</v>
          </cell>
          <cell r="K54">
            <v>836321</v>
          </cell>
          <cell r="L54">
            <v>845605</v>
          </cell>
          <cell r="M54">
            <v>854673</v>
          </cell>
          <cell r="N54">
            <v>863624</v>
          </cell>
          <cell r="O54">
            <v>872587</v>
          </cell>
          <cell r="P54">
            <v>881654</v>
          </cell>
          <cell r="Q54">
            <v>890860</v>
          </cell>
          <cell r="R54">
            <v>900183</v>
          </cell>
          <cell r="S54">
            <v>909597</v>
          </cell>
          <cell r="T54">
            <v>919053</v>
          </cell>
          <cell r="U54">
            <v>928508</v>
          </cell>
        </row>
        <row r="55">
          <cell r="A55" t="str">
            <v>Czech Republic</v>
          </cell>
          <cell r="B55" t="str">
            <v>CZH</v>
          </cell>
          <cell r="C55" t="str">
            <v>EME</v>
          </cell>
          <cell r="F55">
            <v>10220420</v>
          </cell>
          <cell r="G55">
            <v>10209013</v>
          </cell>
          <cell r="H55">
            <v>10201659</v>
          </cell>
          <cell r="I55">
            <v>10197380</v>
          </cell>
          <cell r="J55">
            <v>10194511</v>
          </cell>
          <cell r="K55">
            <v>10191762</v>
          </cell>
          <cell r="L55">
            <v>10188957</v>
          </cell>
          <cell r="M55">
            <v>10186330</v>
          </cell>
          <cell r="N55">
            <v>10183437</v>
          </cell>
          <cell r="O55">
            <v>10179804</v>
          </cell>
          <cell r="P55">
            <v>10175048</v>
          </cell>
          <cell r="Q55">
            <v>10168877</v>
          </cell>
          <cell r="R55">
            <v>10161156</v>
          </cell>
          <cell r="S55">
            <v>10151872</v>
          </cell>
          <cell r="T55">
            <v>10141108</v>
          </cell>
          <cell r="U55">
            <v>10128906</v>
          </cell>
        </row>
        <row r="56">
          <cell r="A56" t="str">
            <v>Denmark</v>
          </cell>
          <cell r="B56" t="str">
            <v>DEN</v>
          </cell>
          <cell r="C56" t="str">
            <v>EME</v>
          </cell>
          <cell r="F56">
            <v>5335385</v>
          </cell>
          <cell r="G56">
            <v>5354323</v>
          </cell>
          <cell r="H56">
            <v>5371803</v>
          </cell>
          <cell r="I56">
            <v>5387921</v>
          </cell>
          <cell r="J56">
            <v>5402909</v>
          </cell>
          <cell r="K56">
            <v>5416945</v>
          </cell>
          <cell r="L56">
            <v>5430033</v>
          </cell>
          <cell r="M56">
            <v>5442105</v>
          </cell>
          <cell r="N56">
            <v>5453204</v>
          </cell>
          <cell r="O56">
            <v>5463384</v>
          </cell>
          <cell r="P56">
            <v>5472713</v>
          </cell>
          <cell r="Q56">
            <v>5481221</v>
          </cell>
          <cell r="R56">
            <v>5488996</v>
          </cell>
          <cell r="S56">
            <v>5496228</v>
          </cell>
          <cell r="T56">
            <v>5503157</v>
          </cell>
          <cell r="U56">
            <v>5509970</v>
          </cell>
        </row>
        <row r="57">
          <cell r="A57" t="str">
            <v>Djibouti</v>
          </cell>
          <cell r="B57" t="str">
            <v>DJI</v>
          </cell>
          <cell r="C57" t="str">
            <v>EMR</v>
          </cell>
          <cell r="D57" t="str">
            <v>Franc</v>
          </cell>
          <cell r="F57">
            <v>729736</v>
          </cell>
          <cell r="G57">
            <v>747302</v>
          </cell>
          <cell r="H57">
            <v>762775</v>
          </cell>
          <cell r="I57">
            <v>776784</v>
          </cell>
          <cell r="J57">
            <v>790344</v>
          </cell>
          <cell r="K57">
            <v>804206</v>
          </cell>
          <cell r="L57">
            <v>818508</v>
          </cell>
          <cell r="M57">
            <v>833025</v>
          </cell>
          <cell r="N57">
            <v>847715</v>
          </cell>
          <cell r="O57">
            <v>862453</v>
          </cell>
          <cell r="P57">
            <v>877152</v>
          </cell>
          <cell r="Q57">
            <v>891869</v>
          </cell>
          <cell r="R57">
            <v>906687</v>
          </cell>
          <cell r="S57">
            <v>921572</v>
          </cell>
          <cell r="T57">
            <v>936469</v>
          </cell>
          <cell r="U57">
            <v>951352</v>
          </cell>
        </row>
        <row r="58">
          <cell r="A58" t="str">
            <v>Dominica</v>
          </cell>
          <cell r="B58" t="str">
            <v>DOM</v>
          </cell>
          <cell r="C58" t="str">
            <v>LAC</v>
          </cell>
          <cell r="F58">
            <v>68438</v>
          </cell>
          <cell r="G58">
            <v>68351</v>
          </cell>
          <cell r="H58">
            <v>68253</v>
          </cell>
          <cell r="I58">
            <v>68139</v>
          </cell>
          <cell r="J58">
            <v>67998</v>
          </cell>
          <cell r="K58">
            <v>67827</v>
          </cell>
          <cell r="L58">
            <v>67621</v>
          </cell>
          <cell r="M58">
            <v>67390</v>
          </cell>
          <cell r="N58">
            <v>67160</v>
          </cell>
          <cell r="O58">
            <v>66970</v>
          </cell>
          <cell r="P58">
            <v>66845</v>
          </cell>
          <cell r="Q58">
            <v>66799</v>
          </cell>
          <cell r="R58">
            <v>66823</v>
          </cell>
          <cell r="S58">
            <v>66896</v>
          </cell>
          <cell r="T58">
            <v>66987</v>
          </cell>
          <cell r="U58">
            <v>67070</v>
          </cell>
        </row>
        <row r="59">
          <cell r="A59" t="str">
            <v>Dominican Republic</v>
          </cell>
          <cell r="B59" t="str">
            <v>DOR</v>
          </cell>
          <cell r="C59" t="str">
            <v>LAC</v>
          </cell>
          <cell r="D59" t="str">
            <v>Peso</v>
          </cell>
          <cell r="E59">
            <v>32.305</v>
          </cell>
          <cell r="F59">
            <v>8743983</v>
          </cell>
          <cell r="G59">
            <v>8889627</v>
          </cell>
          <cell r="H59">
            <v>9034837</v>
          </cell>
          <cell r="I59">
            <v>9179758</v>
          </cell>
          <cell r="J59">
            <v>9324633</v>
          </cell>
          <cell r="K59">
            <v>9469601</v>
          </cell>
          <cell r="L59">
            <v>9614670</v>
          </cell>
          <cell r="M59">
            <v>9759665</v>
          </cell>
          <cell r="N59">
            <v>9904327</v>
          </cell>
          <cell r="O59">
            <v>10048309</v>
          </cell>
          <cell r="P59">
            <v>10191334</v>
          </cell>
          <cell r="Q59">
            <v>10333237</v>
          </cell>
          <cell r="R59">
            <v>10473987</v>
          </cell>
          <cell r="S59">
            <v>10613616</v>
          </cell>
          <cell r="T59">
            <v>10752214</v>
          </cell>
          <cell r="U59">
            <v>10889805</v>
          </cell>
        </row>
        <row r="60">
          <cell r="A60" t="str">
            <v>DPR Korea</v>
          </cell>
          <cell r="B60" t="str">
            <v>KRD</v>
          </cell>
          <cell r="C60" t="str">
            <v>SEAR</v>
          </cell>
          <cell r="F60">
            <v>22946185</v>
          </cell>
          <cell r="G60">
            <v>23121603</v>
          </cell>
          <cell r="H60">
            <v>23271845</v>
          </cell>
          <cell r="I60">
            <v>23400722</v>
          </cell>
          <cell r="J60">
            <v>23513779</v>
          </cell>
          <cell r="K60">
            <v>23615611</v>
          </cell>
          <cell r="L60">
            <v>23707548</v>
          </cell>
          <cell r="M60">
            <v>23790241</v>
          </cell>
          <cell r="N60">
            <v>23866883</v>
          </cell>
          <cell r="O60">
            <v>23941018</v>
          </cell>
          <cell r="P60">
            <v>24015400</v>
          </cell>
          <cell r="Q60">
            <v>24091736</v>
          </cell>
          <cell r="R60">
            <v>24170473</v>
          </cell>
          <cell r="S60">
            <v>24251401</v>
          </cell>
          <cell r="T60">
            <v>24333604</v>
          </cell>
          <cell r="U60">
            <v>24416354</v>
          </cell>
        </row>
        <row r="61">
          <cell r="A61" t="str">
            <v>DR Congo</v>
          </cell>
          <cell r="B61" t="str">
            <v>ZAI</v>
          </cell>
          <cell r="C61" t="str">
            <v>AFRhigh</v>
          </cell>
          <cell r="F61">
            <v>50688722</v>
          </cell>
          <cell r="G61">
            <v>52035969</v>
          </cell>
          <cell r="H61">
            <v>53536754</v>
          </cell>
          <cell r="I61">
            <v>55174963</v>
          </cell>
          <cell r="J61">
            <v>56917959</v>
          </cell>
          <cell r="K61">
            <v>58740547</v>
          </cell>
          <cell r="L61">
            <v>60643890</v>
          </cell>
          <cell r="M61">
            <v>62635722</v>
          </cell>
          <cell r="N61">
            <v>64703617</v>
          </cell>
          <cell r="O61">
            <v>66832183.999999993</v>
          </cell>
          <cell r="P61">
            <v>69009707</v>
          </cell>
          <cell r="Q61">
            <v>71230259</v>
          </cell>
          <cell r="R61">
            <v>73493778</v>
          </cell>
          <cell r="S61">
            <v>75801921</v>
          </cell>
          <cell r="T61">
            <v>78159102</v>
          </cell>
          <cell r="U61">
            <v>80568539</v>
          </cell>
        </row>
        <row r="62">
          <cell r="A62" t="str">
            <v>Ecuador</v>
          </cell>
          <cell r="B62" t="str">
            <v>ECU</v>
          </cell>
          <cell r="C62" t="str">
            <v>LAC</v>
          </cell>
          <cell r="D62" t="str">
            <v>Sucre</v>
          </cell>
          <cell r="E62">
            <v>25000</v>
          </cell>
          <cell r="F62">
            <v>12305544</v>
          </cell>
          <cell r="G62">
            <v>12466023</v>
          </cell>
          <cell r="H62">
            <v>12620880</v>
          </cell>
          <cell r="I62">
            <v>12770998</v>
          </cell>
          <cell r="J62">
            <v>12917362</v>
          </cell>
          <cell r="K62">
            <v>13060993</v>
          </cell>
          <cell r="L62">
            <v>13201995</v>
          </cell>
          <cell r="M62">
            <v>13341199</v>
          </cell>
          <cell r="N62">
            <v>13481180</v>
          </cell>
          <cell r="O62">
            <v>13625136</v>
          </cell>
          <cell r="P62">
            <v>13775219</v>
          </cell>
          <cell r="Q62">
            <v>13932570</v>
          </cell>
          <cell r="R62">
            <v>14096287</v>
          </cell>
          <cell r="S62">
            <v>14263883</v>
          </cell>
          <cell r="T62">
            <v>14431696</v>
          </cell>
          <cell r="U62">
            <v>14596937</v>
          </cell>
        </row>
        <row r="63">
          <cell r="A63" t="str">
            <v>Egypt</v>
          </cell>
          <cell r="B63" t="str">
            <v>EGY</v>
          </cell>
          <cell r="C63" t="str">
            <v>EMR</v>
          </cell>
          <cell r="D63" t="str">
            <v>Pound</v>
          </cell>
          <cell r="E63">
            <v>6.1349999999999998</v>
          </cell>
          <cell r="F63">
            <v>66528577.999999993</v>
          </cell>
          <cell r="G63">
            <v>67757429</v>
          </cell>
          <cell r="H63">
            <v>69003765</v>
          </cell>
          <cell r="I63">
            <v>70267864</v>
          </cell>
          <cell r="J63">
            <v>71550018</v>
          </cell>
          <cell r="K63">
            <v>72849793</v>
          </cell>
          <cell r="L63">
            <v>74166496</v>
          </cell>
          <cell r="M63">
            <v>75497914</v>
          </cell>
          <cell r="N63">
            <v>76840047</v>
          </cell>
          <cell r="O63">
            <v>78187832</v>
          </cell>
          <cell r="P63">
            <v>79536880</v>
          </cell>
          <cell r="Q63">
            <v>80885044</v>
          </cell>
          <cell r="R63">
            <v>82230655</v>
          </cell>
          <cell r="S63">
            <v>83570385</v>
          </cell>
          <cell r="T63">
            <v>84900717</v>
          </cell>
          <cell r="U63">
            <v>86218754</v>
          </cell>
        </row>
        <row r="64">
          <cell r="A64" t="str">
            <v>El Salvador</v>
          </cell>
          <cell r="B64" t="str">
            <v>ELS</v>
          </cell>
          <cell r="C64" t="str">
            <v>LAC</v>
          </cell>
          <cell r="D64" t="str">
            <v>Colone</v>
          </cell>
          <cell r="E64">
            <v>8.75</v>
          </cell>
          <cell r="F64">
            <v>6195276</v>
          </cell>
          <cell r="G64">
            <v>6296549</v>
          </cell>
          <cell r="H64">
            <v>6392427</v>
          </cell>
          <cell r="I64">
            <v>6484686</v>
          </cell>
          <cell r="J64">
            <v>6576008</v>
          </cell>
          <cell r="K64">
            <v>6668356</v>
          </cell>
          <cell r="L64">
            <v>6762319</v>
          </cell>
          <cell r="M64">
            <v>6857330</v>
          </cell>
          <cell r="N64">
            <v>6952819</v>
          </cell>
          <cell r="O64">
            <v>7047803</v>
          </cell>
          <cell r="P64">
            <v>7141616</v>
          </cell>
          <cell r="Q64">
            <v>7234065</v>
          </cell>
          <cell r="R64">
            <v>7325571</v>
          </cell>
          <cell r="S64">
            <v>7416784</v>
          </cell>
          <cell r="T64">
            <v>7508614</v>
          </cell>
          <cell r="U64">
            <v>7601665</v>
          </cell>
        </row>
        <row r="65">
          <cell r="A65" t="str">
            <v>Equatorial Guinea</v>
          </cell>
          <cell r="B65" t="str">
            <v>EQG</v>
          </cell>
          <cell r="C65" t="str">
            <v>AFRlow</v>
          </cell>
          <cell r="D65" t="str">
            <v>Franc</v>
          </cell>
          <cell r="E65">
            <v>564.41</v>
          </cell>
          <cell r="F65">
            <v>430589</v>
          </cell>
          <cell r="G65">
            <v>440851</v>
          </cell>
          <cell r="H65">
            <v>451291</v>
          </cell>
          <cell r="I65">
            <v>461947</v>
          </cell>
          <cell r="J65">
            <v>472869</v>
          </cell>
          <cell r="K65">
            <v>484098</v>
          </cell>
          <cell r="L65">
            <v>495639</v>
          </cell>
          <cell r="M65">
            <v>507497</v>
          </cell>
          <cell r="N65">
            <v>519697</v>
          </cell>
          <cell r="O65">
            <v>532270</v>
          </cell>
          <cell r="P65">
            <v>545238</v>
          </cell>
          <cell r="Q65">
            <v>558603</v>
          </cell>
          <cell r="R65">
            <v>572354</v>
          </cell>
          <cell r="S65">
            <v>586470</v>
          </cell>
          <cell r="T65">
            <v>600920</v>
          </cell>
          <cell r="U65">
            <v>615676</v>
          </cell>
        </row>
        <row r="66">
          <cell r="A66" t="str">
            <v>Eritrea</v>
          </cell>
          <cell r="B66" t="str">
            <v>ERI</v>
          </cell>
          <cell r="C66" t="str">
            <v>AFRlow</v>
          </cell>
          <cell r="D66" t="str">
            <v>Nakfa</v>
          </cell>
          <cell r="E66">
            <v>13.7875</v>
          </cell>
          <cell r="F66">
            <v>3684296</v>
          </cell>
          <cell r="G66">
            <v>3833443</v>
          </cell>
          <cell r="H66">
            <v>3999407</v>
          </cell>
          <cell r="I66">
            <v>4175647</v>
          </cell>
          <cell r="J66">
            <v>4353526</v>
          </cell>
          <cell r="K66">
            <v>4526722</v>
          </cell>
          <cell r="L66">
            <v>4692115</v>
          </cell>
          <cell r="M66">
            <v>4850762</v>
          </cell>
          <cell r="N66">
            <v>5005678</v>
          </cell>
          <cell r="O66">
            <v>5161910</v>
          </cell>
          <cell r="P66">
            <v>5322955</v>
          </cell>
          <cell r="Q66">
            <v>5489455</v>
          </cell>
          <cell r="R66">
            <v>5659427</v>
          </cell>
          <cell r="S66">
            <v>5830669</v>
          </cell>
          <cell r="T66">
            <v>6000008</v>
          </cell>
          <cell r="U66">
            <v>6165170</v>
          </cell>
        </row>
        <row r="67">
          <cell r="A67" t="str">
            <v>Estonia</v>
          </cell>
          <cell r="B67" t="str">
            <v>EST</v>
          </cell>
          <cell r="C67" t="str">
            <v>EEUR</v>
          </cell>
          <cell r="F67">
            <v>1369934</v>
          </cell>
          <cell r="G67">
            <v>1362500</v>
          </cell>
          <cell r="H67">
            <v>1356820</v>
          </cell>
          <cell r="I67">
            <v>1352335</v>
          </cell>
          <cell r="J67">
            <v>1348344</v>
          </cell>
          <cell r="K67">
            <v>1344312</v>
          </cell>
          <cell r="L67">
            <v>1339972</v>
          </cell>
          <cell r="M67">
            <v>1335335</v>
          </cell>
          <cell r="N67">
            <v>1330510</v>
          </cell>
          <cell r="O67">
            <v>1325733</v>
          </cell>
          <cell r="P67">
            <v>1321171</v>
          </cell>
          <cell r="Q67">
            <v>1316789</v>
          </cell>
          <cell r="R67">
            <v>1312465</v>
          </cell>
          <cell r="S67">
            <v>1308182</v>
          </cell>
          <cell r="T67">
            <v>1303921</v>
          </cell>
          <cell r="U67">
            <v>1299665</v>
          </cell>
        </row>
        <row r="68">
          <cell r="A68" t="str">
            <v>Ethiopia</v>
          </cell>
          <cell r="B68" t="str">
            <v>ETH</v>
          </cell>
          <cell r="C68" t="str">
            <v>AFRhigh</v>
          </cell>
          <cell r="D68" t="str">
            <v>Birr</v>
          </cell>
          <cell r="E68">
            <v>8.6057000000000006</v>
          </cell>
          <cell r="F68">
            <v>69388437</v>
          </cell>
          <cell r="G68">
            <v>71249765</v>
          </cell>
          <cell r="H68">
            <v>73133619</v>
          </cell>
          <cell r="I68">
            <v>75046409</v>
          </cell>
          <cell r="J68">
            <v>76995400</v>
          </cell>
          <cell r="K68">
            <v>78985857</v>
          </cell>
          <cell r="L68">
            <v>81020611</v>
          </cell>
          <cell r="M68">
            <v>83099188</v>
          </cell>
          <cell r="N68">
            <v>85219109</v>
          </cell>
          <cell r="O68">
            <v>87375993</v>
          </cell>
          <cell r="P68">
            <v>89566126</v>
          </cell>
          <cell r="Q68">
            <v>91788272</v>
          </cell>
          <cell r="R68">
            <v>94041935</v>
          </cell>
          <cell r="S68">
            <v>96324719</v>
          </cell>
          <cell r="T68">
            <v>98633913</v>
          </cell>
          <cell r="U68">
            <v>100966808</v>
          </cell>
        </row>
        <row r="69">
          <cell r="A69" t="str">
            <v>Fiji</v>
          </cell>
          <cell r="B69" t="str">
            <v>FIJ</v>
          </cell>
          <cell r="C69" t="str">
            <v>WPR</v>
          </cell>
          <cell r="F69">
            <v>801681</v>
          </cell>
          <cell r="G69">
            <v>807329</v>
          </cell>
          <cell r="H69">
            <v>812658</v>
          </cell>
          <cell r="I69">
            <v>817791</v>
          </cell>
          <cell r="J69">
            <v>822885</v>
          </cell>
          <cell r="K69">
            <v>828046</v>
          </cell>
          <cell r="L69">
            <v>833330</v>
          </cell>
          <cell r="M69">
            <v>838699</v>
          </cell>
          <cell r="N69">
            <v>844046</v>
          </cell>
          <cell r="O69">
            <v>849218</v>
          </cell>
          <cell r="P69">
            <v>854098</v>
          </cell>
          <cell r="Q69">
            <v>858683</v>
          </cell>
          <cell r="R69">
            <v>863005</v>
          </cell>
          <cell r="S69">
            <v>867032</v>
          </cell>
          <cell r="T69">
            <v>870730</v>
          </cell>
          <cell r="U69">
            <v>874093</v>
          </cell>
        </row>
        <row r="70">
          <cell r="A70" t="str">
            <v>Finland</v>
          </cell>
          <cell r="B70" t="str">
            <v>FIN</v>
          </cell>
          <cell r="C70" t="str">
            <v>EME</v>
          </cell>
          <cell r="F70">
            <v>5175871</v>
          </cell>
          <cell r="G70">
            <v>5188928</v>
          </cell>
          <cell r="H70">
            <v>5202513</v>
          </cell>
          <cell r="I70">
            <v>5216632</v>
          </cell>
          <cell r="J70">
            <v>5231167</v>
          </cell>
          <cell r="K70">
            <v>5246004</v>
          </cell>
          <cell r="L70">
            <v>5261243</v>
          </cell>
          <cell r="M70">
            <v>5276895</v>
          </cell>
          <cell r="N70">
            <v>5292617</v>
          </cell>
          <cell r="O70">
            <v>5307945</v>
          </cell>
          <cell r="P70">
            <v>5322535</v>
          </cell>
          <cell r="Q70">
            <v>5336232</v>
          </cell>
          <cell r="R70">
            <v>5349094</v>
          </cell>
          <cell r="S70">
            <v>5361247</v>
          </cell>
          <cell r="T70">
            <v>5372907</v>
          </cell>
          <cell r="U70">
            <v>5384224</v>
          </cell>
        </row>
        <row r="71">
          <cell r="A71" t="str">
            <v>France</v>
          </cell>
          <cell r="B71" t="str">
            <v>FRA</v>
          </cell>
          <cell r="C71" t="str">
            <v>EME</v>
          </cell>
          <cell r="F71">
            <v>59186798</v>
          </cell>
          <cell r="G71">
            <v>59492212</v>
          </cell>
          <cell r="H71">
            <v>59848615</v>
          </cell>
          <cell r="I71">
            <v>60235845</v>
          </cell>
          <cell r="J71">
            <v>60623898</v>
          </cell>
          <cell r="K71">
            <v>60990544</v>
          </cell>
          <cell r="L71">
            <v>61329898</v>
          </cell>
          <cell r="M71">
            <v>61647375</v>
          </cell>
          <cell r="N71">
            <v>61945596</v>
          </cell>
          <cell r="O71">
            <v>62230673</v>
          </cell>
          <cell r="P71">
            <v>62507183</v>
          </cell>
          <cell r="Q71">
            <v>62774401</v>
          </cell>
          <cell r="R71">
            <v>63030082</v>
          </cell>
          <cell r="S71">
            <v>63275866</v>
          </cell>
          <cell r="T71">
            <v>63513906</v>
          </cell>
          <cell r="U71">
            <v>63745869</v>
          </cell>
        </row>
        <row r="72">
          <cell r="A72" t="str">
            <v>French Polynesia</v>
          </cell>
          <cell r="B72" t="str">
            <v>FRP</v>
          </cell>
          <cell r="C72" t="str">
            <v>WPR</v>
          </cell>
          <cell r="F72">
            <v>236124</v>
          </cell>
          <cell r="G72">
            <v>240135</v>
          </cell>
          <cell r="H72">
            <v>244119</v>
          </cell>
          <cell r="I72">
            <v>248050</v>
          </cell>
          <cell r="J72">
            <v>251895</v>
          </cell>
          <cell r="K72">
            <v>255632</v>
          </cell>
          <cell r="L72">
            <v>259247</v>
          </cell>
          <cell r="M72">
            <v>262752</v>
          </cell>
          <cell r="N72">
            <v>266178</v>
          </cell>
          <cell r="O72">
            <v>269579</v>
          </cell>
          <cell r="P72">
            <v>272986</v>
          </cell>
          <cell r="Q72">
            <v>276411</v>
          </cell>
          <cell r="R72">
            <v>279839</v>
          </cell>
          <cell r="S72">
            <v>283255</v>
          </cell>
          <cell r="T72">
            <v>286635</v>
          </cell>
          <cell r="U72">
            <v>289956</v>
          </cell>
        </row>
        <row r="73">
          <cell r="A73" t="str">
            <v>Gabon</v>
          </cell>
          <cell r="B73" t="str">
            <v>GAB</v>
          </cell>
          <cell r="C73" t="str">
            <v>AFRhigh</v>
          </cell>
          <cell r="D73" t="str">
            <v>Franc</v>
          </cell>
          <cell r="E73">
            <v>561.04999999999995</v>
          </cell>
          <cell r="F73">
            <v>1182278</v>
          </cell>
          <cell r="G73">
            <v>1205305</v>
          </cell>
          <cell r="H73">
            <v>1227561</v>
          </cell>
          <cell r="I73">
            <v>1249131</v>
          </cell>
          <cell r="J73">
            <v>1270136</v>
          </cell>
          <cell r="K73">
            <v>1290693</v>
          </cell>
          <cell r="L73">
            <v>1310820</v>
          </cell>
          <cell r="M73">
            <v>1330573</v>
          </cell>
          <cell r="N73">
            <v>1350156</v>
          </cell>
          <cell r="O73">
            <v>1369822</v>
          </cell>
          <cell r="P73">
            <v>1389756</v>
          </cell>
          <cell r="Q73">
            <v>1410038</v>
          </cell>
          <cell r="R73">
            <v>1430642</v>
          </cell>
          <cell r="S73">
            <v>1451509</v>
          </cell>
          <cell r="T73">
            <v>1472524</v>
          </cell>
          <cell r="U73">
            <v>1493595</v>
          </cell>
        </row>
        <row r="74">
          <cell r="A74" t="str">
            <v>Gambia</v>
          </cell>
          <cell r="B74" t="str">
            <v>GAM</v>
          </cell>
          <cell r="C74" t="str">
            <v>AFRlow</v>
          </cell>
          <cell r="D74" t="str">
            <v>Dalasi</v>
          </cell>
          <cell r="E74">
            <v>27.927</v>
          </cell>
          <cell r="F74">
            <v>1384126</v>
          </cell>
          <cell r="G74">
            <v>1430617</v>
          </cell>
          <cell r="H74">
            <v>1477317</v>
          </cell>
          <cell r="I74">
            <v>1524061</v>
          </cell>
          <cell r="J74">
            <v>1570673</v>
          </cell>
          <cell r="K74">
            <v>1617029</v>
          </cell>
          <cell r="L74">
            <v>1663031</v>
          </cell>
          <cell r="M74">
            <v>1708680</v>
          </cell>
          <cell r="N74">
            <v>1754068</v>
          </cell>
          <cell r="O74">
            <v>1799355</v>
          </cell>
          <cell r="P74">
            <v>1844665</v>
          </cell>
          <cell r="Q74">
            <v>1890019</v>
          </cell>
          <cell r="R74">
            <v>1935393</v>
          </cell>
          <cell r="S74">
            <v>1980799</v>
          </cell>
          <cell r="T74">
            <v>2026246</v>
          </cell>
          <cell r="U74">
            <v>2071744</v>
          </cell>
        </row>
        <row r="75">
          <cell r="A75" t="str">
            <v>Georgia</v>
          </cell>
          <cell r="B75" t="str">
            <v>GEO</v>
          </cell>
          <cell r="C75" t="str">
            <v>EEUR</v>
          </cell>
          <cell r="D75" t="str">
            <v>Lari</v>
          </cell>
          <cell r="E75">
            <v>2.0992999999999999</v>
          </cell>
          <cell r="F75">
            <v>4720061</v>
          </cell>
          <cell r="G75">
            <v>4665815</v>
          </cell>
          <cell r="H75">
            <v>4613639</v>
          </cell>
          <cell r="I75">
            <v>4563848</v>
          </cell>
          <cell r="J75">
            <v>4516981</v>
          </cell>
          <cell r="K75">
            <v>4473409</v>
          </cell>
          <cell r="L75">
            <v>4432981</v>
          </cell>
          <cell r="M75">
            <v>4395420</v>
          </cell>
          <cell r="N75">
            <v>4360801</v>
          </cell>
          <cell r="O75">
            <v>4329221</v>
          </cell>
          <cell r="P75">
            <v>4300629</v>
          </cell>
          <cell r="Q75">
            <v>4275102</v>
          </cell>
          <cell r="R75">
            <v>4252247</v>
          </cell>
          <cell r="S75">
            <v>4230950</v>
          </cell>
          <cell r="T75">
            <v>4209759</v>
          </cell>
          <cell r="U75">
            <v>4187617</v>
          </cell>
        </row>
        <row r="76">
          <cell r="A76" t="str">
            <v>Germany</v>
          </cell>
          <cell r="B76" t="str">
            <v>DEU</v>
          </cell>
          <cell r="C76" t="str">
            <v>EME</v>
          </cell>
          <cell r="F76">
            <v>82308801</v>
          </cell>
          <cell r="G76">
            <v>82395462</v>
          </cell>
          <cell r="H76">
            <v>82485207</v>
          </cell>
          <cell r="I76">
            <v>82568070</v>
          </cell>
          <cell r="J76">
            <v>82627591</v>
          </cell>
          <cell r="K76">
            <v>82652369</v>
          </cell>
          <cell r="L76">
            <v>82640853</v>
          </cell>
          <cell r="M76">
            <v>82599470</v>
          </cell>
          <cell r="N76">
            <v>82534214</v>
          </cell>
          <cell r="O76">
            <v>82453830</v>
          </cell>
          <cell r="P76">
            <v>82365042</v>
          </cell>
          <cell r="Q76">
            <v>82269742</v>
          </cell>
          <cell r="R76">
            <v>82167238</v>
          </cell>
          <cell r="S76">
            <v>82058584</v>
          </cell>
          <cell r="T76">
            <v>81944290</v>
          </cell>
          <cell r="U76">
            <v>81824754</v>
          </cell>
        </row>
        <row r="77">
          <cell r="A77" t="str">
            <v>Ghana</v>
          </cell>
          <cell r="B77" t="str">
            <v>GHA</v>
          </cell>
          <cell r="C77" t="str">
            <v>AFRlow</v>
          </cell>
          <cell r="D77" t="str">
            <v>Cedi</v>
          </cell>
          <cell r="E77">
            <v>8736.74</v>
          </cell>
          <cell r="F77">
            <v>20147515</v>
          </cell>
          <cell r="G77">
            <v>20616701</v>
          </cell>
          <cell r="H77">
            <v>21093717</v>
          </cell>
          <cell r="I77">
            <v>21575356</v>
          </cell>
          <cell r="J77">
            <v>22056906</v>
          </cell>
          <cell r="K77">
            <v>22535010</v>
          </cell>
          <cell r="L77">
            <v>23008443</v>
          </cell>
          <cell r="M77">
            <v>23478396</v>
          </cell>
          <cell r="N77">
            <v>23946817</v>
          </cell>
          <cell r="O77">
            <v>24416711</v>
          </cell>
          <cell r="P77">
            <v>24890167</v>
          </cell>
          <cell r="Q77">
            <v>25367620</v>
          </cell>
          <cell r="R77">
            <v>25848035</v>
          </cell>
          <cell r="S77">
            <v>26330249</v>
          </cell>
          <cell r="T77">
            <v>26812532</v>
          </cell>
          <cell r="U77">
            <v>27293540</v>
          </cell>
        </row>
        <row r="78">
          <cell r="A78" t="str">
            <v>Greece</v>
          </cell>
          <cell r="B78" t="str">
            <v>GRE</v>
          </cell>
          <cell r="C78" t="str">
            <v>EME</v>
          </cell>
          <cell r="F78">
            <v>10974638</v>
          </cell>
          <cell r="G78">
            <v>11011024</v>
          </cell>
          <cell r="H78">
            <v>11038400</v>
          </cell>
          <cell r="I78">
            <v>11059778</v>
          </cell>
          <cell r="J78">
            <v>11079234</v>
          </cell>
          <cell r="K78">
            <v>11099737</v>
          </cell>
          <cell r="L78">
            <v>11122512</v>
          </cell>
          <cell r="M78">
            <v>11146919</v>
          </cell>
          <cell r="N78">
            <v>11171744</v>
          </cell>
          <cell r="O78">
            <v>11194933</v>
          </cell>
          <cell r="P78">
            <v>11214979</v>
          </cell>
          <cell r="Q78">
            <v>11231740</v>
          </cell>
          <cell r="R78">
            <v>11245803</v>
          </cell>
          <cell r="S78">
            <v>11257232</v>
          </cell>
          <cell r="T78">
            <v>11266222</v>
          </cell>
          <cell r="U78">
            <v>11272941</v>
          </cell>
        </row>
        <row r="79">
          <cell r="A79" t="str">
            <v>Grenada</v>
          </cell>
          <cell r="B79" t="str">
            <v>GRA</v>
          </cell>
          <cell r="C79" t="str">
            <v>LAC</v>
          </cell>
          <cell r="D79" t="str">
            <v>E. Caribbean Dollar</v>
          </cell>
          <cell r="E79">
            <v>2.7</v>
          </cell>
          <cell r="F79">
            <v>100411</v>
          </cell>
          <cell r="G79">
            <v>101307</v>
          </cell>
          <cell r="H79">
            <v>102398</v>
          </cell>
          <cell r="I79">
            <v>103540</v>
          </cell>
          <cell r="J79">
            <v>104533</v>
          </cell>
          <cell r="K79">
            <v>105237</v>
          </cell>
          <cell r="L79">
            <v>105597</v>
          </cell>
          <cell r="M79">
            <v>105668</v>
          </cell>
          <cell r="N79">
            <v>105552</v>
          </cell>
          <cell r="O79">
            <v>105398</v>
          </cell>
          <cell r="P79">
            <v>105322</v>
          </cell>
          <cell r="Q79">
            <v>105349</v>
          </cell>
          <cell r="R79">
            <v>105452</v>
          </cell>
          <cell r="S79">
            <v>105614</v>
          </cell>
          <cell r="T79">
            <v>105806</v>
          </cell>
          <cell r="U79">
            <v>106006</v>
          </cell>
        </row>
        <row r="80">
          <cell r="A80" t="str">
            <v>Guam</v>
          </cell>
          <cell r="B80" t="str">
            <v>GUM</v>
          </cell>
          <cell r="C80" t="str">
            <v>WPR</v>
          </cell>
          <cell r="F80">
            <v>155156</v>
          </cell>
          <cell r="G80">
            <v>157605</v>
          </cell>
          <cell r="H80">
            <v>160298</v>
          </cell>
          <cell r="I80">
            <v>163125</v>
          </cell>
          <cell r="J80">
            <v>165922</v>
          </cell>
          <cell r="K80">
            <v>168570</v>
          </cell>
          <cell r="L80">
            <v>171033</v>
          </cell>
          <cell r="M80">
            <v>173348</v>
          </cell>
          <cell r="N80">
            <v>175553</v>
          </cell>
          <cell r="O80">
            <v>177719</v>
          </cell>
          <cell r="P80">
            <v>179894</v>
          </cell>
          <cell r="Q80">
            <v>182085</v>
          </cell>
          <cell r="R80">
            <v>184273</v>
          </cell>
          <cell r="S80">
            <v>186458</v>
          </cell>
          <cell r="T80">
            <v>188635</v>
          </cell>
          <cell r="U80">
            <v>190800</v>
          </cell>
        </row>
        <row r="81">
          <cell r="A81" t="str">
            <v>Guatemala</v>
          </cell>
          <cell r="B81" t="str">
            <v>GUT</v>
          </cell>
          <cell r="C81" t="str">
            <v>LAC</v>
          </cell>
          <cell r="D81" t="str">
            <v>Quetzala</v>
          </cell>
          <cell r="E81">
            <v>8.0962999999999994</v>
          </cell>
          <cell r="F81">
            <v>11229405</v>
          </cell>
          <cell r="G81">
            <v>11505139</v>
          </cell>
          <cell r="H81">
            <v>11792579</v>
          </cell>
          <cell r="I81">
            <v>12090411</v>
          </cell>
          <cell r="J81">
            <v>12396581</v>
          </cell>
          <cell r="K81">
            <v>12709564</v>
          </cell>
          <cell r="L81">
            <v>13028572</v>
          </cell>
          <cell r="M81">
            <v>13353914</v>
          </cell>
          <cell r="N81">
            <v>13686399</v>
          </cell>
          <cell r="O81">
            <v>14027310</v>
          </cell>
          <cell r="P81">
            <v>14377299</v>
          </cell>
          <cell r="Q81">
            <v>14736434</v>
          </cell>
          <cell r="R81">
            <v>15103466</v>
          </cell>
          <cell r="S81">
            <v>15476103</v>
          </cell>
          <cell r="T81">
            <v>15851318</v>
          </cell>
          <cell r="U81">
            <v>16226756</v>
          </cell>
        </row>
        <row r="82">
          <cell r="A82" t="str">
            <v>Guinea</v>
          </cell>
          <cell r="B82" t="str">
            <v>GUI</v>
          </cell>
          <cell r="C82" t="str">
            <v>AFRlow</v>
          </cell>
          <cell r="D82" t="str">
            <v>Franc</v>
          </cell>
          <cell r="E82">
            <v>1980</v>
          </cell>
          <cell r="F82">
            <v>8202628.0000000009</v>
          </cell>
          <cell r="G82">
            <v>8358572</v>
          </cell>
          <cell r="H82">
            <v>8513599</v>
          </cell>
          <cell r="I82">
            <v>8670641</v>
          </cell>
          <cell r="J82">
            <v>8832767</v>
          </cell>
          <cell r="K82">
            <v>9002656</v>
          </cell>
          <cell r="L82">
            <v>9181335</v>
          </cell>
          <cell r="M82">
            <v>9370113</v>
          </cell>
          <cell r="N82">
            <v>9572039</v>
          </cell>
          <cell r="O82">
            <v>9790529</v>
          </cell>
          <cell r="P82">
            <v>10027663</v>
          </cell>
          <cell r="Q82">
            <v>10285101</v>
          </cell>
          <cell r="R82">
            <v>10561474</v>
          </cell>
          <cell r="S82">
            <v>10851936</v>
          </cell>
          <cell r="T82">
            <v>11149622</v>
          </cell>
          <cell r="U82">
            <v>11449365</v>
          </cell>
        </row>
        <row r="83">
          <cell r="A83" t="str">
            <v>Guinea-Bissau</v>
          </cell>
          <cell r="B83" t="str">
            <v>GUB</v>
          </cell>
          <cell r="C83" t="str">
            <v>AFRlow</v>
          </cell>
          <cell r="D83" t="str">
            <v>Franc</v>
          </cell>
          <cell r="E83">
            <v>561.04999999999995</v>
          </cell>
          <cell r="F83">
            <v>1370486</v>
          </cell>
          <cell r="G83">
            <v>1411959</v>
          </cell>
          <cell r="H83">
            <v>1455881</v>
          </cell>
          <cell r="I83">
            <v>1501794</v>
          </cell>
          <cell r="J83">
            <v>1548975</v>
          </cell>
          <cell r="K83">
            <v>1596929</v>
          </cell>
          <cell r="L83">
            <v>1645529</v>
          </cell>
          <cell r="M83">
            <v>1695043</v>
          </cell>
          <cell r="N83">
            <v>1745838</v>
          </cell>
          <cell r="O83">
            <v>1798446</v>
          </cell>
          <cell r="P83">
            <v>1853257</v>
          </cell>
          <cell r="Q83">
            <v>1910397</v>
          </cell>
          <cell r="R83">
            <v>1969765</v>
          </cell>
          <cell r="S83">
            <v>2031241</v>
          </cell>
          <cell r="T83">
            <v>2094620</v>
          </cell>
          <cell r="U83">
            <v>2159754</v>
          </cell>
        </row>
        <row r="84">
          <cell r="A84" t="str">
            <v>Guyana</v>
          </cell>
          <cell r="B84" t="str">
            <v>GUY</v>
          </cell>
          <cell r="C84" t="str">
            <v>LAC</v>
          </cell>
          <cell r="D84" t="str">
            <v>Guyana Dollar</v>
          </cell>
          <cell r="E84">
            <v>194.6</v>
          </cell>
          <cell r="F84">
            <v>734397</v>
          </cell>
          <cell r="G84">
            <v>734917</v>
          </cell>
          <cell r="H84">
            <v>736174</v>
          </cell>
          <cell r="I84">
            <v>737741</v>
          </cell>
          <cell r="J84">
            <v>738992</v>
          </cell>
          <cell r="K84">
            <v>739472</v>
          </cell>
          <cell r="L84">
            <v>739065</v>
          </cell>
          <cell r="M84">
            <v>737907</v>
          </cell>
          <cell r="N84">
            <v>736106</v>
          </cell>
          <cell r="O84">
            <v>733860</v>
          </cell>
          <cell r="P84">
            <v>731327</v>
          </cell>
          <cell r="Q84">
            <v>728511</v>
          </cell>
          <cell r="R84">
            <v>725392</v>
          </cell>
          <cell r="S84">
            <v>722080</v>
          </cell>
          <cell r="T84">
            <v>718713</v>
          </cell>
          <cell r="U84">
            <v>715389</v>
          </cell>
        </row>
        <row r="85">
          <cell r="A85" t="str">
            <v>Haiti</v>
          </cell>
          <cell r="B85" t="str">
            <v>HAI</v>
          </cell>
          <cell r="C85" t="str">
            <v>LAC</v>
          </cell>
          <cell r="D85" t="str">
            <v>Gourde</v>
          </cell>
          <cell r="E85">
            <v>41.856999999999999</v>
          </cell>
          <cell r="F85">
            <v>8572836</v>
          </cell>
          <cell r="G85">
            <v>8717583</v>
          </cell>
          <cell r="H85">
            <v>8861147</v>
          </cell>
          <cell r="I85">
            <v>9004561</v>
          </cell>
          <cell r="J85">
            <v>9149270</v>
          </cell>
          <cell r="K85">
            <v>9296291</v>
          </cell>
          <cell r="L85">
            <v>9445947</v>
          </cell>
          <cell r="M85">
            <v>9597851</v>
          </cell>
          <cell r="N85">
            <v>9751432</v>
          </cell>
          <cell r="O85">
            <v>9905802</v>
          </cell>
          <cell r="P85">
            <v>10060269</v>
          </cell>
          <cell r="Q85">
            <v>10214637</v>
          </cell>
          <cell r="R85">
            <v>10368958</v>
          </cell>
          <cell r="S85">
            <v>10523068</v>
          </cell>
          <cell r="T85">
            <v>10676831</v>
          </cell>
          <cell r="U85">
            <v>10830108</v>
          </cell>
        </row>
        <row r="86">
          <cell r="A86" t="str">
            <v>Honduras</v>
          </cell>
          <cell r="B86" t="str">
            <v>HON</v>
          </cell>
          <cell r="C86" t="str">
            <v>LAC</v>
          </cell>
          <cell r="D86" t="str">
            <v>Lempira</v>
          </cell>
          <cell r="E86">
            <v>17.597000000000001</v>
          </cell>
          <cell r="F86">
            <v>6195604</v>
          </cell>
          <cell r="G86">
            <v>6320323</v>
          </cell>
          <cell r="H86">
            <v>6445942</v>
          </cell>
          <cell r="I86">
            <v>6573055</v>
          </cell>
          <cell r="J86">
            <v>6702291</v>
          </cell>
          <cell r="K86">
            <v>6834110</v>
          </cell>
          <cell r="L86">
            <v>6968687</v>
          </cell>
          <cell r="M86">
            <v>7106001</v>
          </cell>
          <cell r="N86">
            <v>7246016</v>
          </cell>
          <cell r="O86">
            <v>7388589</v>
          </cell>
          <cell r="P86">
            <v>7533498</v>
          </cell>
          <cell r="Q86">
            <v>7680728</v>
          </cell>
          <cell r="R86">
            <v>7829978</v>
          </cell>
          <cell r="S86">
            <v>7980353</v>
          </cell>
          <cell r="T86">
            <v>8130703</v>
          </cell>
          <cell r="U86">
            <v>8280115</v>
          </cell>
        </row>
        <row r="87">
          <cell r="A87" t="str">
            <v>Hungary</v>
          </cell>
          <cell r="B87" t="str">
            <v>HUN</v>
          </cell>
          <cell r="C87" t="str">
            <v>CEUR</v>
          </cell>
          <cell r="F87">
            <v>10214329</v>
          </cell>
          <cell r="G87">
            <v>10189186</v>
          </cell>
          <cell r="H87">
            <v>10164200</v>
          </cell>
          <cell r="I87">
            <v>10139079</v>
          </cell>
          <cell r="J87">
            <v>10113270</v>
          </cell>
          <cell r="K87">
            <v>10086387</v>
          </cell>
          <cell r="L87">
            <v>10058432</v>
          </cell>
          <cell r="M87">
            <v>10029647</v>
          </cell>
          <cell r="N87">
            <v>10000165</v>
          </cell>
          <cell r="O87">
            <v>9970174</v>
          </cell>
          <cell r="P87">
            <v>9939818</v>
          </cell>
          <cell r="Q87">
            <v>9909136</v>
          </cell>
          <cell r="R87">
            <v>9878118</v>
          </cell>
          <cell r="S87">
            <v>9846808</v>
          </cell>
          <cell r="T87">
            <v>9815240</v>
          </cell>
          <cell r="U87">
            <v>9783439</v>
          </cell>
        </row>
        <row r="88">
          <cell r="A88" t="str">
            <v>Iceland</v>
          </cell>
          <cell r="B88" t="str">
            <v>ICE</v>
          </cell>
          <cell r="C88" t="str">
            <v>EME</v>
          </cell>
          <cell r="F88">
            <v>281085</v>
          </cell>
          <cell r="G88">
            <v>284002</v>
          </cell>
          <cell r="H88">
            <v>286981</v>
          </cell>
          <cell r="I88">
            <v>289971</v>
          </cell>
          <cell r="J88">
            <v>292905</v>
          </cell>
          <cell r="K88">
            <v>295732</v>
          </cell>
          <cell r="L88">
            <v>298429</v>
          </cell>
          <cell r="M88">
            <v>301005</v>
          </cell>
          <cell r="N88">
            <v>303495</v>
          </cell>
          <cell r="O88">
            <v>305945</v>
          </cell>
          <cell r="P88">
            <v>308391</v>
          </cell>
          <cell r="Q88">
            <v>310845</v>
          </cell>
          <cell r="R88">
            <v>313287</v>
          </cell>
          <cell r="S88">
            <v>315682</v>
          </cell>
          <cell r="T88">
            <v>317979</v>
          </cell>
          <cell r="U88">
            <v>320146</v>
          </cell>
        </row>
        <row r="89">
          <cell r="A89" t="str">
            <v>India</v>
          </cell>
          <cell r="B89" t="str">
            <v>IND</v>
          </cell>
          <cell r="C89" t="str">
            <v>SEAR</v>
          </cell>
          <cell r="D89" t="str">
            <v>Rupee</v>
          </cell>
          <cell r="E89">
            <v>45.393999999999998</v>
          </cell>
          <cell r="F89">
            <v>1046235394</v>
          </cell>
          <cell r="G89">
            <v>1064156218.0000001</v>
          </cell>
          <cell r="H89">
            <v>1081899160</v>
          </cell>
          <cell r="I89">
            <v>1099494105</v>
          </cell>
          <cell r="J89">
            <v>1116985142</v>
          </cell>
          <cell r="K89">
            <v>1134403141</v>
          </cell>
          <cell r="L89">
            <v>1151751462</v>
          </cell>
          <cell r="M89">
            <v>1169015510</v>
          </cell>
          <cell r="N89">
            <v>1186185681</v>
          </cell>
          <cell r="O89">
            <v>1203246416</v>
          </cell>
          <cell r="P89">
            <v>1220182254</v>
          </cell>
          <cell r="Q89">
            <v>1236983900</v>
          </cell>
          <cell r="R89">
            <v>1253640923</v>
          </cell>
          <cell r="S89">
            <v>1270133669</v>
          </cell>
          <cell r="T89">
            <v>1286439138</v>
          </cell>
          <cell r="U89">
            <v>1302535057</v>
          </cell>
        </row>
        <row r="90">
          <cell r="A90" t="str">
            <v>Indonesia</v>
          </cell>
          <cell r="B90" t="str">
            <v>INO</v>
          </cell>
          <cell r="C90" t="str">
            <v>SEAR</v>
          </cell>
          <cell r="D90" t="str">
            <v>Rupiah</v>
          </cell>
          <cell r="E90">
            <v>8445.2999999999993</v>
          </cell>
          <cell r="F90">
            <v>211692873</v>
          </cell>
          <cell r="G90">
            <v>214574762</v>
          </cell>
          <cell r="H90">
            <v>217465933</v>
          </cell>
          <cell r="I90">
            <v>220354725</v>
          </cell>
          <cell r="J90">
            <v>223224904</v>
          </cell>
          <cell r="K90">
            <v>226063044</v>
          </cell>
          <cell r="L90">
            <v>228864475</v>
          </cell>
          <cell r="M90">
            <v>231626979</v>
          </cell>
          <cell r="N90">
            <v>234342424</v>
          </cell>
          <cell r="O90">
            <v>237002211</v>
          </cell>
          <cell r="P90">
            <v>239599528</v>
          </cell>
          <cell r="Q90">
            <v>242131299</v>
          </cell>
          <cell r="R90">
            <v>244596038</v>
          </cell>
          <cell r="S90">
            <v>246991164</v>
          </cell>
          <cell r="T90">
            <v>249314807</v>
          </cell>
          <cell r="U90">
            <v>251566724</v>
          </cell>
        </row>
        <row r="91">
          <cell r="A91" t="str">
            <v>Iran</v>
          </cell>
          <cell r="B91" t="str">
            <v>IRA</v>
          </cell>
          <cell r="C91" t="str">
            <v>EMR</v>
          </cell>
          <cell r="F91">
            <v>66125244.999999993</v>
          </cell>
          <cell r="G91">
            <v>66769504</v>
          </cell>
          <cell r="H91">
            <v>67382640</v>
          </cell>
          <cell r="I91">
            <v>68000549</v>
          </cell>
          <cell r="J91">
            <v>68669122</v>
          </cell>
          <cell r="K91">
            <v>69420607</v>
          </cell>
          <cell r="L91">
            <v>70270178</v>
          </cell>
          <cell r="M91">
            <v>71208382</v>
          </cell>
          <cell r="N91">
            <v>72211696</v>
          </cell>
          <cell r="O91">
            <v>73243624</v>
          </cell>
          <cell r="P91">
            <v>74276361</v>
          </cell>
          <cell r="Q91">
            <v>75301448</v>
          </cell>
          <cell r="R91">
            <v>76323337</v>
          </cell>
          <cell r="S91">
            <v>77341915</v>
          </cell>
          <cell r="T91">
            <v>78360414</v>
          </cell>
          <cell r="U91">
            <v>79379471</v>
          </cell>
        </row>
        <row r="92">
          <cell r="A92" t="str">
            <v>Iraq</v>
          </cell>
          <cell r="B92" t="str">
            <v>IRQ</v>
          </cell>
          <cell r="C92" t="str">
            <v>EMR</v>
          </cell>
          <cell r="D92" t="str">
            <v>Dinar</v>
          </cell>
          <cell r="E92">
            <v>32.17</v>
          </cell>
          <cell r="F92">
            <v>25051543</v>
          </cell>
          <cell r="G92">
            <v>25687327</v>
          </cell>
          <cell r="H92">
            <v>26301442</v>
          </cell>
          <cell r="I92">
            <v>26891515</v>
          </cell>
          <cell r="J92">
            <v>27455768</v>
          </cell>
          <cell r="K92">
            <v>27995984</v>
          </cell>
          <cell r="L92">
            <v>28505843</v>
          </cell>
          <cell r="M92">
            <v>28993376</v>
          </cell>
          <cell r="N92">
            <v>29492184</v>
          </cell>
          <cell r="O92">
            <v>30046962</v>
          </cell>
          <cell r="P92">
            <v>30688376</v>
          </cell>
          <cell r="Q92">
            <v>31430492</v>
          </cell>
          <cell r="R92">
            <v>32260832</v>
          </cell>
          <cell r="S92">
            <v>33150478.000000004</v>
          </cell>
          <cell r="T92">
            <v>34056526</v>
          </cell>
          <cell r="U92">
            <v>34947089</v>
          </cell>
        </row>
        <row r="93">
          <cell r="A93" t="str">
            <v>Ireland</v>
          </cell>
          <cell r="B93" t="str">
            <v>IRE</v>
          </cell>
          <cell r="C93" t="str">
            <v>EME</v>
          </cell>
          <cell r="F93">
            <v>3803822</v>
          </cell>
          <cell r="G93">
            <v>3861564</v>
          </cell>
          <cell r="H93">
            <v>3925526</v>
          </cell>
          <cell r="I93">
            <v>3994713</v>
          </cell>
          <cell r="J93">
            <v>4067736</v>
          </cell>
          <cell r="K93">
            <v>4143294</v>
          </cell>
          <cell r="L93">
            <v>4221218</v>
          </cell>
          <cell r="M93">
            <v>4300902</v>
          </cell>
          <cell r="N93">
            <v>4380073</v>
          </cell>
          <cell r="O93">
            <v>4455924</v>
          </cell>
          <cell r="P93">
            <v>4526465</v>
          </cell>
          <cell r="Q93">
            <v>4590580</v>
          </cell>
          <cell r="R93">
            <v>4648708</v>
          </cell>
          <cell r="S93">
            <v>4702386</v>
          </cell>
          <cell r="T93">
            <v>4754018</v>
          </cell>
          <cell r="U93">
            <v>4805376</v>
          </cell>
        </row>
        <row r="94">
          <cell r="A94" t="str">
            <v>Israel</v>
          </cell>
          <cell r="B94" t="str">
            <v>ISR</v>
          </cell>
          <cell r="C94" t="str">
            <v>EME</v>
          </cell>
          <cell r="F94">
            <v>6084185</v>
          </cell>
          <cell r="G94">
            <v>6211612</v>
          </cell>
          <cell r="H94">
            <v>6334942</v>
          </cell>
          <cell r="I94">
            <v>6455277</v>
          </cell>
          <cell r="J94">
            <v>6573981</v>
          </cell>
          <cell r="K94">
            <v>6692037</v>
          </cell>
          <cell r="L94">
            <v>6809989</v>
          </cell>
          <cell r="M94">
            <v>6927680</v>
          </cell>
          <cell r="N94">
            <v>7044501</v>
          </cell>
          <cell r="O94">
            <v>7159464</v>
          </cell>
          <cell r="P94">
            <v>7271843</v>
          </cell>
          <cell r="Q94">
            <v>7381604</v>
          </cell>
          <cell r="R94">
            <v>7489021</v>
          </cell>
          <cell r="S94">
            <v>7594046</v>
          </cell>
          <cell r="T94">
            <v>7696668</v>
          </cell>
          <cell r="U94">
            <v>7796935</v>
          </cell>
        </row>
        <row r="95">
          <cell r="A95" t="str">
            <v>Italy</v>
          </cell>
          <cell r="B95" t="str">
            <v>ITA</v>
          </cell>
          <cell r="C95" t="str">
            <v>EME</v>
          </cell>
          <cell r="F95">
            <v>57692156</v>
          </cell>
          <cell r="G95">
            <v>57855580</v>
          </cell>
          <cell r="H95">
            <v>58055006</v>
          </cell>
          <cell r="I95">
            <v>58270758</v>
          </cell>
          <cell r="J95">
            <v>58474754</v>
          </cell>
          <cell r="K95">
            <v>58646360</v>
          </cell>
          <cell r="L95">
            <v>58778774</v>
          </cell>
          <cell r="M95">
            <v>58876835</v>
          </cell>
          <cell r="N95">
            <v>58945700</v>
          </cell>
          <cell r="O95">
            <v>58994951</v>
          </cell>
          <cell r="P95">
            <v>59031629</v>
          </cell>
          <cell r="Q95">
            <v>59056616</v>
          </cell>
          <cell r="R95">
            <v>59067048</v>
          </cell>
          <cell r="S95">
            <v>59062137</v>
          </cell>
          <cell r="T95">
            <v>59040393</v>
          </cell>
          <cell r="U95">
            <v>59001178</v>
          </cell>
        </row>
        <row r="96">
          <cell r="A96" t="str">
            <v>Jamaica</v>
          </cell>
          <cell r="B96" t="str">
            <v>JAM</v>
          </cell>
          <cell r="C96" t="str">
            <v>LAC</v>
          </cell>
          <cell r="F96">
            <v>2589069</v>
          </cell>
          <cell r="G96">
            <v>2608817</v>
          </cell>
          <cell r="H96">
            <v>2628246</v>
          </cell>
          <cell r="I96">
            <v>2647161</v>
          </cell>
          <cell r="J96">
            <v>2665296</v>
          </cell>
          <cell r="K96">
            <v>2682469</v>
          </cell>
          <cell r="L96">
            <v>2698603</v>
          </cell>
          <cell r="M96">
            <v>2713782</v>
          </cell>
          <cell r="N96">
            <v>2728196</v>
          </cell>
          <cell r="O96">
            <v>2742114</v>
          </cell>
          <cell r="P96">
            <v>2755740</v>
          </cell>
          <cell r="Q96">
            <v>2769120</v>
          </cell>
          <cell r="R96">
            <v>2782199</v>
          </cell>
          <cell r="S96">
            <v>2794958</v>
          </cell>
          <cell r="T96">
            <v>2807345</v>
          </cell>
          <cell r="U96">
            <v>2819313</v>
          </cell>
        </row>
        <row r="97">
          <cell r="A97" t="str">
            <v>Japan</v>
          </cell>
          <cell r="B97" t="str">
            <v>JPN</v>
          </cell>
          <cell r="C97" t="str">
            <v>EME</v>
          </cell>
          <cell r="F97">
            <v>127034058</v>
          </cell>
          <cell r="G97">
            <v>127273272</v>
          </cell>
          <cell r="H97">
            <v>127482808</v>
          </cell>
          <cell r="I97">
            <v>127659077</v>
          </cell>
          <cell r="J97">
            <v>127798083</v>
          </cell>
          <cell r="K97">
            <v>127896740</v>
          </cell>
          <cell r="L97">
            <v>127953099</v>
          </cell>
          <cell r="M97">
            <v>127966710</v>
          </cell>
          <cell r="N97">
            <v>127937999</v>
          </cell>
          <cell r="O97">
            <v>127868243</v>
          </cell>
          <cell r="P97">
            <v>127758424</v>
          </cell>
          <cell r="Q97">
            <v>127608775</v>
          </cell>
          <cell r="R97">
            <v>127418923</v>
          </cell>
          <cell r="S97">
            <v>127188711</v>
          </cell>
          <cell r="T97">
            <v>126917898</v>
          </cell>
          <cell r="U97">
            <v>126606682</v>
          </cell>
        </row>
        <row r="98">
          <cell r="A98" t="str">
            <v>Jordan</v>
          </cell>
          <cell r="B98" t="str">
            <v>JOR</v>
          </cell>
          <cell r="C98" t="str">
            <v>EMR</v>
          </cell>
          <cell r="F98">
            <v>4798724</v>
          </cell>
          <cell r="G98">
            <v>4918695</v>
          </cell>
          <cell r="H98">
            <v>5054962</v>
          </cell>
          <cell r="I98">
            <v>5206628</v>
          </cell>
          <cell r="J98">
            <v>5370713</v>
          </cell>
          <cell r="K98">
            <v>5544066</v>
          </cell>
          <cell r="L98">
            <v>5728965</v>
          </cell>
          <cell r="M98">
            <v>5924247</v>
          </cell>
          <cell r="N98">
            <v>6118923</v>
          </cell>
          <cell r="O98">
            <v>6298419</v>
          </cell>
          <cell r="P98">
            <v>6452706</v>
          </cell>
          <cell r="Q98">
            <v>6576965</v>
          </cell>
          <cell r="R98">
            <v>6675116</v>
          </cell>
          <cell r="S98">
            <v>6756724</v>
          </cell>
          <cell r="T98">
            <v>6836006</v>
          </cell>
          <cell r="U98">
            <v>6923395</v>
          </cell>
        </row>
        <row r="99">
          <cell r="A99" t="str">
            <v>Kazakhstan</v>
          </cell>
          <cell r="B99" t="str">
            <v>KAZ</v>
          </cell>
          <cell r="C99" t="str">
            <v>EEUR</v>
          </cell>
          <cell r="F99">
            <v>14954223</v>
          </cell>
          <cell r="G99">
            <v>14909911</v>
          </cell>
          <cell r="H99">
            <v>14933416</v>
          </cell>
          <cell r="I99">
            <v>15007820</v>
          </cell>
          <cell r="J99">
            <v>15106858</v>
          </cell>
          <cell r="K99">
            <v>15210609</v>
          </cell>
          <cell r="L99">
            <v>15314346</v>
          </cell>
          <cell r="M99">
            <v>15421864</v>
          </cell>
          <cell r="N99">
            <v>15531645</v>
          </cell>
          <cell r="O99">
            <v>15643930</v>
          </cell>
          <cell r="P99">
            <v>15758521</v>
          </cell>
          <cell r="Q99">
            <v>15873025</v>
          </cell>
          <cell r="R99">
            <v>15984703</v>
          </cell>
          <cell r="S99">
            <v>16092936</v>
          </cell>
          <cell r="T99">
            <v>16197626</v>
          </cell>
          <cell r="U99">
            <v>16298563</v>
          </cell>
        </row>
        <row r="100">
          <cell r="A100" t="str">
            <v>Kenya</v>
          </cell>
          <cell r="B100" t="str">
            <v>KEN</v>
          </cell>
          <cell r="C100" t="str">
            <v>AFRhigh</v>
          </cell>
          <cell r="D100" t="str">
            <v>Shilling</v>
          </cell>
          <cell r="E100">
            <v>75.959999999999994</v>
          </cell>
          <cell r="F100">
            <v>31251862</v>
          </cell>
          <cell r="G100">
            <v>32071251</v>
          </cell>
          <cell r="H100">
            <v>32912983</v>
          </cell>
          <cell r="I100">
            <v>33779932</v>
          </cell>
          <cell r="J100">
            <v>34674703</v>
          </cell>
          <cell r="K100">
            <v>35598952</v>
          </cell>
          <cell r="L100">
            <v>36553490</v>
          </cell>
          <cell r="M100">
            <v>37537715</v>
          </cell>
          <cell r="N100">
            <v>38549710</v>
          </cell>
          <cell r="O100">
            <v>39586504</v>
          </cell>
          <cell r="P100">
            <v>40645066</v>
          </cell>
          <cell r="Q100">
            <v>41724769</v>
          </cell>
          <cell r="R100">
            <v>42823567</v>
          </cell>
          <cell r="S100">
            <v>43935137</v>
          </cell>
          <cell r="T100">
            <v>45051598</v>
          </cell>
          <cell r="U100">
            <v>46166920</v>
          </cell>
        </row>
        <row r="101">
          <cell r="A101" t="str">
            <v>Kiribati</v>
          </cell>
          <cell r="B101" t="str">
            <v>KIR</v>
          </cell>
          <cell r="C101" t="str">
            <v>WPR</v>
          </cell>
          <cell r="F101">
            <v>84022</v>
          </cell>
          <cell r="G101">
            <v>85562</v>
          </cell>
          <cell r="H101">
            <v>87160</v>
          </cell>
          <cell r="I101">
            <v>88788</v>
          </cell>
          <cell r="J101">
            <v>90411</v>
          </cell>
          <cell r="K101">
            <v>92003</v>
          </cell>
          <cell r="L101">
            <v>93553</v>
          </cell>
          <cell r="M101">
            <v>95067</v>
          </cell>
          <cell r="N101">
            <v>96557</v>
          </cell>
          <cell r="O101">
            <v>98045</v>
          </cell>
          <cell r="P101">
            <v>99547</v>
          </cell>
          <cell r="Q101">
            <v>101063</v>
          </cell>
          <cell r="R101">
            <v>102590</v>
          </cell>
          <cell r="S101">
            <v>104129</v>
          </cell>
          <cell r="T101">
            <v>105679</v>
          </cell>
          <cell r="U101">
            <v>107240</v>
          </cell>
        </row>
        <row r="102">
          <cell r="A102" t="str">
            <v>Kuwait</v>
          </cell>
          <cell r="B102" t="str">
            <v>KUW</v>
          </cell>
          <cell r="C102" t="str">
            <v>EMR</v>
          </cell>
          <cell r="F102">
            <v>2228362</v>
          </cell>
          <cell r="G102">
            <v>2338692</v>
          </cell>
          <cell r="H102">
            <v>2439274</v>
          </cell>
          <cell r="I102">
            <v>2530928</v>
          </cell>
          <cell r="J102">
            <v>2617003</v>
          </cell>
          <cell r="K102">
            <v>2700000</v>
          </cell>
          <cell r="L102">
            <v>2778650</v>
          </cell>
          <cell r="M102">
            <v>2851144</v>
          </cell>
          <cell r="N102">
            <v>2919143</v>
          </cell>
          <cell r="O102">
            <v>2985084</v>
          </cell>
          <cell r="P102">
            <v>3050787</v>
          </cell>
          <cell r="Q102">
            <v>3116800</v>
          </cell>
          <cell r="R102">
            <v>3182780</v>
          </cell>
          <cell r="S102">
            <v>3248583</v>
          </cell>
          <cell r="T102">
            <v>3313791</v>
          </cell>
          <cell r="U102">
            <v>3378103</v>
          </cell>
        </row>
        <row r="103">
          <cell r="A103" t="str">
            <v>Kyrgyzstan</v>
          </cell>
          <cell r="B103" t="str">
            <v>KGZ</v>
          </cell>
          <cell r="C103" t="str">
            <v>EEUR</v>
          </cell>
          <cell r="D103" t="str">
            <v>Som</v>
          </cell>
          <cell r="E103">
            <v>41.957000000000001</v>
          </cell>
          <cell r="F103">
            <v>4946446</v>
          </cell>
          <cell r="G103">
            <v>5005492</v>
          </cell>
          <cell r="H103">
            <v>5057329</v>
          </cell>
          <cell r="I103">
            <v>5104843</v>
          </cell>
          <cell r="J103">
            <v>5152508</v>
          </cell>
          <cell r="K103">
            <v>5203547</v>
          </cell>
          <cell r="L103">
            <v>5258626</v>
          </cell>
          <cell r="M103">
            <v>5316544</v>
          </cell>
          <cell r="N103">
            <v>5376432</v>
          </cell>
          <cell r="O103">
            <v>5436821</v>
          </cell>
          <cell r="P103">
            <v>5496576</v>
          </cell>
          <cell r="Q103">
            <v>5555511</v>
          </cell>
          <cell r="R103">
            <v>5613828</v>
          </cell>
          <cell r="S103">
            <v>5671192</v>
          </cell>
          <cell r="T103">
            <v>5727266</v>
          </cell>
          <cell r="U103">
            <v>5781759</v>
          </cell>
        </row>
        <row r="104">
          <cell r="A104" t="str">
            <v>Lao PDR</v>
          </cell>
          <cell r="B104" t="str">
            <v>LAO</v>
          </cell>
          <cell r="C104" t="str">
            <v>WPR</v>
          </cell>
          <cell r="F104">
            <v>5223970</v>
          </cell>
          <cell r="G104">
            <v>5315553</v>
          </cell>
          <cell r="H104">
            <v>5402422</v>
          </cell>
          <cell r="I104">
            <v>5487227</v>
          </cell>
          <cell r="J104">
            <v>5573531</v>
          </cell>
          <cell r="K104">
            <v>5663910</v>
          </cell>
          <cell r="L104">
            <v>5759402</v>
          </cell>
          <cell r="M104">
            <v>5859393</v>
          </cell>
          <cell r="N104">
            <v>5962765</v>
          </cell>
          <cell r="O104">
            <v>6067645</v>
          </cell>
          <cell r="P104">
            <v>6172622</v>
          </cell>
          <cell r="Q104">
            <v>6277416</v>
          </cell>
          <cell r="R104">
            <v>6382398</v>
          </cell>
          <cell r="S104">
            <v>6487556</v>
          </cell>
          <cell r="T104">
            <v>6592999</v>
          </cell>
          <cell r="U104">
            <v>6698747</v>
          </cell>
        </row>
        <row r="105">
          <cell r="A105" t="str">
            <v>Latvia</v>
          </cell>
          <cell r="B105" t="str">
            <v>LVA</v>
          </cell>
          <cell r="C105" t="str">
            <v>EEUR</v>
          </cell>
          <cell r="F105">
            <v>2378853</v>
          </cell>
          <cell r="G105">
            <v>2361384</v>
          </cell>
          <cell r="H105">
            <v>2345021</v>
          </cell>
          <cell r="I105">
            <v>2329670</v>
          </cell>
          <cell r="J105">
            <v>2315283</v>
          </cell>
          <cell r="K105">
            <v>2301793</v>
          </cell>
          <cell r="L105">
            <v>2289095</v>
          </cell>
          <cell r="M105">
            <v>2277044</v>
          </cell>
          <cell r="N105">
            <v>2265485</v>
          </cell>
          <cell r="O105">
            <v>2254252</v>
          </cell>
          <cell r="P105">
            <v>2243209</v>
          </cell>
          <cell r="Q105">
            <v>2232249</v>
          </cell>
          <cell r="R105">
            <v>2221319</v>
          </cell>
          <cell r="S105">
            <v>2210412</v>
          </cell>
          <cell r="T105">
            <v>2199554</v>
          </cell>
          <cell r="U105">
            <v>2188749</v>
          </cell>
        </row>
        <row r="106">
          <cell r="A106" t="str">
            <v>Lebanon</v>
          </cell>
          <cell r="B106" t="str">
            <v>LEB</v>
          </cell>
          <cell r="C106" t="str">
            <v>EMR</v>
          </cell>
          <cell r="F106">
            <v>3772283</v>
          </cell>
          <cell r="G106">
            <v>3820719</v>
          </cell>
          <cell r="H106">
            <v>3869218</v>
          </cell>
          <cell r="I106">
            <v>3917538</v>
          </cell>
          <cell r="J106">
            <v>3964891</v>
          </cell>
          <cell r="K106">
            <v>4010740</v>
          </cell>
          <cell r="L106">
            <v>4055301</v>
          </cell>
          <cell r="M106">
            <v>4099114</v>
          </cell>
          <cell r="N106">
            <v>4142299</v>
          </cell>
          <cell r="O106">
            <v>4184963</v>
          </cell>
          <cell r="P106">
            <v>4227181</v>
          </cell>
          <cell r="Q106">
            <v>4269044</v>
          </cell>
          <cell r="R106">
            <v>4310550</v>
          </cell>
          <cell r="S106">
            <v>4351561</v>
          </cell>
          <cell r="T106">
            <v>4391869</v>
          </cell>
          <cell r="U106">
            <v>4431324</v>
          </cell>
        </row>
        <row r="107">
          <cell r="A107" t="str">
            <v>Lesotho</v>
          </cell>
          <cell r="B107" t="str">
            <v>LES</v>
          </cell>
          <cell r="C107" t="str">
            <v>AFRhigh</v>
          </cell>
          <cell r="D107" t="str">
            <v>Loti</v>
          </cell>
          <cell r="E107">
            <v>6.9523700000000002</v>
          </cell>
          <cell r="F107">
            <v>1885509</v>
          </cell>
          <cell r="G107">
            <v>1910562</v>
          </cell>
          <cell r="H107">
            <v>1931748</v>
          </cell>
          <cell r="I107">
            <v>1949772</v>
          </cell>
          <cell r="J107">
            <v>1965823</v>
          </cell>
          <cell r="K107">
            <v>1980831</v>
          </cell>
          <cell r="L107">
            <v>1994888</v>
          </cell>
          <cell r="M107">
            <v>2007833</v>
          </cell>
          <cell r="N107">
            <v>2020076</v>
          </cell>
          <cell r="O107">
            <v>2032077</v>
          </cell>
          <cell r="P107">
            <v>2044175</v>
          </cell>
          <cell r="Q107">
            <v>2056601</v>
          </cell>
          <cell r="R107">
            <v>2069358</v>
          </cell>
          <cell r="S107">
            <v>2082256</v>
          </cell>
          <cell r="T107">
            <v>2094967</v>
          </cell>
          <cell r="U107">
            <v>2107250</v>
          </cell>
        </row>
        <row r="108">
          <cell r="A108" t="str">
            <v>Liberia</v>
          </cell>
          <cell r="B108" t="str">
            <v>LIB</v>
          </cell>
          <cell r="C108" t="str">
            <v>AFRlow</v>
          </cell>
          <cell r="D108" t="str">
            <v>Liberian Dollar</v>
          </cell>
          <cell r="E108">
            <v>46.13</v>
          </cell>
          <cell r="F108">
            <v>3071079</v>
          </cell>
          <cell r="G108">
            <v>3181050</v>
          </cell>
          <cell r="H108">
            <v>3247001</v>
          </cell>
          <cell r="I108">
            <v>3291527</v>
          </cell>
          <cell r="J108">
            <v>3348483</v>
          </cell>
          <cell r="K108">
            <v>3441796</v>
          </cell>
          <cell r="L108">
            <v>3578925</v>
          </cell>
          <cell r="M108">
            <v>3750264</v>
          </cell>
          <cell r="N108">
            <v>3942212</v>
          </cell>
          <cell r="O108">
            <v>4134031</v>
          </cell>
          <cell r="P108">
            <v>4310822</v>
          </cell>
          <cell r="Q108">
            <v>4468771</v>
          </cell>
          <cell r="R108">
            <v>4613314</v>
          </cell>
          <cell r="S108">
            <v>4749842</v>
          </cell>
          <cell r="T108">
            <v>4887102</v>
          </cell>
          <cell r="U108">
            <v>5031534</v>
          </cell>
        </row>
        <row r="109">
          <cell r="A109" t="str">
            <v>Libyan Arab Jamahiriya</v>
          </cell>
          <cell r="B109" t="str">
            <v>LIY</v>
          </cell>
          <cell r="C109" t="str">
            <v>EMR</v>
          </cell>
          <cell r="F109">
            <v>5345662</v>
          </cell>
          <cell r="G109">
            <v>5455571</v>
          </cell>
          <cell r="H109">
            <v>5567944</v>
          </cell>
          <cell r="I109">
            <v>5682648</v>
          </cell>
          <cell r="J109">
            <v>5799484</v>
          </cell>
          <cell r="K109">
            <v>5918217</v>
          </cell>
          <cell r="L109">
            <v>6038643</v>
          </cell>
          <cell r="M109">
            <v>6160481</v>
          </cell>
          <cell r="N109">
            <v>6283283</v>
          </cell>
          <cell r="O109">
            <v>6406518</v>
          </cell>
          <cell r="P109">
            <v>6529678</v>
          </cell>
          <cell r="Q109">
            <v>6652462</v>
          </cell>
          <cell r="R109">
            <v>6774499</v>
          </cell>
          <cell r="S109">
            <v>6895121</v>
          </cell>
          <cell r="T109">
            <v>7013561</v>
          </cell>
          <cell r="U109">
            <v>7129194</v>
          </cell>
        </row>
        <row r="110">
          <cell r="A110" t="str">
            <v>Lithuania</v>
          </cell>
          <cell r="B110" t="str">
            <v>LTU</v>
          </cell>
          <cell r="C110" t="str">
            <v>EEUR</v>
          </cell>
          <cell r="F110">
            <v>3502637</v>
          </cell>
          <cell r="G110">
            <v>3483353</v>
          </cell>
          <cell r="H110">
            <v>3467528</v>
          </cell>
          <cell r="I110">
            <v>3453818</v>
          </cell>
          <cell r="J110">
            <v>3440159</v>
          </cell>
          <cell r="K110">
            <v>3425077</v>
          </cell>
          <cell r="L110">
            <v>3408148</v>
          </cell>
          <cell r="M110">
            <v>3389937</v>
          </cell>
          <cell r="N110">
            <v>3371128</v>
          </cell>
          <cell r="O110">
            <v>3352789</v>
          </cell>
          <cell r="P110">
            <v>3335672</v>
          </cell>
          <cell r="Q110">
            <v>3319934</v>
          </cell>
          <cell r="R110">
            <v>3305232</v>
          </cell>
          <cell r="S110">
            <v>3291218</v>
          </cell>
          <cell r="T110">
            <v>3277364</v>
          </cell>
          <cell r="U110">
            <v>3263264</v>
          </cell>
        </row>
        <row r="111">
          <cell r="A111" t="str">
            <v>Luxembourg</v>
          </cell>
          <cell r="B111" t="str">
            <v>LUX</v>
          </cell>
          <cell r="C111" t="str">
            <v>EME</v>
          </cell>
          <cell r="F111">
            <v>436798</v>
          </cell>
          <cell r="G111">
            <v>441210</v>
          </cell>
          <cell r="H111">
            <v>445071</v>
          </cell>
          <cell r="I111">
            <v>448670</v>
          </cell>
          <cell r="J111">
            <v>452419</v>
          </cell>
          <cell r="K111">
            <v>456613</v>
          </cell>
          <cell r="L111">
            <v>461357</v>
          </cell>
          <cell r="M111">
            <v>466557</v>
          </cell>
          <cell r="N111">
            <v>472066</v>
          </cell>
          <cell r="O111">
            <v>477654</v>
          </cell>
          <cell r="P111">
            <v>483152</v>
          </cell>
          <cell r="Q111">
            <v>488527</v>
          </cell>
          <cell r="R111">
            <v>493840</v>
          </cell>
          <cell r="S111">
            <v>499129</v>
          </cell>
          <cell r="T111">
            <v>504459</v>
          </cell>
          <cell r="U111">
            <v>509881</v>
          </cell>
        </row>
        <row r="112">
          <cell r="A112" t="str">
            <v>Madagascar</v>
          </cell>
          <cell r="B112" t="str">
            <v>MAD</v>
          </cell>
          <cell r="C112" t="str">
            <v>AFRlow</v>
          </cell>
          <cell r="D112" t="str">
            <v>Franc</v>
          </cell>
          <cell r="E112">
            <v>6053.9</v>
          </cell>
          <cell r="F112">
            <v>16186700</v>
          </cell>
          <cell r="G112">
            <v>16662075</v>
          </cell>
          <cell r="H112">
            <v>17144957</v>
          </cell>
          <cell r="I112">
            <v>17635619</v>
          </cell>
          <cell r="J112">
            <v>18134706</v>
          </cell>
          <cell r="K112">
            <v>18642586</v>
          </cell>
          <cell r="L112">
            <v>19159010</v>
          </cell>
          <cell r="M112">
            <v>19683359</v>
          </cell>
          <cell r="N112">
            <v>20215200</v>
          </cell>
          <cell r="O112">
            <v>20754008</v>
          </cell>
          <cell r="P112">
            <v>21299276</v>
          </cell>
          <cell r="Q112">
            <v>21850675</v>
          </cell>
          <cell r="R112">
            <v>22407831</v>
          </cell>
          <cell r="S112">
            <v>22970122</v>
          </cell>
          <cell r="T112">
            <v>23536848</v>
          </cell>
          <cell r="U112">
            <v>24107405</v>
          </cell>
        </row>
        <row r="113">
          <cell r="A113" t="str">
            <v>Malawi</v>
          </cell>
          <cell r="B113" t="str">
            <v>MAL</v>
          </cell>
          <cell r="C113" t="str">
            <v>AFRhigh</v>
          </cell>
          <cell r="D113" t="str">
            <v>Kwacha</v>
          </cell>
          <cell r="E113">
            <v>108.0838</v>
          </cell>
          <cell r="F113">
            <v>11623368</v>
          </cell>
          <cell r="G113">
            <v>11944555</v>
          </cell>
          <cell r="H113">
            <v>12259852</v>
          </cell>
          <cell r="I113">
            <v>12573672</v>
          </cell>
          <cell r="J113">
            <v>12893865</v>
          </cell>
          <cell r="K113">
            <v>13226091</v>
          </cell>
          <cell r="L113">
            <v>13570713</v>
          </cell>
          <cell r="M113">
            <v>13925070</v>
          </cell>
          <cell r="N113">
            <v>14288374</v>
          </cell>
          <cell r="O113">
            <v>14659255</v>
          </cell>
          <cell r="P113">
            <v>15036663</v>
          </cell>
          <cell r="Q113">
            <v>15420300</v>
          </cell>
          <cell r="R113">
            <v>15810386</v>
          </cell>
          <cell r="S113">
            <v>16206948</v>
          </cell>
          <cell r="T113">
            <v>16610129</v>
          </cell>
          <cell r="U113">
            <v>17019894</v>
          </cell>
        </row>
        <row r="114">
          <cell r="A114" t="str">
            <v>Malaysia</v>
          </cell>
          <cell r="B114" t="str">
            <v>MAA</v>
          </cell>
          <cell r="C114" t="str">
            <v>WPR</v>
          </cell>
          <cell r="D114" t="str">
            <v>Ringgit</v>
          </cell>
          <cell r="E114">
            <v>3.8</v>
          </cell>
          <cell r="F114">
            <v>23273615</v>
          </cell>
          <cell r="G114">
            <v>23774848</v>
          </cell>
          <cell r="H114">
            <v>24258296</v>
          </cell>
          <cell r="I114">
            <v>24728210</v>
          </cell>
          <cell r="J114">
            <v>25191441</v>
          </cell>
          <cell r="K114">
            <v>25652985</v>
          </cell>
          <cell r="L114">
            <v>26113731</v>
          </cell>
          <cell r="M114">
            <v>26571879</v>
          </cell>
          <cell r="N114">
            <v>27026583</v>
          </cell>
          <cell r="O114">
            <v>27476265</v>
          </cell>
          <cell r="P114">
            <v>27919755</v>
          </cell>
          <cell r="Q114">
            <v>28356834</v>
          </cell>
          <cell r="R114">
            <v>28787916</v>
          </cell>
          <cell r="S114">
            <v>29213146</v>
          </cell>
          <cell r="T114">
            <v>29632802</v>
          </cell>
          <cell r="U114">
            <v>30046963</v>
          </cell>
        </row>
        <row r="115">
          <cell r="A115" t="str">
            <v>Maldives</v>
          </cell>
          <cell r="B115" t="str">
            <v>MAV</v>
          </cell>
          <cell r="C115" t="str">
            <v>SEAR</v>
          </cell>
          <cell r="F115">
            <v>272977</v>
          </cell>
          <cell r="G115">
            <v>277434</v>
          </cell>
          <cell r="H115">
            <v>281774</v>
          </cell>
          <cell r="I115">
            <v>286112</v>
          </cell>
          <cell r="J115">
            <v>290586</v>
          </cell>
          <cell r="K115">
            <v>295297</v>
          </cell>
          <cell r="L115">
            <v>300292</v>
          </cell>
          <cell r="M115">
            <v>305556</v>
          </cell>
          <cell r="N115">
            <v>311056</v>
          </cell>
          <cell r="O115">
            <v>316731</v>
          </cell>
          <cell r="P115">
            <v>322529</v>
          </cell>
          <cell r="Q115">
            <v>328442</v>
          </cell>
          <cell r="R115">
            <v>334469</v>
          </cell>
          <cell r="S115">
            <v>340583</v>
          </cell>
          <cell r="T115">
            <v>346749</v>
          </cell>
          <cell r="U115">
            <v>352937</v>
          </cell>
        </row>
        <row r="116">
          <cell r="A116" t="str">
            <v>Mali</v>
          </cell>
          <cell r="B116" t="str">
            <v>MAI</v>
          </cell>
          <cell r="C116" t="str">
            <v>AFRlow</v>
          </cell>
          <cell r="D116" t="str">
            <v>Franc</v>
          </cell>
          <cell r="E116">
            <v>561.04999999999995</v>
          </cell>
          <cell r="F116">
            <v>10004205</v>
          </cell>
          <cell r="G116">
            <v>10297961</v>
          </cell>
          <cell r="H116">
            <v>10606724</v>
          </cell>
          <cell r="I116">
            <v>10929518</v>
          </cell>
          <cell r="J116">
            <v>11264724</v>
          </cell>
          <cell r="K116">
            <v>11611090</v>
          </cell>
          <cell r="L116">
            <v>11968376</v>
          </cell>
          <cell r="M116">
            <v>12336800</v>
          </cell>
          <cell r="N116">
            <v>12716081</v>
          </cell>
          <cell r="O116">
            <v>13105969</v>
          </cell>
          <cell r="P116">
            <v>13506226</v>
          </cell>
          <cell r="Q116">
            <v>13916495</v>
          </cell>
          <cell r="R116">
            <v>14336515</v>
          </cell>
          <cell r="S116">
            <v>14766265</v>
          </cell>
          <cell r="T116">
            <v>15205808</v>
          </cell>
          <cell r="U116">
            <v>15655093</v>
          </cell>
        </row>
        <row r="117">
          <cell r="A117" t="str">
            <v>Malta</v>
          </cell>
          <cell r="B117" t="str">
            <v>MAT</v>
          </cell>
          <cell r="C117" t="str">
            <v>EME</v>
          </cell>
          <cell r="F117">
            <v>388906</v>
          </cell>
          <cell r="G117">
            <v>391520</v>
          </cell>
          <cell r="H117">
            <v>394379</v>
          </cell>
          <cell r="I117">
            <v>397325</v>
          </cell>
          <cell r="J117">
            <v>400126</v>
          </cell>
          <cell r="K117">
            <v>402617</v>
          </cell>
          <cell r="L117">
            <v>404748</v>
          </cell>
          <cell r="M117">
            <v>406583</v>
          </cell>
          <cell r="N117">
            <v>408212</v>
          </cell>
          <cell r="O117">
            <v>409769</v>
          </cell>
          <cell r="P117">
            <v>411355</v>
          </cell>
          <cell r="Q117">
            <v>412993</v>
          </cell>
          <cell r="R117">
            <v>414650</v>
          </cell>
          <cell r="S117">
            <v>416310</v>
          </cell>
          <cell r="T117">
            <v>417938</v>
          </cell>
          <cell r="U117">
            <v>419510</v>
          </cell>
        </row>
        <row r="118">
          <cell r="A118" t="str">
            <v>Marshall Islands</v>
          </cell>
          <cell r="B118" t="str">
            <v>MSI</v>
          </cell>
          <cell r="C118" t="str">
            <v>WPR</v>
          </cell>
          <cell r="F118">
            <v>52142</v>
          </cell>
          <cell r="G118">
            <v>52736</v>
          </cell>
          <cell r="H118">
            <v>53523</v>
          </cell>
          <cell r="I118">
            <v>54480</v>
          </cell>
          <cell r="J118">
            <v>55559</v>
          </cell>
          <cell r="K118">
            <v>56720</v>
          </cell>
          <cell r="L118">
            <v>57962</v>
          </cell>
          <cell r="M118">
            <v>59286</v>
          </cell>
          <cell r="N118">
            <v>60660</v>
          </cell>
          <cell r="O118">
            <v>62041</v>
          </cell>
          <cell r="P118">
            <v>63398</v>
          </cell>
          <cell r="Q118">
            <v>64713</v>
          </cell>
          <cell r="R118">
            <v>65986</v>
          </cell>
          <cell r="S118">
            <v>67216</v>
          </cell>
          <cell r="T118">
            <v>68414</v>
          </cell>
          <cell r="U118">
            <v>69584</v>
          </cell>
        </row>
        <row r="119">
          <cell r="A119" t="str">
            <v>Mauritania</v>
          </cell>
          <cell r="B119" t="str">
            <v>MAU</v>
          </cell>
          <cell r="C119" t="str">
            <v>AFRlow</v>
          </cell>
          <cell r="D119" t="str">
            <v>Ouguiya</v>
          </cell>
          <cell r="E119">
            <v>262.64999999999998</v>
          </cell>
          <cell r="F119">
            <v>2566152</v>
          </cell>
          <cell r="G119">
            <v>2642299</v>
          </cell>
          <cell r="H119">
            <v>2720900</v>
          </cell>
          <cell r="I119">
            <v>2801196</v>
          </cell>
          <cell r="J119">
            <v>2882186</v>
          </cell>
          <cell r="K119">
            <v>2963105</v>
          </cell>
          <cell r="L119">
            <v>3043639</v>
          </cell>
          <cell r="M119">
            <v>3123818</v>
          </cell>
          <cell r="N119">
            <v>3203648</v>
          </cell>
          <cell r="O119">
            <v>3283266</v>
          </cell>
          <cell r="P119">
            <v>3362773</v>
          </cell>
          <cell r="Q119">
            <v>3442082</v>
          </cell>
          <cell r="R119">
            <v>3521094</v>
          </cell>
          <cell r="S119">
            <v>3599906</v>
          </cell>
          <cell r="T119">
            <v>3678667</v>
          </cell>
          <cell r="U119">
            <v>3757486</v>
          </cell>
        </row>
        <row r="120">
          <cell r="A120" t="str">
            <v>Mauritius</v>
          </cell>
          <cell r="B120" t="str">
            <v>MAS</v>
          </cell>
          <cell r="C120" t="str">
            <v>AFRlow</v>
          </cell>
          <cell r="D120" t="str">
            <v>Rupee</v>
          </cell>
          <cell r="E120">
            <v>28.33</v>
          </cell>
          <cell r="F120">
            <v>1185844</v>
          </cell>
          <cell r="G120">
            <v>1197365</v>
          </cell>
          <cell r="H120">
            <v>1208666</v>
          </cell>
          <cell r="I120">
            <v>1219740</v>
          </cell>
          <cell r="J120">
            <v>1230578</v>
          </cell>
          <cell r="K120">
            <v>1241173</v>
          </cell>
          <cell r="L120">
            <v>1251526</v>
          </cell>
          <cell r="M120">
            <v>1261643</v>
          </cell>
          <cell r="N120">
            <v>1271538</v>
          </cell>
          <cell r="O120">
            <v>1281225</v>
          </cell>
          <cell r="P120">
            <v>1290718</v>
          </cell>
          <cell r="Q120">
            <v>1300016</v>
          </cell>
          <cell r="R120">
            <v>1309113</v>
          </cell>
          <cell r="S120">
            <v>1318015</v>
          </cell>
          <cell r="T120">
            <v>1326723</v>
          </cell>
          <cell r="U120">
            <v>1335238</v>
          </cell>
        </row>
        <row r="121">
          <cell r="A121" t="str">
            <v>Mexico</v>
          </cell>
          <cell r="B121" t="str">
            <v>MEX</v>
          </cell>
          <cell r="C121" t="str">
            <v>LAC</v>
          </cell>
          <cell r="D121" t="str">
            <v>Peso</v>
          </cell>
          <cell r="E121">
            <v>11.170400000000001</v>
          </cell>
          <cell r="F121">
            <v>99734627</v>
          </cell>
          <cell r="G121">
            <v>100834335</v>
          </cell>
          <cell r="H121">
            <v>101734000</v>
          </cell>
          <cell r="I121">
            <v>102524964</v>
          </cell>
          <cell r="J121">
            <v>103337893</v>
          </cell>
          <cell r="K121">
            <v>104266392</v>
          </cell>
          <cell r="L121">
            <v>105342118</v>
          </cell>
          <cell r="M121">
            <v>106534878</v>
          </cell>
          <cell r="N121">
            <v>107801060</v>
          </cell>
          <cell r="O121">
            <v>109070839</v>
          </cell>
          <cell r="P121">
            <v>110292650</v>
          </cell>
          <cell r="Q121">
            <v>111456586</v>
          </cell>
          <cell r="R121">
            <v>112578490</v>
          </cell>
          <cell r="S121">
            <v>113662505</v>
          </cell>
          <cell r="T121">
            <v>114719096</v>
          </cell>
          <cell r="U121">
            <v>115755686</v>
          </cell>
        </row>
        <row r="122">
          <cell r="A122" t="str">
            <v>Micronesia</v>
          </cell>
          <cell r="B122" t="str">
            <v>MIC</v>
          </cell>
          <cell r="C122" t="str">
            <v>WPR</v>
          </cell>
          <cell r="F122">
            <v>107095</v>
          </cell>
          <cell r="G122">
            <v>107360</v>
          </cell>
          <cell r="H122">
            <v>107905</v>
          </cell>
          <cell r="I122">
            <v>108637</v>
          </cell>
          <cell r="J122">
            <v>109393</v>
          </cell>
          <cell r="K122">
            <v>110058</v>
          </cell>
          <cell r="L122">
            <v>110617</v>
          </cell>
          <cell r="M122">
            <v>111120</v>
          </cell>
          <cell r="N122">
            <v>111594</v>
          </cell>
          <cell r="O122">
            <v>112080</v>
          </cell>
          <cell r="P122">
            <v>112610</v>
          </cell>
          <cell r="Q122">
            <v>113187</v>
          </cell>
          <cell r="R122">
            <v>113802</v>
          </cell>
          <cell r="S122">
            <v>114458</v>
          </cell>
          <cell r="T122">
            <v>115160</v>
          </cell>
          <cell r="U122">
            <v>115908</v>
          </cell>
        </row>
        <row r="123">
          <cell r="A123" t="str">
            <v>Monaco</v>
          </cell>
          <cell r="B123" t="str">
            <v>MON</v>
          </cell>
          <cell r="C123" t="str">
            <v>EME</v>
          </cell>
          <cell r="F123">
            <v>32009</v>
          </cell>
          <cell r="G123">
            <v>32088</v>
          </cell>
          <cell r="H123">
            <v>32182</v>
          </cell>
          <cell r="I123">
            <v>32286</v>
          </cell>
          <cell r="J123">
            <v>32394</v>
          </cell>
          <cell r="K123">
            <v>32500</v>
          </cell>
          <cell r="L123">
            <v>32604</v>
          </cell>
          <cell r="M123">
            <v>32711</v>
          </cell>
          <cell r="N123">
            <v>32819</v>
          </cell>
          <cell r="O123">
            <v>32931</v>
          </cell>
          <cell r="P123">
            <v>33047</v>
          </cell>
          <cell r="Q123">
            <v>33167</v>
          </cell>
          <cell r="R123">
            <v>33290</v>
          </cell>
          <cell r="S123">
            <v>33419</v>
          </cell>
          <cell r="T123">
            <v>33552</v>
          </cell>
          <cell r="U123">
            <v>33692</v>
          </cell>
        </row>
        <row r="124">
          <cell r="A124" t="str">
            <v>Mongolia</v>
          </cell>
          <cell r="B124" t="str">
            <v>MOG</v>
          </cell>
          <cell r="C124" t="str">
            <v>WPR</v>
          </cell>
          <cell r="F124">
            <v>2469515</v>
          </cell>
          <cell r="G124">
            <v>2488213</v>
          </cell>
          <cell r="H124">
            <v>2509463</v>
          </cell>
          <cell r="I124">
            <v>2532653</v>
          </cell>
          <cell r="J124">
            <v>2556665</v>
          </cell>
          <cell r="K124">
            <v>2580704</v>
          </cell>
          <cell r="L124">
            <v>2604629</v>
          </cell>
          <cell r="M124">
            <v>2628837</v>
          </cell>
          <cell r="N124">
            <v>2653679</v>
          </cell>
          <cell r="O124">
            <v>2679663</v>
          </cell>
          <cell r="P124">
            <v>2707104</v>
          </cell>
          <cell r="Q124">
            <v>2736083</v>
          </cell>
          <cell r="R124">
            <v>2766298</v>
          </cell>
          <cell r="S124">
            <v>2797213</v>
          </cell>
          <cell r="T124">
            <v>2828087</v>
          </cell>
          <cell r="U124">
            <v>2858349</v>
          </cell>
        </row>
        <row r="125">
          <cell r="A125" t="str">
            <v>Montenegro</v>
          </cell>
          <cell r="B125" t="str">
            <v>MNE</v>
          </cell>
          <cell r="C125" t="str">
            <v>CEUR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607969</v>
          </cell>
          <cell r="L125">
            <v>601022</v>
          </cell>
          <cell r="M125">
            <v>597987</v>
          </cell>
          <cell r="N125">
            <v>597851</v>
          </cell>
          <cell r="O125">
            <v>598881</v>
          </cell>
          <cell r="P125">
            <v>599784</v>
          </cell>
          <cell r="Q125">
            <v>600404</v>
          </cell>
          <cell r="R125">
            <v>601175</v>
          </cell>
          <cell r="S125">
            <v>602061</v>
          </cell>
          <cell r="T125">
            <v>603116</v>
          </cell>
          <cell r="U125">
            <v>604366</v>
          </cell>
        </row>
        <row r="126">
          <cell r="A126" t="str">
            <v>Montserrat</v>
          </cell>
          <cell r="B126" t="str">
            <v>MOT</v>
          </cell>
          <cell r="C126" t="str">
            <v>LAC</v>
          </cell>
          <cell r="F126">
            <v>4958</v>
          </cell>
          <cell r="G126">
            <v>4636</v>
          </cell>
          <cell r="H126">
            <v>4688</v>
          </cell>
          <cell r="I126">
            <v>4990</v>
          </cell>
          <cell r="J126">
            <v>5351</v>
          </cell>
          <cell r="K126">
            <v>5628</v>
          </cell>
          <cell r="L126">
            <v>5789</v>
          </cell>
          <cell r="M126">
            <v>5875</v>
          </cell>
          <cell r="N126">
            <v>5905</v>
          </cell>
          <cell r="O126">
            <v>5924</v>
          </cell>
          <cell r="P126">
            <v>5962</v>
          </cell>
          <cell r="Q126">
            <v>6017</v>
          </cell>
          <cell r="R126">
            <v>6074</v>
          </cell>
          <cell r="S126">
            <v>6129</v>
          </cell>
          <cell r="T126">
            <v>6181</v>
          </cell>
          <cell r="U126">
            <v>6231</v>
          </cell>
        </row>
        <row r="127">
          <cell r="A127" t="str">
            <v>Morocco</v>
          </cell>
          <cell r="B127" t="str">
            <v>MOR</v>
          </cell>
          <cell r="C127" t="str">
            <v>EMR</v>
          </cell>
          <cell r="D127" t="str">
            <v>Dirham</v>
          </cell>
          <cell r="E127">
            <v>9.3030000000000008</v>
          </cell>
          <cell r="F127">
            <v>28827115</v>
          </cell>
          <cell r="G127">
            <v>29166464</v>
          </cell>
          <cell r="H127">
            <v>29495378</v>
          </cell>
          <cell r="I127">
            <v>29820777</v>
          </cell>
          <cell r="J127">
            <v>30151789</v>
          </cell>
          <cell r="K127">
            <v>30494991</v>
          </cell>
          <cell r="L127">
            <v>30852971</v>
          </cell>
          <cell r="M127">
            <v>31224136</v>
          </cell>
          <cell r="N127">
            <v>31605616</v>
          </cell>
          <cell r="O127">
            <v>31992592</v>
          </cell>
          <cell r="P127">
            <v>32381283</v>
          </cell>
          <cell r="Q127">
            <v>32770856</v>
          </cell>
          <cell r="R127">
            <v>33161739</v>
          </cell>
          <cell r="S127">
            <v>33552747.000000004</v>
          </cell>
          <cell r="T127">
            <v>33942706</v>
          </cell>
          <cell r="U127">
            <v>34330482</v>
          </cell>
        </row>
        <row r="128">
          <cell r="A128" t="str">
            <v>Mozambique</v>
          </cell>
          <cell r="B128" t="str">
            <v>MOZ</v>
          </cell>
          <cell r="C128" t="str">
            <v>AFRhigh</v>
          </cell>
          <cell r="D128" t="str">
            <v>Meticai</v>
          </cell>
          <cell r="E128">
            <v>23809</v>
          </cell>
          <cell r="F128">
            <v>18194196</v>
          </cell>
          <cell r="G128">
            <v>18660161</v>
          </cell>
          <cell r="H128">
            <v>19134153</v>
          </cell>
          <cell r="I128">
            <v>19609837</v>
          </cell>
          <cell r="J128">
            <v>20078143</v>
          </cell>
          <cell r="K128">
            <v>20532675</v>
          </cell>
          <cell r="L128">
            <v>20971449</v>
          </cell>
          <cell r="M128">
            <v>21396916</v>
          </cell>
          <cell r="N128">
            <v>21812551</v>
          </cell>
          <cell r="O128">
            <v>22223742</v>
          </cell>
          <cell r="P128">
            <v>22634617</v>
          </cell>
          <cell r="Q128">
            <v>23046062</v>
          </cell>
          <cell r="R128">
            <v>23457418</v>
          </cell>
          <cell r="S128">
            <v>23869488</v>
          </cell>
          <cell r="T128">
            <v>24282869</v>
          </cell>
          <cell r="U128">
            <v>24698027</v>
          </cell>
        </row>
        <row r="129">
          <cell r="A129" t="str">
            <v>Myanmar</v>
          </cell>
          <cell r="B129" t="str">
            <v>MMR</v>
          </cell>
          <cell r="C129" t="str">
            <v>SEAR</v>
          </cell>
          <cell r="D129" t="str">
            <v>Kyat</v>
          </cell>
          <cell r="E129">
            <v>5.9417</v>
          </cell>
          <cell r="F129">
            <v>45884007</v>
          </cell>
          <cell r="G129">
            <v>46343313</v>
          </cell>
          <cell r="H129">
            <v>46767998</v>
          </cell>
          <cell r="I129">
            <v>47169814</v>
          </cell>
          <cell r="J129">
            <v>47565497</v>
          </cell>
          <cell r="K129">
            <v>47967266</v>
          </cell>
          <cell r="L129">
            <v>48379206</v>
          </cell>
          <cell r="M129">
            <v>48798212</v>
          </cell>
          <cell r="N129">
            <v>49220560</v>
          </cell>
          <cell r="O129">
            <v>49639691</v>
          </cell>
          <cell r="P129">
            <v>50050767</v>
          </cell>
          <cell r="Q129">
            <v>50453315</v>
          </cell>
          <cell r="R129">
            <v>50849157</v>
          </cell>
          <cell r="S129">
            <v>51238318</v>
          </cell>
          <cell r="T129">
            <v>51621171</v>
          </cell>
          <cell r="U129">
            <v>51997923</v>
          </cell>
        </row>
        <row r="130">
          <cell r="A130" t="str">
            <v>Namibia</v>
          </cell>
          <cell r="B130" t="str">
            <v>NAM</v>
          </cell>
          <cell r="C130" t="str">
            <v>AFRhigh</v>
          </cell>
          <cell r="D130" t="str">
            <v>Namibia Dollar</v>
          </cell>
          <cell r="E130">
            <v>6.9523700000000002</v>
          </cell>
          <cell r="F130">
            <v>1879458</v>
          </cell>
          <cell r="G130">
            <v>1913018</v>
          </cell>
          <cell r="H130">
            <v>1942243</v>
          </cell>
          <cell r="I130">
            <v>1968514</v>
          </cell>
          <cell r="J130">
            <v>1993832</v>
          </cell>
          <cell r="K130">
            <v>2019677</v>
          </cell>
          <cell r="L130">
            <v>2046555</v>
          </cell>
          <cell r="M130">
            <v>2074148</v>
          </cell>
          <cell r="N130">
            <v>2102140</v>
          </cell>
          <cell r="O130">
            <v>2129905</v>
          </cell>
          <cell r="P130">
            <v>2157021</v>
          </cell>
          <cell r="Q130">
            <v>2183452</v>
          </cell>
          <cell r="R130">
            <v>2209496</v>
          </cell>
          <cell r="S130">
            <v>2235433</v>
          </cell>
          <cell r="T130">
            <v>2261648</v>
          </cell>
          <cell r="U130">
            <v>2288402</v>
          </cell>
        </row>
        <row r="131">
          <cell r="A131" t="str">
            <v>Nauru</v>
          </cell>
          <cell r="B131" t="str">
            <v>NRU</v>
          </cell>
          <cell r="C131" t="str">
            <v>WPR</v>
          </cell>
          <cell r="F131">
            <v>10038</v>
          </cell>
          <cell r="G131">
            <v>10043</v>
          </cell>
          <cell r="H131">
            <v>10055</v>
          </cell>
          <cell r="I131">
            <v>10072</v>
          </cell>
          <cell r="J131">
            <v>10092</v>
          </cell>
          <cell r="K131">
            <v>10111</v>
          </cell>
          <cell r="L131">
            <v>10130</v>
          </cell>
          <cell r="M131">
            <v>10152</v>
          </cell>
          <cell r="N131">
            <v>10180</v>
          </cell>
          <cell r="O131">
            <v>10214</v>
          </cell>
          <cell r="P131">
            <v>10258</v>
          </cell>
          <cell r="Q131">
            <v>10314</v>
          </cell>
          <cell r="R131">
            <v>10378</v>
          </cell>
          <cell r="S131">
            <v>10448</v>
          </cell>
          <cell r="T131">
            <v>10517</v>
          </cell>
          <cell r="U131">
            <v>10582</v>
          </cell>
        </row>
        <row r="132">
          <cell r="A132" t="str">
            <v>Nepal</v>
          </cell>
          <cell r="B132" t="str">
            <v>NEP</v>
          </cell>
          <cell r="C132" t="str">
            <v>SEAR</v>
          </cell>
          <cell r="D132" t="str">
            <v>Rupee</v>
          </cell>
          <cell r="E132">
            <v>74.349999999999994</v>
          </cell>
          <cell r="F132">
            <v>24419299</v>
          </cell>
          <cell r="G132">
            <v>24958461</v>
          </cell>
          <cell r="H132">
            <v>25491156</v>
          </cell>
          <cell r="I132">
            <v>26021103</v>
          </cell>
          <cell r="J132">
            <v>26553885</v>
          </cell>
          <cell r="K132">
            <v>27093656</v>
          </cell>
          <cell r="L132">
            <v>27641362</v>
          </cell>
          <cell r="M132">
            <v>28195993</v>
          </cell>
          <cell r="N132">
            <v>28757414</v>
          </cell>
          <cell r="O132">
            <v>29324968</v>
          </cell>
          <cell r="P132">
            <v>29898097</v>
          </cell>
          <cell r="Q132">
            <v>30476765</v>
          </cell>
          <cell r="R132">
            <v>31061053</v>
          </cell>
          <cell r="S132">
            <v>31650542</v>
          </cell>
          <cell r="T132">
            <v>32244676</v>
          </cell>
          <cell r="U132">
            <v>32842832.000000004</v>
          </cell>
        </row>
        <row r="133">
          <cell r="A133" t="str">
            <v>Netherlands</v>
          </cell>
          <cell r="B133" t="str">
            <v>NET</v>
          </cell>
          <cell r="C133" t="str">
            <v>EME</v>
          </cell>
          <cell r="F133">
            <v>15923887</v>
          </cell>
          <cell r="G133">
            <v>16014106</v>
          </cell>
          <cell r="H133">
            <v>16103123</v>
          </cell>
          <cell r="I133">
            <v>16187702</v>
          </cell>
          <cell r="J133">
            <v>16263531</v>
          </cell>
          <cell r="K133">
            <v>16327690</v>
          </cell>
          <cell r="L133">
            <v>16378997</v>
          </cell>
          <cell r="M133">
            <v>16418826</v>
          </cell>
          <cell r="N133">
            <v>16450022</v>
          </cell>
          <cell r="O133">
            <v>16476766</v>
          </cell>
          <cell r="P133">
            <v>16502272</v>
          </cell>
          <cell r="Q133">
            <v>16527599.999999998</v>
          </cell>
          <cell r="R133">
            <v>16552443</v>
          </cell>
          <cell r="S133">
            <v>16577046.999999998</v>
          </cell>
          <cell r="T133">
            <v>16601294.000000002</v>
          </cell>
          <cell r="U133">
            <v>16625232</v>
          </cell>
        </row>
        <row r="134">
          <cell r="A134" t="str">
            <v>Netherlands Antilles</v>
          </cell>
          <cell r="B134" t="str">
            <v>NEA</v>
          </cell>
          <cell r="C134" t="str">
            <v>LAC</v>
          </cell>
          <cell r="F134">
            <v>180665</v>
          </cell>
          <cell r="G134">
            <v>180410</v>
          </cell>
          <cell r="H134">
            <v>181028</v>
          </cell>
          <cell r="I134">
            <v>182385</v>
          </cell>
          <cell r="J134">
            <v>184240</v>
          </cell>
          <cell r="K134">
            <v>186392</v>
          </cell>
          <cell r="L134">
            <v>188838</v>
          </cell>
          <cell r="M134">
            <v>191572</v>
          </cell>
          <cell r="N134">
            <v>194381</v>
          </cell>
          <cell r="O134">
            <v>197001</v>
          </cell>
          <cell r="P134">
            <v>199241</v>
          </cell>
          <cell r="Q134">
            <v>201000</v>
          </cell>
          <cell r="R134">
            <v>202307</v>
          </cell>
          <cell r="S134">
            <v>203255</v>
          </cell>
          <cell r="T134">
            <v>204007</v>
          </cell>
          <cell r="U134">
            <v>204685</v>
          </cell>
        </row>
        <row r="135">
          <cell r="A135" t="str">
            <v>New Caledonia</v>
          </cell>
          <cell r="B135" t="str">
            <v>NEC</v>
          </cell>
          <cell r="C135" t="str">
            <v>WPR</v>
          </cell>
          <cell r="F135">
            <v>215017</v>
          </cell>
          <cell r="G135">
            <v>219049</v>
          </cell>
          <cell r="H135">
            <v>222930</v>
          </cell>
          <cell r="I135">
            <v>226706</v>
          </cell>
          <cell r="J135">
            <v>230441</v>
          </cell>
          <cell r="K135">
            <v>234185</v>
          </cell>
          <cell r="L135">
            <v>237950</v>
          </cell>
          <cell r="M135">
            <v>241724</v>
          </cell>
          <cell r="N135">
            <v>245487</v>
          </cell>
          <cell r="O135">
            <v>249213</v>
          </cell>
          <cell r="P135">
            <v>252881</v>
          </cell>
          <cell r="Q135">
            <v>256487</v>
          </cell>
          <cell r="R135">
            <v>260040</v>
          </cell>
          <cell r="S135">
            <v>263548</v>
          </cell>
          <cell r="T135">
            <v>267022</v>
          </cell>
          <cell r="U135">
            <v>270472</v>
          </cell>
        </row>
        <row r="136">
          <cell r="A136" t="str">
            <v>New Zealand</v>
          </cell>
          <cell r="B136" t="str">
            <v>NEZ</v>
          </cell>
          <cell r="C136" t="str">
            <v>EME</v>
          </cell>
          <cell r="F136">
            <v>3854038</v>
          </cell>
          <cell r="G136">
            <v>3898775</v>
          </cell>
          <cell r="H136">
            <v>3948132</v>
          </cell>
          <cell r="I136">
            <v>3999785</v>
          </cell>
          <cell r="J136">
            <v>4050276</v>
          </cell>
          <cell r="K136">
            <v>4097112</v>
          </cell>
          <cell r="L136">
            <v>4139585</v>
          </cell>
          <cell r="M136">
            <v>4178523</v>
          </cell>
          <cell r="N136">
            <v>4214814</v>
          </cell>
          <cell r="O136">
            <v>4249927</v>
          </cell>
          <cell r="P136">
            <v>4284947</v>
          </cell>
          <cell r="Q136">
            <v>4320048</v>
          </cell>
          <cell r="R136">
            <v>4354872</v>
          </cell>
          <cell r="S136">
            <v>4389357</v>
          </cell>
          <cell r="T136">
            <v>4423321</v>
          </cell>
          <cell r="U136">
            <v>4456641</v>
          </cell>
        </row>
        <row r="137">
          <cell r="A137" t="str">
            <v>Nicaragua</v>
          </cell>
          <cell r="B137" t="str">
            <v>NIC</v>
          </cell>
          <cell r="C137" t="str">
            <v>LAC</v>
          </cell>
          <cell r="D137" t="str">
            <v>Cordoba</v>
          </cell>
          <cell r="E137">
            <v>15.36</v>
          </cell>
          <cell r="F137">
            <v>5108209</v>
          </cell>
          <cell r="G137">
            <v>5184137</v>
          </cell>
          <cell r="H137">
            <v>5256034</v>
          </cell>
          <cell r="I137">
            <v>5325251</v>
          </cell>
          <cell r="J137">
            <v>5393597</v>
          </cell>
          <cell r="K137">
            <v>5462539</v>
          </cell>
          <cell r="L137">
            <v>5532364</v>
          </cell>
          <cell r="M137">
            <v>5603192</v>
          </cell>
          <cell r="N137">
            <v>5676067</v>
          </cell>
          <cell r="O137">
            <v>5752158</v>
          </cell>
          <cell r="P137">
            <v>5832180</v>
          </cell>
          <cell r="Q137">
            <v>5916692</v>
          </cell>
          <cell r="R137">
            <v>6005243</v>
          </cell>
          <cell r="S137">
            <v>6096229</v>
          </cell>
          <cell r="T137">
            <v>6187375</v>
          </cell>
          <cell r="U137">
            <v>6276960</v>
          </cell>
        </row>
        <row r="138">
          <cell r="A138" t="str">
            <v>Niger</v>
          </cell>
          <cell r="B138" t="str">
            <v>NIG</v>
          </cell>
          <cell r="C138" t="str">
            <v>AFRlow</v>
          </cell>
          <cell r="D138" t="str">
            <v>Franc</v>
          </cell>
          <cell r="E138">
            <v>561.04999999999995</v>
          </cell>
          <cell r="F138">
            <v>11123951</v>
          </cell>
          <cell r="G138">
            <v>11526789</v>
          </cell>
          <cell r="H138">
            <v>11940808</v>
          </cell>
          <cell r="I138">
            <v>12367244</v>
          </cell>
          <cell r="J138">
            <v>12807896</v>
          </cell>
          <cell r="K138">
            <v>13264190</v>
          </cell>
          <cell r="L138">
            <v>13736722</v>
          </cell>
          <cell r="M138">
            <v>14225523</v>
          </cell>
          <cell r="N138">
            <v>14730798</v>
          </cell>
          <cell r="O138">
            <v>15252608</v>
          </cell>
          <cell r="P138">
            <v>15791139</v>
          </cell>
          <cell r="Q138">
            <v>16346781</v>
          </cell>
          <cell r="R138">
            <v>16920154</v>
          </cell>
          <cell r="S138">
            <v>17511950</v>
          </cell>
          <cell r="T138">
            <v>18122955</v>
          </cell>
          <cell r="U138">
            <v>18753866</v>
          </cell>
        </row>
        <row r="139">
          <cell r="A139" t="str">
            <v>Nigeria</v>
          </cell>
          <cell r="B139" t="str">
            <v>NIE</v>
          </cell>
          <cell r="C139" t="str">
            <v>AFRhigh</v>
          </cell>
          <cell r="D139" t="str">
            <v>Naira</v>
          </cell>
          <cell r="E139">
            <v>127.605</v>
          </cell>
          <cell r="F139">
            <v>124772607</v>
          </cell>
          <cell r="G139">
            <v>128038623</v>
          </cell>
          <cell r="H139">
            <v>131336204.99999999</v>
          </cell>
          <cell r="I139">
            <v>134659379</v>
          </cell>
          <cell r="J139">
            <v>138001086</v>
          </cell>
          <cell r="K139">
            <v>141356083</v>
          </cell>
          <cell r="L139">
            <v>144719953</v>
          </cell>
          <cell r="M139">
            <v>148092542</v>
          </cell>
          <cell r="N139">
            <v>151478125</v>
          </cell>
          <cell r="O139">
            <v>154883598</v>
          </cell>
          <cell r="P139">
            <v>158313209</v>
          </cell>
          <cell r="Q139">
            <v>161766975</v>
          </cell>
          <cell r="R139">
            <v>165240454</v>
          </cell>
          <cell r="S139">
            <v>168727935</v>
          </cell>
          <cell r="T139">
            <v>172221726</v>
          </cell>
          <cell r="U139">
            <v>175715469</v>
          </cell>
        </row>
        <row r="140">
          <cell r="A140" t="str">
            <v>Niue</v>
          </cell>
          <cell r="B140" t="str">
            <v>NIU</v>
          </cell>
          <cell r="C140" t="str">
            <v>WPR</v>
          </cell>
          <cell r="F140">
            <v>1877</v>
          </cell>
          <cell r="G140">
            <v>1813</v>
          </cell>
          <cell r="H140">
            <v>1758</v>
          </cell>
          <cell r="I140">
            <v>1711</v>
          </cell>
          <cell r="J140">
            <v>1671</v>
          </cell>
          <cell r="K140">
            <v>1632</v>
          </cell>
          <cell r="L140">
            <v>1597</v>
          </cell>
          <cell r="M140">
            <v>1565</v>
          </cell>
          <cell r="N140">
            <v>1538</v>
          </cell>
          <cell r="O140">
            <v>1512</v>
          </cell>
          <cell r="P140">
            <v>1488</v>
          </cell>
          <cell r="Q140">
            <v>1465</v>
          </cell>
          <cell r="R140">
            <v>1443</v>
          </cell>
          <cell r="S140">
            <v>1422</v>
          </cell>
          <cell r="T140">
            <v>1404</v>
          </cell>
          <cell r="U140">
            <v>1387</v>
          </cell>
        </row>
        <row r="141">
          <cell r="A141" t="str">
            <v>Northern Mariana Is</v>
          </cell>
          <cell r="B141" t="str">
            <v>NMI</v>
          </cell>
          <cell r="C141" t="str">
            <v>WPR</v>
          </cell>
          <cell r="F141">
            <v>69002</v>
          </cell>
          <cell r="G141">
            <v>71301</v>
          </cell>
          <cell r="H141">
            <v>73647</v>
          </cell>
          <cell r="I141">
            <v>75977</v>
          </cell>
          <cell r="J141">
            <v>78202</v>
          </cell>
          <cell r="K141">
            <v>80258</v>
          </cell>
          <cell r="L141">
            <v>82128</v>
          </cell>
          <cell r="M141">
            <v>83837</v>
          </cell>
          <cell r="N141">
            <v>85425</v>
          </cell>
          <cell r="O141">
            <v>86953</v>
          </cell>
          <cell r="P141">
            <v>88466</v>
          </cell>
          <cell r="Q141">
            <v>89974</v>
          </cell>
          <cell r="R141">
            <v>91472</v>
          </cell>
          <cell r="S141">
            <v>92966</v>
          </cell>
          <cell r="T141">
            <v>94461</v>
          </cell>
          <cell r="U141">
            <v>95959</v>
          </cell>
        </row>
        <row r="142">
          <cell r="A142" t="str">
            <v>Norway</v>
          </cell>
          <cell r="B142" t="str">
            <v>NOR</v>
          </cell>
          <cell r="C142" t="str">
            <v>EME</v>
          </cell>
          <cell r="F142">
            <v>4488727</v>
          </cell>
          <cell r="G142">
            <v>4517562</v>
          </cell>
          <cell r="H142">
            <v>4547435</v>
          </cell>
          <cell r="I142">
            <v>4577948</v>
          </cell>
          <cell r="J142">
            <v>4608550</v>
          </cell>
          <cell r="K142">
            <v>4638836</v>
          </cell>
          <cell r="L142">
            <v>4668658</v>
          </cell>
          <cell r="M142">
            <v>4698097</v>
          </cell>
          <cell r="N142">
            <v>4727260</v>
          </cell>
          <cell r="O142">
            <v>4756341</v>
          </cell>
          <cell r="P142">
            <v>4785489</v>
          </cell>
          <cell r="Q142">
            <v>4814708</v>
          </cell>
          <cell r="R142">
            <v>4843936</v>
          </cell>
          <cell r="S142">
            <v>4873179</v>
          </cell>
          <cell r="T142">
            <v>4902439</v>
          </cell>
          <cell r="U142">
            <v>4931719</v>
          </cell>
        </row>
        <row r="143">
          <cell r="A143" t="str">
            <v>Oman</v>
          </cell>
          <cell r="B143" t="str">
            <v>OMA</v>
          </cell>
          <cell r="C143" t="str">
            <v>EMR</v>
          </cell>
          <cell r="D143" t="str">
            <v>Rial</v>
          </cell>
          <cell r="E143">
            <v>0.38450000000000001</v>
          </cell>
          <cell r="F143">
            <v>2402184</v>
          </cell>
          <cell r="G143">
            <v>2426700</v>
          </cell>
          <cell r="H143">
            <v>2444096</v>
          </cell>
          <cell r="I143">
            <v>2459224</v>
          </cell>
          <cell r="J143">
            <v>2478645</v>
          </cell>
          <cell r="K143">
            <v>2507042</v>
          </cell>
          <cell r="L143">
            <v>2546325</v>
          </cell>
          <cell r="M143">
            <v>2595132</v>
          </cell>
          <cell r="N143">
            <v>2650820</v>
          </cell>
          <cell r="O143">
            <v>2709199</v>
          </cell>
          <cell r="P143">
            <v>2767145</v>
          </cell>
          <cell r="Q143">
            <v>2823983</v>
          </cell>
          <cell r="R143">
            <v>2880547</v>
          </cell>
          <cell r="S143">
            <v>2936969</v>
          </cell>
          <cell r="T143">
            <v>2993748</v>
          </cell>
          <cell r="U143">
            <v>3051199</v>
          </cell>
        </row>
        <row r="144">
          <cell r="A144" t="str">
            <v>Pakistan</v>
          </cell>
          <cell r="B144" t="str">
            <v>PAK</v>
          </cell>
          <cell r="C144" t="str">
            <v>EMR</v>
          </cell>
          <cell r="D144" t="str">
            <v>Rupee</v>
          </cell>
          <cell r="E144">
            <v>57.628999999999998</v>
          </cell>
          <cell r="F144">
            <v>144360447</v>
          </cell>
          <cell r="G144">
            <v>147288856</v>
          </cell>
          <cell r="H144">
            <v>150036288</v>
          </cell>
          <cell r="I144">
            <v>152679670</v>
          </cell>
          <cell r="J144">
            <v>155332699</v>
          </cell>
          <cell r="K144">
            <v>158080591</v>
          </cell>
          <cell r="L144">
            <v>160943055</v>
          </cell>
          <cell r="M144">
            <v>163902407</v>
          </cell>
          <cell r="N144">
            <v>166961294</v>
          </cell>
          <cell r="O144">
            <v>170113075</v>
          </cell>
          <cell r="P144">
            <v>173350618</v>
          </cell>
          <cell r="Q144">
            <v>176678672</v>
          </cell>
          <cell r="R144">
            <v>180096935</v>
          </cell>
          <cell r="S144">
            <v>183584607</v>
          </cell>
          <cell r="T144">
            <v>187113142</v>
          </cell>
          <cell r="U144">
            <v>190658778</v>
          </cell>
        </row>
        <row r="145">
          <cell r="A145" t="str">
            <v>Palau</v>
          </cell>
          <cell r="B145" t="str">
            <v>BLA</v>
          </cell>
          <cell r="C145" t="str">
            <v>WPR</v>
          </cell>
          <cell r="F145">
            <v>19277</v>
          </cell>
          <cell r="G145">
            <v>19554</v>
          </cell>
          <cell r="H145">
            <v>19758</v>
          </cell>
          <cell r="I145">
            <v>19906</v>
          </cell>
          <cell r="J145">
            <v>20023</v>
          </cell>
          <cell r="K145">
            <v>20127</v>
          </cell>
          <cell r="L145">
            <v>20225</v>
          </cell>
          <cell r="M145">
            <v>20314</v>
          </cell>
          <cell r="N145">
            <v>20397</v>
          </cell>
          <cell r="O145">
            <v>20473</v>
          </cell>
          <cell r="P145">
            <v>20543</v>
          </cell>
          <cell r="Q145">
            <v>20607</v>
          </cell>
          <cell r="R145">
            <v>20673</v>
          </cell>
          <cell r="S145">
            <v>20748</v>
          </cell>
          <cell r="T145">
            <v>20849</v>
          </cell>
          <cell r="U145">
            <v>20981</v>
          </cell>
        </row>
        <row r="146">
          <cell r="A146" t="str">
            <v>Panama</v>
          </cell>
          <cell r="B146" t="str">
            <v>PAN</v>
          </cell>
          <cell r="C146" t="str">
            <v>LAC</v>
          </cell>
          <cell r="D146" t="str">
            <v>Balvoa</v>
          </cell>
          <cell r="E146">
            <v>1</v>
          </cell>
          <cell r="F146">
            <v>2949948</v>
          </cell>
          <cell r="G146">
            <v>3006435</v>
          </cell>
          <cell r="H146">
            <v>3062835</v>
          </cell>
          <cell r="I146">
            <v>3119132</v>
          </cell>
          <cell r="J146">
            <v>3175354</v>
          </cell>
          <cell r="K146">
            <v>3231502</v>
          </cell>
          <cell r="L146">
            <v>3287538</v>
          </cell>
          <cell r="M146">
            <v>3343374</v>
          </cell>
          <cell r="N146">
            <v>3398912</v>
          </cell>
          <cell r="O146">
            <v>3454032</v>
          </cell>
          <cell r="P146">
            <v>3508645</v>
          </cell>
          <cell r="Q146">
            <v>3562694</v>
          </cell>
          <cell r="R146">
            <v>3616175</v>
          </cell>
          <cell r="S146">
            <v>3669124</v>
          </cell>
          <cell r="T146">
            <v>3721605</v>
          </cell>
          <cell r="U146">
            <v>3773662</v>
          </cell>
        </row>
        <row r="147">
          <cell r="A147" t="str">
            <v>Papua New Guinea</v>
          </cell>
          <cell r="B147" t="str">
            <v>PNG</v>
          </cell>
          <cell r="C147" t="str">
            <v>WPR</v>
          </cell>
          <cell r="D147" t="str">
            <v>Kina</v>
          </cell>
          <cell r="E147">
            <v>3.3760972316002698</v>
          </cell>
          <cell r="F147">
            <v>5381219</v>
          </cell>
          <cell r="G147">
            <v>5520164</v>
          </cell>
          <cell r="H147">
            <v>5659380</v>
          </cell>
          <cell r="I147">
            <v>5797990</v>
          </cell>
          <cell r="J147">
            <v>5935005</v>
          </cell>
          <cell r="K147">
            <v>6069710</v>
          </cell>
          <cell r="L147">
            <v>6201692</v>
          </cell>
          <cell r="M147">
            <v>6331011</v>
          </cell>
          <cell r="N147">
            <v>6458059</v>
          </cell>
          <cell r="O147">
            <v>6583508</v>
          </cell>
          <cell r="P147">
            <v>6707910</v>
          </cell>
          <cell r="Q147">
            <v>6831335</v>
          </cell>
          <cell r="R147">
            <v>6953775</v>
          </cell>
          <cell r="S147">
            <v>7075631</v>
          </cell>
          <cell r="T147">
            <v>7197376</v>
          </cell>
          <cell r="U147">
            <v>7319382</v>
          </cell>
        </row>
        <row r="148">
          <cell r="A148" t="str">
            <v>Paraguay</v>
          </cell>
          <cell r="B148" t="str">
            <v>PAR</v>
          </cell>
          <cell r="C148" t="str">
            <v>LAC</v>
          </cell>
          <cell r="D148" t="str">
            <v>Guaranies</v>
          </cell>
          <cell r="E148">
            <v>6206.5</v>
          </cell>
          <cell r="F148">
            <v>5349340</v>
          </cell>
          <cell r="G148">
            <v>5459961</v>
          </cell>
          <cell r="H148">
            <v>5570807</v>
          </cell>
          <cell r="I148">
            <v>5681850</v>
          </cell>
          <cell r="J148">
            <v>5793045</v>
          </cell>
          <cell r="K148">
            <v>5904342</v>
          </cell>
          <cell r="L148">
            <v>6015701</v>
          </cell>
          <cell r="M148">
            <v>6127073</v>
          </cell>
          <cell r="N148">
            <v>6238376</v>
          </cell>
          <cell r="O148">
            <v>6349513</v>
          </cell>
          <cell r="P148">
            <v>6460384</v>
          </cell>
          <cell r="Q148">
            <v>6570919</v>
          </cell>
          <cell r="R148">
            <v>6681037</v>
          </cell>
          <cell r="S148">
            <v>6790614</v>
          </cell>
          <cell r="T148">
            <v>6899511</v>
          </cell>
          <cell r="U148">
            <v>7007601</v>
          </cell>
        </row>
        <row r="149">
          <cell r="A149" t="str">
            <v>Peru</v>
          </cell>
          <cell r="B149" t="str">
            <v>PER</v>
          </cell>
          <cell r="C149" t="str">
            <v>LAC</v>
          </cell>
          <cell r="D149" t="str">
            <v>Nuevo</v>
          </cell>
          <cell r="E149">
            <v>3.4780000000000002</v>
          </cell>
          <cell r="F149">
            <v>25662617</v>
          </cell>
          <cell r="G149">
            <v>25995324</v>
          </cell>
          <cell r="H149">
            <v>26321036</v>
          </cell>
          <cell r="I149">
            <v>26641453</v>
          </cell>
          <cell r="J149">
            <v>26958549</v>
          </cell>
          <cell r="K149">
            <v>27274266</v>
          </cell>
          <cell r="L149">
            <v>27588577</v>
          </cell>
          <cell r="M149">
            <v>27902760</v>
          </cell>
          <cell r="N149">
            <v>28221492</v>
          </cell>
          <cell r="O149">
            <v>28550628</v>
          </cell>
          <cell r="P149">
            <v>28893953</v>
          </cell>
          <cell r="Q149">
            <v>29253540</v>
          </cell>
          <cell r="R149">
            <v>29627259</v>
          </cell>
          <cell r="S149">
            <v>30009380</v>
          </cell>
          <cell r="T149">
            <v>30391689</v>
          </cell>
          <cell r="U149">
            <v>30767960</v>
          </cell>
        </row>
        <row r="150">
          <cell r="A150" t="str">
            <v>Philippines</v>
          </cell>
          <cell r="B150" t="str">
            <v>PHL</v>
          </cell>
          <cell r="C150" t="str">
            <v>WPR</v>
          </cell>
          <cell r="D150" t="str">
            <v>Peso</v>
          </cell>
          <cell r="E150">
            <v>54.951999999999998</v>
          </cell>
          <cell r="F150">
            <v>76213060</v>
          </cell>
          <cell r="G150">
            <v>77833803</v>
          </cell>
          <cell r="H150">
            <v>79489929</v>
          </cell>
          <cell r="I150">
            <v>81172343</v>
          </cell>
          <cell r="J150">
            <v>82867926</v>
          </cell>
          <cell r="K150">
            <v>84566163</v>
          </cell>
          <cell r="L150">
            <v>86263713</v>
          </cell>
          <cell r="M150">
            <v>87960115</v>
          </cell>
          <cell r="N150">
            <v>89651082</v>
          </cell>
          <cell r="O150">
            <v>91332466</v>
          </cell>
          <cell r="P150">
            <v>93000873</v>
          </cell>
          <cell r="Q150">
            <v>94653106</v>
          </cell>
          <cell r="R150">
            <v>96287502</v>
          </cell>
          <cell r="S150">
            <v>97904331</v>
          </cell>
          <cell r="T150">
            <v>99505002</v>
          </cell>
          <cell r="U150">
            <v>101090313</v>
          </cell>
        </row>
        <row r="151">
          <cell r="A151" t="str">
            <v>Poland</v>
          </cell>
          <cell r="B151" t="str">
            <v>POL</v>
          </cell>
          <cell r="C151" t="str">
            <v>CEUR</v>
          </cell>
          <cell r="F151">
            <v>38432879</v>
          </cell>
          <cell r="G151">
            <v>38384383</v>
          </cell>
          <cell r="H151">
            <v>38338414</v>
          </cell>
          <cell r="I151">
            <v>38293598</v>
          </cell>
          <cell r="J151">
            <v>38246727</v>
          </cell>
          <cell r="K151">
            <v>38195558</v>
          </cell>
          <cell r="L151">
            <v>38140107</v>
          </cell>
          <cell r="M151">
            <v>38081970</v>
          </cell>
          <cell r="N151">
            <v>38022140</v>
          </cell>
          <cell r="O151">
            <v>37961944</v>
          </cell>
          <cell r="P151">
            <v>37902109</v>
          </cell>
          <cell r="Q151">
            <v>37842885</v>
          </cell>
          <cell r="R151">
            <v>37783302</v>
          </cell>
          <cell r="S151">
            <v>37721323</v>
          </cell>
          <cell r="T151">
            <v>37654183</v>
          </cell>
          <cell r="U151">
            <v>37579698</v>
          </cell>
        </row>
        <row r="152">
          <cell r="A152" t="str">
            <v>Portugal</v>
          </cell>
          <cell r="B152" t="str">
            <v>POR</v>
          </cell>
          <cell r="C152" t="str">
            <v>EME</v>
          </cell>
          <cell r="F152">
            <v>10227339</v>
          </cell>
          <cell r="G152">
            <v>10284495</v>
          </cell>
          <cell r="H152">
            <v>10346365</v>
          </cell>
          <cell r="I152">
            <v>10410002</v>
          </cell>
          <cell r="J152">
            <v>10471586</v>
          </cell>
          <cell r="K152">
            <v>10528226</v>
          </cell>
          <cell r="L152">
            <v>10578659</v>
          </cell>
          <cell r="M152">
            <v>10623032</v>
          </cell>
          <cell r="N152">
            <v>10661632</v>
          </cell>
          <cell r="O152">
            <v>10695337</v>
          </cell>
          <cell r="P152">
            <v>10724806</v>
          </cell>
          <cell r="Q152">
            <v>10749885</v>
          </cell>
          <cell r="R152">
            <v>10770185</v>
          </cell>
          <cell r="S152">
            <v>10785929</v>
          </cell>
          <cell r="T152">
            <v>10797433</v>
          </cell>
          <cell r="U152">
            <v>10804990</v>
          </cell>
        </row>
        <row r="153">
          <cell r="A153" t="str">
            <v>Puerto Rico</v>
          </cell>
          <cell r="B153" t="str">
            <v>PUR</v>
          </cell>
          <cell r="C153" t="str">
            <v>LAC</v>
          </cell>
          <cell r="F153">
            <v>3834100</v>
          </cell>
          <cell r="G153">
            <v>3858070</v>
          </cell>
          <cell r="H153">
            <v>3880991</v>
          </cell>
          <cell r="I153">
            <v>3903169</v>
          </cell>
          <cell r="J153">
            <v>3925000</v>
          </cell>
          <cell r="K153">
            <v>3946779</v>
          </cell>
          <cell r="L153">
            <v>3968624</v>
          </cell>
          <cell r="M153">
            <v>3990505</v>
          </cell>
          <cell r="N153">
            <v>4012389</v>
          </cell>
          <cell r="O153">
            <v>4034180</v>
          </cell>
          <cell r="P153">
            <v>4055797</v>
          </cell>
          <cell r="Q153">
            <v>4077251</v>
          </cell>
          <cell r="R153">
            <v>4098548</v>
          </cell>
          <cell r="S153">
            <v>4119580</v>
          </cell>
          <cell r="T153">
            <v>4140210</v>
          </cell>
          <cell r="U153">
            <v>4160326</v>
          </cell>
        </row>
        <row r="154">
          <cell r="A154" t="str">
            <v>Qatar</v>
          </cell>
          <cell r="B154" t="str">
            <v>QAT</v>
          </cell>
          <cell r="C154" t="str">
            <v>EMR</v>
          </cell>
          <cell r="F154">
            <v>616719</v>
          </cell>
          <cell r="G154">
            <v>649239</v>
          </cell>
          <cell r="H154">
            <v>687014</v>
          </cell>
          <cell r="I154">
            <v>726840</v>
          </cell>
          <cell r="J154">
            <v>764283</v>
          </cell>
          <cell r="K154">
            <v>796186</v>
          </cell>
          <cell r="L154">
            <v>821313</v>
          </cell>
          <cell r="M154">
            <v>840634</v>
          </cell>
          <cell r="N154">
            <v>855896</v>
          </cell>
          <cell r="O154">
            <v>869859</v>
          </cell>
          <cell r="P154">
            <v>884559</v>
          </cell>
          <cell r="Q154">
            <v>900402</v>
          </cell>
          <cell r="R154">
            <v>916767</v>
          </cell>
          <cell r="S154">
            <v>933447</v>
          </cell>
          <cell r="T154">
            <v>949972</v>
          </cell>
          <cell r="U154">
            <v>965993</v>
          </cell>
        </row>
        <row r="155">
          <cell r="A155" t="str">
            <v>Republic of Korea</v>
          </cell>
          <cell r="B155" t="str">
            <v>KOR</v>
          </cell>
          <cell r="C155" t="str">
            <v>WPR</v>
          </cell>
          <cell r="F155">
            <v>46780246</v>
          </cell>
          <cell r="G155">
            <v>47047215</v>
          </cell>
          <cell r="H155">
            <v>47281557</v>
          </cell>
          <cell r="I155">
            <v>47490388</v>
          </cell>
          <cell r="J155">
            <v>47683978</v>
          </cell>
          <cell r="K155">
            <v>47869837</v>
          </cell>
          <cell r="L155">
            <v>48050441</v>
          </cell>
          <cell r="M155">
            <v>48223854</v>
          </cell>
          <cell r="N155">
            <v>48387832</v>
          </cell>
          <cell r="O155">
            <v>48538424</v>
          </cell>
          <cell r="P155">
            <v>48672785</v>
          </cell>
          <cell r="Q155">
            <v>48790751</v>
          </cell>
          <cell r="R155">
            <v>48893654</v>
          </cell>
          <cell r="S155">
            <v>48981850</v>
          </cell>
          <cell r="T155">
            <v>49055975</v>
          </cell>
          <cell r="U155">
            <v>49116551</v>
          </cell>
        </row>
        <row r="156">
          <cell r="A156" t="str">
            <v>Republic of Moldova</v>
          </cell>
          <cell r="B156" t="str">
            <v>MDA</v>
          </cell>
          <cell r="C156" t="str">
            <v>EEUR</v>
          </cell>
          <cell r="F156">
            <v>4145437</v>
          </cell>
          <cell r="G156">
            <v>4089202</v>
          </cell>
          <cell r="H156">
            <v>4032768</v>
          </cell>
          <cell r="I156">
            <v>3977596</v>
          </cell>
          <cell r="J156">
            <v>3925170</v>
          </cell>
          <cell r="K156">
            <v>3876661</v>
          </cell>
          <cell r="L156">
            <v>3832709</v>
          </cell>
          <cell r="M156">
            <v>3793603</v>
          </cell>
          <cell r="N156">
            <v>3759599</v>
          </cell>
          <cell r="O156">
            <v>3730744</v>
          </cell>
          <cell r="P156">
            <v>3706905</v>
          </cell>
          <cell r="Q156">
            <v>3688353</v>
          </cell>
          <cell r="R156">
            <v>3674722</v>
          </cell>
          <cell r="S156">
            <v>3664382</v>
          </cell>
          <cell r="T156">
            <v>3655139</v>
          </cell>
          <cell r="U156">
            <v>3645323</v>
          </cell>
        </row>
        <row r="157">
          <cell r="A157" t="str">
            <v>Romania</v>
          </cell>
          <cell r="B157" t="str">
            <v>ROM</v>
          </cell>
          <cell r="C157" t="str">
            <v>EEUR</v>
          </cell>
          <cell r="F157">
            <v>22137533</v>
          </cell>
          <cell r="G157">
            <v>22032079</v>
          </cell>
          <cell r="H157">
            <v>21928149</v>
          </cell>
          <cell r="I157">
            <v>21825979</v>
          </cell>
          <cell r="J157">
            <v>21725784</v>
          </cell>
          <cell r="K157">
            <v>21627557</v>
          </cell>
          <cell r="L157">
            <v>21531732</v>
          </cell>
          <cell r="M157">
            <v>21437888</v>
          </cell>
          <cell r="N157">
            <v>21344129</v>
          </cell>
          <cell r="O157">
            <v>21247908</v>
          </cell>
          <cell r="P157">
            <v>21147492</v>
          </cell>
          <cell r="Q157">
            <v>21041841</v>
          </cell>
          <cell r="R157">
            <v>20931669</v>
          </cell>
          <cell r="S157">
            <v>20819127</v>
          </cell>
          <cell r="T157">
            <v>20707349</v>
          </cell>
          <cell r="U157">
            <v>20598493</v>
          </cell>
        </row>
        <row r="158">
          <cell r="A158" t="str">
            <v>Russian Federation</v>
          </cell>
          <cell r="B158" t="str">
            <v>RUS</v>
          </cell>
          <cell r="C158" t="str">
            <v>EEUR</v>
          </cell>
          <cell r="F158">
            <v>147423037</v>
          </cell>
          <cell r="G158">
            <v>146828433</v>
          </cell>
          <cell r="H158">
            <v>146159193</v>
          </cell>
          <cell r="I158">
            <v>145438349</v>
          </cell>
          <cell r="J158">
            <v>144695560</v>
          </cell>
          <cell r="K158">
            <v>143953092</v>
          </cell>
          <cell r="L158">
            <v>143221294</v>
          </cell>
          <cell r="M158">
            <v>142498534</v>
          </cell>
          <cell r="N158">
            <v>141780033</v>
          </cell>
          <cell r="O158">
            <v>141055586</v>
          </cell>
          <cell r="P158">
            <v>140317802</v>
          </cell>
          <cell r="Q158">
            <v>139567696</v>
          </cell>
          <cell r="R158">
            <v>138809525</v>
          </cell>
          <cell r="S158">
            <v>138042565</v>
          </cell>
          <cell r="T158">
            <v>137265914</v>
          </cell>
          <cell r="U158">
            <v>136479051</v>
          </cell>
        </row>
        <row r="159">
          <cell r="A159" t="str">
            <v>Rwanda</v>
          </cell>
          <cell r="B159" t="str">
            <v>RWA</v>
          </cell>
          <cell r="C159" t="str">
            <v>AFRhigh</v>
          </cell>
          <cell r="D159" t="str">
            <v>Franc</v>
          </cell>
          <cell r="E159">
            <v>558.47</v>
          </cell>
          <cell r="F159">
            <v>8176170</v>
          </cell>
          <cell r="G159">
            <v>8530446</v>
          </cell>
          <cell r="H159">
            <v>8761520</v>
          </cell>
          <cell r="I159">
            <v>8911990</v>
          </cell>
          <cell r="J159">
            <v>9052268</v>
          </cell>
          <cell r="K159">
            <v>9233793</v>
          </cell>
          <cell r="L159">
            <v>9464241</v>
          </cell>
          <cell r="M159">
            <v>9724575</v>
          </cell>
          <cell r="N159">
            <v>10008622</v>
          </cell>
          <cell r="O159">
            <v>10303909</v>
          </cell>
          <cell r="P159">
            <v>10601183</v>
          </cell>
          <cell r="Q159">
            <v>10900561</v>
          </cell>
          <cell r="R159">
            <v>11206097</v>
          </cell>
          <cell r="S159">
            <v>11516587</v>
          </cell>
          <cell r="T159">
            <v>11830776</v>
          </cell>
          <cell r="U159">
            <v>12147457</v>
          </cell>
        </row>
        <row r="160">
          <cell r="A160" t="str">
            <v>Saint Kitts &amp; Nevis</v>
          </cell>
          <cell r="B160" t="str">
            <v>SCN</v>
          </cell>
          <cell r="C160" t="str">
            <v>LAC</v>
          </cell>
          <cell r="F160">
            <v>46053</v>
          </cell>
          <cell r="G160">
            <v>46664</v>
          </cell>
          <cell r="H160">
            <v>47276</v>
          </cell>
          <cell r="I160">
            <v>47889</v>
          </cell>
          <cell r="J160">
            <v>48509</v>
          </cell>
          <cell r="K160">
            <v>49138</v>
          </cell>
          <cell r="L160">
            <v>49774</v>
          </cell>
          <cell r="M160">
            <v>50417</v>
          </cell>
          <cell r="N160">
            <v>51065</v>
          </cell>
          <cell r="O160">
            <v>51715</v>
          </cell>
          <cell r="P160">
            <v>52368</v>
          </cell>
          <cell r="Q160">
            <v>53022</v>
          </cell>
          <cell r="R160">
            <v>53676</v>
          </cell>
          <cell r="S160">
            <v>54327</v>
          </cell>
          <cell r="T160">
            <v>54975</v>
          </cell>
          <cell r="U160">
            <v>55616</v>
          </cell>
        </row>
        <row r="161">
          <cell r="A161" t="str">
            <v>Saint Lucia</v>
          </cell>
          <cell r="B161" t="str">
            <v>SAL</v>
          </cell>
          <cell r="C161" t="str">
            <v>LAC</v>
          </cell>
          <cell r="F161">
            <v>152699</v>
          </cell>
          <cell r="G161">
            <v>154232</v>
          </cell>
          <cell r="H161">
            <v>155882</v>
          </cell>
          <cell r="I161">
            <v>157627</v>
          </cell>
          <cell r="J161">
            <v>159423</v>
          </cell>
          <cell r="K161">
            <v>161240</v>
          </cell>
          <cell r="L161">
            <v>163071</v>
          </cell>
          <cell r="M161">
            <v>164923</v>
          </cell>
          <cell r="N161">
            <v>166789</v>
          </cell>
          <cell r="O161">
            <v>168660</v>
          </cell>
          <cell r="P161">
            <v>170532</v>
          </cell>
          <cell r="Q161">
            <v>172398</v>
          </cell>
          <cell r="R161">
            <v>174251</v>
          </cell>
          <cell r="S161">
            <v>176086</v>
          </cell>
          <cell r="T161">
            <v>177895</v>
          </cell>
          <cell r="U161">
            <v>179675</v>
          </cell>
        </row>
        <row r="162">
          <cell r="A162" t="str">
            <v>Samoa</v>
          </cell>
          <cell r="B162" t="str">
            <v>SMA</v>
          </cell>
          <cell r="C162" t="str">
            <v>WPR</v>
          </cell>
          <cell r="F162">
            <v>177475</v>
          </cell>
          <cell r="G162">
            <v>178922</v>
          </cell>
          <cell r="H162">
            <v>180169</v>
          </cell>
          <cell r="I162">
            <v>181315</v>
          </cell>
          <cell r="J162">
            <v>182507</v>
          </cell>
          <cell r="K162">
            <v>183845</v>
          </cell>
          <cell r="L162">
            <v>185366</v>
          </cell>
          <cell r="M162">
            <v>187026</v>
          </cell>
          <cell r="N162">
            <v>188752</v>
          </cell>
          <cell r="O162">
            <v>190433</v>
          </cell>
          <cell r="P162">
            <v>191992</v>
          </cell>
          <cell r="Q162">
            <v>193407</v>
          </cell>
          <cell r="R162">
            <v>194708</v>
          </cell>
          <cell r="S162">
            <v>195923</v>
          </cell>
          <cell r="T162">
            <v>197102</v>
          </cell>
          <cell r="U162">
            <v>198280</v>
          </cell>
        </row>
        <row r="163">
          <cell r="A163" t="str">
            <v>San Marino</v>
          </cell>
          <cell r="B163" t="str">
            <v>SMR</v>
          </cell>
          <cell r="C163" t="str">
            <v>EME</v>
          </cell>
          <cell r="F163">
            <v>26947</v>
          </cell>
          <cell r="G163">
            <v>27509</v>
          </cell>
          <cell r="H163">
            <v>28200</v>
          </cell>
          <cell r="I163">
            <v>28946</v>
          </cell>
          <cell r="J163">
            <v>29643</v>
          </cell>
          <cell r="K163">
            <v>30214</v>
          </cell>
          <cell r="L163">
            <v>30635</v>
          </cell>
          <cell r="M163">
            <v>30926</v>
          </cell>
          <cell r="N163">
            <v>31126</v>
          </cell>
          <cell r="O163">
            <v>31289</v>
          </cell>
          <cell r="P163">
            <v>31459</v>
          </cell>
          <cell r="Q163">
            <v>31643</v>
          </cell>
          <cell r="R163">
            <v>31830</v>
          </cell>
          <cell r="S163">
            <v>32011</v>
          </cell>
          <cell r="T163">
            <v>32176</v>
          </cell>
          <cell r="U163">
            <v>32317</v>
          </cell>
        </row>
        <row r="164">
          <cell r="A164" t="str">
            <v>Sao Tome &amp; Principe</v>
          </cell>
          <cell r="B164" t="str">
            <v>STP</v>
          </cell>
          <cell r="C164" t="str">
            <v>AFRlow</v>
          </cell>
          <cell r="F164">
            <v>140131</v>
          </cell>
          <cell r="G164">
            <v>142610</v>
          </cell>
          <cell r="H164">
            <v>145106</v>
          </cell>
          <cell r="I164">
            <v>147611</v>
          </cell>
          <cell r="J164">
            <v>150118</v>
          </cell>
          <cell r="K164">
            <v>152622</v>
          </cell>
          <cell r="L164">
            <v>155126</v>
          </cell>
          <cell r="M164">
            <v>157637</v>
          </cell>
          <cell r="N164">
            <v>160174</v>
          </cell>
          <cell r="O164">
            <v>162755</v>
          </cell>
          <cell r="P164">
            <v>165397</v>
          </cell>
          <cell r="Q164">
            <v>168100</v>
          </cell>
          <cell r="R164">
            <v>170871</v>
          </cell>
          <cell r="S164">
            <v>173736</v>
          </cell>
          <cell r="T164">
            <v>176733</v>
          </cell>
          <cell r="U164">
            <v>179883</v>
          </cell>
        </row>
        <row r="165">
          <cell r="A165" t="str">
            <v>Saudi Arabia</v>
          </cell>
          <cell r="B165" t="str">
            <v>SAA</v>
          </cell>
          <cell r="C165" t="str">
            <v>EMR</v>
          </cell>
          <cell r="D165" t="str">
            <v>Riyal</v>
          </cell>
          <cell r="E165">
            <v>3.75</v>
          </cell>
          <cell r="F165">
            <v>20806589</v>
          </cell>
          <cell r="G165">
            <v>21357325</v>
          </cell>
          <cell r="H165">
            <v>21916446</v>
          </cell>
          <cell r="I165">
            <v>22480812</v>
          </cell>
          <cell r="J165">
            <v>23046972</v>
          </cell>
          <cell r="K165">
            <v>23612360</v>
          </cell>
          <cell r="L165">
            <v>24174940</v>
          </cell>
          <cell r="M165">
            <v>24734532</v>
          </cell>
          <cell r="N165">
            <v>25292816</v>
          </cell>
          <cell r="O165">
            <v>25852659</v>
          </cell>
          <cell r="P165">
            <v>26416039</v>
          </cell>
          <cell r="Q165">
            <v>26982959</v>
          </cell>
          <cell r="R165">
            <v>27552175</v>
          </cell>
          <cell r="S165">
            <v>28122923</v>
          </cell>
          <cell r="T165">
            <v>28694096</v>
          </cell>
          <cell r="U165">
            <v>29264705</v>
          </cell>
        </row>
        <row r="166">
          <cell r="A166" t="str">
            <v>Senegal</v>
          </cell>
          <cell r="B166" t="str">
            <v>SEN</v>
          </cell>
          <cell r="C166" t="str">
            <v>AFRlow</v>
          </cell>
          <cell r="D166" t="str">
            <v>Franc</v>
          </cell>
          <cell r="E166">
            <v>561.04999999999995</v>
          </cell>
          <cell r="F166">
            <v>10333507</v>
          </cell>
          <cell r="G166">
            <v>10608866</v>
          </cell>
          <cell r="H166">
            <v>10890900</v>
          </cell>
          <cell r="I166">
            <v>11179033</v>
          </cell>
          <cell r="J166">
            <v>11472432</v>
          </cell>
          <cell r="K166">
            <v>11770340</v>
          </cell>
          <cell r="L166">
            <v>12072479</v>
          </cell>
          <cell r="M166">
            <v>12378532</v>
          </cell>
          <cell r="N166">
            <v>12687621</v>
          </cell>
          <cell r="O166">
            <v>12998713</v>
          </cell>
          <cell r="P166">
            <v>13310968</v>
          </cell>
          <cell r="Q166">
            <v>13623913</v>
          </cell>
          <cell r="R166">
            <v>13937329</v>
          </cell>
          <cell r="S166">
            <v>14250968</v>
          </cell>
          <cell r="T166">
            <v>14564684</v>
          </cell>
          <cell r="U166">
            <v>14878348</v>
          </cell>
        </row>
        <row r="167">
          <cell r="A167" t="str">
            <v>Serbia</v>
          </cell>
          <cell r="B167" t="str">
            <v>SRB</v>
          </cell>
          <cell r="C167" t="str">
            <v>CEUR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9863026</v>
          </cell>
          <cell r="L167">
            <v>9850720</v>
          </cell>
          <cell r="M167">
            <v>9858426</v>
          </cell>
          <cell r="N167">
            <v>9879595</v>
          </cell>
          <cell r="O167">
            <v>9904220</v>
          </cell>
          <cell r="P167">
            <v>9924874</v>
          </cell>
          <cell r="Q167">
            <v>9939724</v>
          </cell>
          <cell r="R167">
            <v>9950650</v>
          </cell>
          <cell r="S167">
            <v>9958317</v>
          </cell>
          <cell r="T167">
            <v>9964445</v>
          </cell>
          <cell r="U167">
            <v>9970257</v>
          </cell>
        </row>
        <row r="168">
          <cell r="A168" t="str">
            <v>Serbia &amp; Montenegro</v>
          </cell>
          <cell r="B168" t="str">
            <v>YUG</v>
          </cell>
          <cell r="C168" t="str">
            <v>CEUR</v>
          </cell>
          <cell r="F168">
            <v>10800801</v>
          </cell>
          <cell r="G168">
            <v>10738420</v>
          </cell>
          <cell r="H168">
            <v>10662402</v>
          </cell>
          <cell r="I168">
            <v>10583838</v>
          </cell>
          <cell r="J168">
            <v>10516742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A169" t="str">
            <v>Seychelles</v>
          </cell>
          <cell r="B169" t="str">
            <v>SEY</v>
          </cell>
          <cell r="C169" t="str">
            <v>AFRlow</v>
          </cell>
          <cell r="F169">
            <v>81129</v>
          </cell>
          <cell r="G169">
            <v>82158</v>
          </cell>
          <cell r="H169">
            <v>83130</v>
          </cell>
          <cell r="I169">
            <v>84027</v>
          </cell>
          <cell r="J169">
            <v>84832</v>
          </cell>
          <cell r="K169">
            <v>85532</v>
          </cell>
          <cell r="L169">
            <v>86122</v>
          </cell>
          <cell r="M169">
            <v>86606</v>
          </cell>
          <cell r="N169">
            <v>87005</v>
          </cell>
          <cell r="O169">
            <v>87342</v>
          </cell>
          <cell r="P169">
            <v>87645</v>
          </cell>
          <cell r="Q169">
            <v>87913</v>
          </cell>
          <cell r="R169">
            <v>88151</v>
          </cell>
          <cell r="S169">
            <v>88396</v>
          </cell>
          <cell r="T169">
            <v>88691</v>
          </cell>
          <cell r="U169">
            <v>89065</v>
          </cell>
        </row>
        <row r="170">
          <cell r="A170" t="str">
            <v>Sierra Leone</v>
          </cell>
          <cell r="B170" t="str">
            <v>SIL</v>
          </cell>
          <cell r="C170" t="str">
            <v>AFRlow</v>
          </cell>
          <cell r="D170" t="str">
            <v>Leone</v>
          </cell>
          <cell r="E170">
            <v>2467.8200000000002</v>
          </cell>
          <cell r="F170">
            <v>4521449</v>
          </cell>
          <cell r="G170">
            <v>4703450</v>
          </cell>
          <cell r="H170">
            <v>4924199</v>
          </cell>
          <cell r="I170">
            <v>5162802</v>
          </cell>
          <cell r="J170">
            <v>5390368</v>
          </cell>
          <cell r="K170">
            <v>5586403</v>
          </cell>
          <cell r="L170">
            <v>5742694</v>
          </cell>
          <cell r="M170">
            <v>5865872</v>
          </cell>
          <cell r="N170">
            <v>5968523</v>
          </cell>
          <cell r="O170">
            <v>6070210</v>
          </cell>
          <cell r="P170">
            <v>6185248</v>
          </cell>
          <cell r="Q170">
            <v>6316911</v>
          </cell>
          <cell r="R170">
            <v>6460662</v>
          </cell>
          <cell r="S170">
            <v>6613782</v>
          </cell>
          <cell r="T170">
            <v>6771175</v>
          </cell>
          <cell r="U170">
            <v>6929145</v>
          </cell>
        </row>
        <row r="171">
          <cell r="A171" t="str">
            <v>Singapore</v>
          </cell>
          <cell r="B171" t="str">
            <v>SIN</v>
          </cell>
          <cell r="C171" t="str">
            <v>EME</v>
          </cell>
          <cell r="F171">
            <v>4017426</v>
          </cell>
          <cell r="G171">
            <v>4097137</v>
          </cell>
          <cell r="H171">
            <v>4163766</v>
          </cell>
          <cell r="I171">
            <v>4220915</v>
          </cell>
          <cell r="J171">
            <v>4274120</v>
          </cell>
          <cell r="K171">
            <v>4327468</v>
          </cell>
          <cell r="L171">
            <v>4381905</v>
          </cell>
          <cell r="M171">
            <v>4436283</v>
          </cell>
          <cell r="N171">
            <v>4490117</v>
          </cell>
          <cell r="O171">
            <v>4542324</v>
          </cell>
          <cell r="P171">
            <v>4592106</v>
          </cell>
          <cell r="Q171">
            <v>4639694</v>
          </cell>
          <cell r="R171">
            <v>4685537</v>
          </cell>
          <cell r="S171">
            <v>4729268</v>
          </cell>
          <cell r="T171">
            <v>4770393</v>
          </cell>
          <cell r="U171">
            <v>4808620</v>
          </cell>
        </row>
        <row r="172">
          <cell r="A172" t="str">
            <v>Slovakia</v>
          </cell>
          <cell r="B172" t="str">
            <v>SVK</v>
          </cell>
          <cell r="C172" t="str">
            <v>CEUR</v>
          </cell>
          <cell r="F172">
            <v>5387539</v>
          </cell>
          <cell r="G172">
            <v>5387850</v>
          </cell>
          <cell r="H172">
            <v>5387515</v>
          </cell>
          <cell r="I172">
            <v>5386981</v>
          </cell>
          <cell r="J172">
            <v>5386702</v>
          </cell>
          <cell r="K172">
            <v>5386995</v>
          </cell>
          <cell r="L172">
            <v>5388119</v>
          </cell>
          <cell r="M172">
            <v>5390035</v>
          </cell>
          <cell r="N172">
            <v>5392350</v>
          </cell>
          <cell r="O172">
            <v>5394464</v>
          </cell>
          <cell r="P172">
            <v>5395917</v>
          </cell>
          <cell r="Q172">
            <v>5396575</v>
          </cell>
          <cell r="R172">
            <v>5396506</v>
          </cell>
          <cell r="S172">
            <v>5395680</v>
          </cell>
          <cell r="T172">
            <v>5394112</v>
          </cell>
          <cell r="U172">
            <v>5391796</v>
          </cell>
        </row>
        <row r="173">
          <cell r="A173" t="str">
            <v>Slovenia</v>
          </cell>
          <cell r="B173" t="str">
            <v>SVN</v>
          </cell>
          <cell r="C173" t="str">
            <v>CEUR</v>
          </cell>
          <cell r="F173">
            <v>1983628</v>
          </cell>
          <cell r="G173">
            <v>1987176</v>
          </cell>
          <cell r="H173">
            <v>1990791</v>
          </cell>
          <cell r="I173">
            <v>1994247</v>
          </cell>
          <cell r="J173">
            <v>1997206</v>
          </cell>
          <cell r="K173">
            <v>1999425</v>
          </cell>
          <cell r="L173">
            <v>2000831</v>
          </cell>
          <cell r="M173">
            <v>2001510</v>
          </cell>
          <cell r="N173">
            <v>2001578</v>
          </cell>
          <cell r="O173">
            <v>2001217</v>
          </cell>
          <cell r="P173">
            <v>2000554</v>
          </cell>
          <cell r="Q173">
            <v>1999620</v>
          </cell>
          <cell r="R173">
            <v>1998364</v>
          </cell>
          <cell r="S173">
            <v>1996744</v>
          </cell>
          <cell r="T173">
            <v>1994689</v>
          </cell>
          <cell r="U173">
            <v>1992149</v>
          </cell>
        </row>
        <row r="174">
          <cell r="A174" t="str">
            <v>Solomon Islands</v>
          </cell>
          <cell r="B174" t="str">
            <v>SOL</v>
          </cell>
          <cell r="C174" t="str">
            <v>WPR</v>
          </cell>
          <cell r="D174" t="str">
            <v>Solomon Island Dollar</v>
          </cell>
          <cell r="E174">
            <v>7.5187999999999997</v>
          </cell>
          <cell r="F174">
            <v>415426</v>
          </cell>
          <cell r="G174">
            <v>426623</v>
          </cell>
          <cell r="H174">
            <v>437943</v>
          </cell>
          <cell r="I174">
            <v>449363</v>
          </cell>
          <cell r="J174">
            <v>460862</v>
          </cell>
          <cell r="K174">
            <v>472419</v>
          </cell>
          <cell r="L174">
            <v>484022</v>
          </cell>
          <cell r="M174">
            <v>495660</v>
          </cell>
          <cell r="N174">
            <v>507321</v>
          </cell>
          <cell r="O174">
            <v>518994</v>
          </cell>
          <cell r="P174">
            <v>530668</v>
          </cell>
          <cell r="Q174">
            <v>542334</v>
          </cell>
          <cell r="R174">
            <v>553989</v>
          </cell>
          <cell r="S174">
            <v>565634</v>
          </cell>
          <cell r="T174">
            <v>577277</v>
          </cell>
          <cell r="U174">
            <v>588923</v>
          </cell>
        </row>
        <row r="175">
          <cell r="A175" t="str">
            <v>Somalia</v>
          </cell>
          <cell r="B175" t="str">
            <v>SOM</v>
          </cell>
          <cell r="C175" t="str">
            <v>EMR</v>
          </cell>
          <cell r="D175" t="str">
            <v>Shilling</v>
          </cell>
          <cell r="E175">
            <v>8500</v>
          </cell>
          <cell r="F175">
            <v>7055075</v>
          </cell>
          <cell r="G175">
            <v>7272271</v>
          </cell>
          <cell r="H175">
            <v>7494075</v>
          </cell>
          <cell r="I175">
            <v>7720566</v>
          </cell>
          <cell r="J175">
            <v>7954159</v>
          </cell>
          <cell r="K175">
            <v>8196395</v>
          </cell>
          <cell r="L175">
            <v>8445397</v>
          </cell>
          <cell r="M175">
            <v>8698534</v>
          </cell>
          <cell r="N175">
            <v>8956006</v>
          </cell>
          <cell r="O175">
            <v>9218539</v>
          </cell>
          <cell r="P175">
            <v>9486479</v>
          </cell>
          <cell r="Q175">
            <v>9759568</v>
          </cell>
          <cell r="R175">
            <v>10036827</v>
          </cell>
          <cell r="S175">
            <v>10317071</v>
          </cell>
          <cell r="T175">
            <v>10598823</v>
          </cell>
          <cell r="U175">
            <v>10880958</v>
          </cell>
        </row>
        <row r="176">
          <cell r="A176" t="str">
            <v>South Africa</v>
          </cell>
          <cell r="B176" t="str">
            <v>SOA</v>
          </cell>
          <cell r="C176" t="str">
            <v>AFRhigh</v>
          </cell>
          <cell r="D176" t="str">
            <v>Rand</v>
          </cell>
          <cell r="E176">
            <v>6.9523700000000002</v>
          </cell>
          <cell r="F176">
            <v>45398280</v>
          </cell>
          <cell r="G176">
            <v>46017150</v>
          </cell>
          <cell r="H176">
            <v>46580809</v>
          </cell>
          <cell r="I176">
            <v>47088767</v>
          </cell>
          <cell r="J176">
            <v>47540927</v>
          </cell>
          <cell r="K176">
            <v>47938663</v>
          </cell>
          <cell r="L176">
            <v>48282459</v>
          </cell>
          <cell r="M176">
            <v>48576764</v>
          </cell>
          <cell r="N176">
            <v>48832134</v>
          </cell>
          <cell r="O176">
            <v>49062172</v>
          </cell>
          <cell r="P176">
            <v>49277824</v>
          </cell>
          <cell r="Q176">
            <v>49483761</v>
          </cell>
          <cell r="R176">
            <v>49681508</v>
          </cell>
          <cell r="S176">
            <v>49874883</v>
          </cell>
          <cell r="T176">
            <v>50066958</v>
          </cell>
          <cell r="U176">
            <v>50260136</v>
          </cell>
        </row>
        <row r="177">
          <cell r="A177" t="str">
            <v>Spain</v>
          </cell>
          <cell r="B177" t="str">
            <v>SPA</v>
          </cell>
          <cell r="C177" t="str">
            <v>EME</v>
          </cell>
          <cell r="F177">
            <v>40229429</v>
          </cell>
          <cell r="G177">
            <v>40742013</v>
          </cell>
          <cell r="H177">
            <v>41388300</v>
          </cell>
          <cell r="I177">
            <v>42103324</v>
          </cell>
          <cell r="J177">
            <v>42795447</v>
          </cell>
          <cell r="K177">
            <v>43397491</v>
          </cell>
          <cell r="L177">
            <v>43886817</v>
          </cell>
          <cell r="M177">
            <v>44279182</v>
          </cell>
          <cell r="N177">
            <v>44592771</v>
          </cell>
          <cell r="O177">
            <v>44860810</v>
          </cell>
          <cell r="P177">
            <v>45108136</v>
          </cell>
          <cell r="Q177">
            <v>45336380</v>
          </cell>
          <cell r="R177">
            <v>45536765</v>
          </cell>
          <cell r="S177">
            <v>45712405</v>
          </cell>
          <cell r="T177">
            <v>45865873</v>
          </cell>
          <cell r="U177">
            <v>45999549</v>
          </cell>
        </row>
        <row r="178">
          <cell r="A178" t="str">
            <v>Sri Lanka</v>
          </cell>
          <cell r="B178" t="str">
            <v>SRL</v>
          </cell>
          <cell r="C178" t="str">
            <v>SEAR</v>
          </cell>
          <cell r="D178" t="str">
            <v>Rupee</v>
          </cell>
          <cell r="E178">
            <v>94.512</v>
          </cell>
          <cell r="F178">
            <v>18713711</v>
          </cell>
          <cell r="G178">
            <v>18805329</v>
          </cell>
          <cell r="H178">
            <v>18887160</v>
          </cell>
          <cell r="I178">
            <v>18963554</v>
          </cell>
          <cell r="J178">
            <v>19040092</v>
          </cell>
          <cell r="K178">
            <v>19120763</v>
          </cell>
          <cell r="L178">
            <v>19207441</v>
          </cell>
          <cell r="M178">
            <v>19299189</v>
          </cell>
          <cell r="N178">
            <v>19393638</v>
          </cell>
          <cell r="O178">
            <v>19486975</v>
          </cell>
          <cell r="P178">
            <v>19576324</v>
          </cell>
          <cell r="Q178">
            <v>19661004</v>
          </cell>
          <cell r="R178">
            <v>19741652</v>
          </cell>
          <cell r="S178">
            <v>19818206</v>
          </cell>
          <cell r="T178">
            <v>19890883</v>
          </cell>
          <cell r="U178">
            <v>19959725</v>
          </cell>
        </row>
        <row r="179">
          <cell r="A179" t="str">
            <v>St Vincent &amp; Grenadines</v>
          </cell>
          <cell r="B179" t="str">
            <v>SAV</v>
          </cell>
          <cell r="C179" t="str">
            <v>LAC</v>
          </cell>
          <cell r="F179">
            <v>115949</v>
          </cell>
          <cell r="G179">
            <v>116567</v>
          </cell>
          <cell r="H179">
            <v>117201</v>
          </cell>
          <cell r="I179">
            <v>117847</v>
          </cell>
          <cell r="J179">
            <v>118494</v>
          </cell>
          <cell r="K179">
            <v>119137</v>
          </cell>
          <cell r="L179">
            <v>119772</v>
          </cell>
          <cell r="M179">
            <v>120398</v>
          </cell>
          <cell r="N179">
            <v>121010</v>
          </cell>
          <cell r="O179">
            <v>121599</v>
          </cell>
          <cell r="P179">
            <v>122159</v>
          </cell>
          <cell r="Q179">
            <v>122687</v>
          </cell>
          <cell r="R179">
            <v>123178</v>
          </cell>
          <cell r="S179">
            <v>123630</v>
          </cell>
          <cell r="T179">
            <v>124039</v>
          </cell>
          <cell r="U179">
            <v>124399</v>
          </cell>
        </row>
        <row r="180">
          <cell r="A180" t="str">
            <v>Sudan</v>
          </cell>
          <cell r="B180" t="str">
            <v>SUD</v>
          </cell>
          <cell r="C180" t="str">
            <v>EMR</v>
          </cell>
          <cell r="D180" t="str">
            <v>Dinar</v>
          </cell>
          <cell r="E180">
            <v>261.11</v>
          </cell>
          <cell r="F180">
            <v>33348627</v>
          </cell>
          <cell r="G180">
            <v>34063430</v>
          </cell>
          <cell r="H180">
            <v>34752339</v>
          </cell>
          <cell r="I180">
            <v>35436381</v>
          </cell>
          <cell r="J180">
            <v>36145241</v>
          </cell>
          <cell r="K180">
            <v>36899747</v>
          </cell>
          <cell r="L180">
            <v>37707483</v>
          </cell>
          <cell r="M180">
            <v>38560492</v>
          </cell>
          <cell r="N180">
            <v>39445014</v>
          </cell>
          <cell r="O180">
            <v>40340108</v>
          </cell>
          <cell r="P180">
            <v>41230247</v>
          </cell>
          <cell r="Q180">
            <v>42110971</v>
          </cell>
          <cell r="R180">
            <v>42986124</v>
          </cell>
          <cell r="S180">
            <v>43858273</v>
          </cell>
          <cell r="T180">
            <v>44732639</v>
          </cell>
          <cell r="U180">
            <v>45612622</v>
          </cell>
        </row>
        <row r="181">
          <cell r="A181" t="str">
            <v>Suriname</v>
          </cell>
          <cell r="B181" t="str">
            <v>SUR</v>
          </cell>
          <cell r="C181" t="str">
            <v>LAC</v>
          </cell>
          <cell r="D181" t="str">
            <v>Guilder</v>
          </cell>
          <cell r="E181">
            <v>2625</v>
          </cell>
          <cell r="F181">
            <v>436443</v>
          </cell>
          <cell r="G181">
            <v>440114</v>
          </cell>
          <cell r="H181">
            <v>443485</v>
          </cell>
          <cell r="I181">
            <v>446609</v>
          </cell>
          <cell r="J181">
            <v>449579</v>
          </cell>
          <cell r="K181">
            <v>452468</v>
          </cell>
          <cell r="L181">
            <v>455273</v>
          </cell>
          <cell r="M181">
            <v>457961</v>
          </cell>
          <cell r="N181">
            <v>460530</v>
          </cell>
          <cell r="O181">
            <v>462972</v>
          </cell>
          <cell r="P181">
            <v>465282</v>
          </cell>
          <cell r="Q181">
            <v>467461</v>
          </cell>
          <cell r="R181">
            <v>469511</v>
          </cell>
          <cell r="S181">
            <v>471421</v>
          </cell>
          <cell r="T181">
            <v>473179</v>
          </cell>
          <cell r="U181">
            <v>474776</v>
          </cell>
        </row>
        <row r="182">
          <cell r="A182" t="str">
            <v>Swaziland</v>
          </cell>
          <cell r="B182" t="str">
            <v>SWZ</v>
          </cell>
          <cell r="C182" t="str">
            <v>AFRhigh</v>
          </cell>
          <cell r="D182" t="str">
            <v>Lilangeni</v>
          </cell>
          <cell r="E182">
            <v>6.9516857838025716</v>
          </cell>
          <cell r="F182">
            <v>1058185</v>
          </cell>
          <cell r="G182">
            <v>1074566</v>
          </cell>
          <cell r="H182">
            <v>1089300</v>
          </cell>
          <cell r="I182">
            <v>1102437</v>
          </cell>
          <cell r="J182">
            <v>1114131</v>
          </cell>
          <cell r="K182">
            <v>1124529</v>
          </cell>
          <cell r="L182">
            <v>1133614</v>
          </cell>
          <cell r="M182">
            <v>1141423</v>
          </cell>
          <cell r="N182">
            <v>1148255</v>
          </cell>
          <cell r="O182">
            <v>1154497</v>
          </cell>
          <cell r="P182">
            <v>1160455</v>
          </cell>
          <cell r="Q182">
            <v>1166245</v>
          </cell>
          <cell r="R182">
            <v>1171886</v>
          </cell>
          <cell r="S182">
            <v>1177473</v>
          </cell>
          <cell r="T182">
            <v>1183078</v>
          </cell>
          <cell r="U182">
            <v>1188748</v>
          </cell>
        </row>
        <row r="183">
          <cell r="A183" t="str">
            <v>Sweden</v>
          </cell>
          <cell r="B183" t="str">
            <v>SWE</v>
          </cell>
          <cell r="C183" t="str">
            <v>EME</v>
          </cell>
          <cell r="F183">
            <v>8867689</v>
          </cell>
          <cell r="G183">
            <v>8889328</v>
          </cell>
          <cell r="H183">
            <v>8919969</v>
          </cell>
          <cell r="I183">
            <v>8957369</v>
          </cell>
          <cell r="J183">
            <v>8997688</v>
          </cell>
          <cell r="K183">
            <v>9038049</v>
          </cell>
          <cell r="L183">
            <v>9078176</v>
          </cell>
          <cell r="M183">
            <v>9118954</v>
          </cell>
          <cell r="N183">
            <v>9159978</v>
          </cell>
          <cell r="O183">
            <v>9200934</v>
          </cell>
          <cell r="P183">
            <v>9241600</v>
          </cell>
          <cell r="Q183">
            <v>9281573</v>
          </cell>
          <cell r="R183">
            <v>9320766</v>
          </cell>
          <cell r="S183">
            <v>9359697</v>
          </cell>
          <cell r="T183">
            <v>9399160</v>
          </cell>
          <cell r="U183">
            <v>9439692</v>
          </cell>
        </row>
        <row r="184">
          <cell r="A184" t="str">
            <v>Switzerland</v>
          </cell>
          <cell r="B184" t="str">
            <v>SWI</v>
          </cell>
          <cell r="C184" t="str">
            <v>EME</v>
          </cell>
          <cell r="F184">
            <v>7263234</v>
          </cell>
          <cell r="G184">
            <v>7291780</v>
          </cell>
          <cell r="H184">
            <v>7323811</v>
          </cell>
          <cell r="I184">
            <v>7357994</v>
          </cell>
          <cell r="J184">
            <v>7392067</v>
          </cell>
          <cell r="K184">
            <v>7424389</v>
          </cell>
          <cell r="L184">
            <v>7454795</v>
          </cell>
          <cell r="M184">
            <v>7483972</v>
          </cell>
          <cell r="N184">
            <v>7512120</v>
          </cell>
          <cell r="O184">
            <v>7539622</v>
          </cell>
          <cell r="P184">
            <v>7566783</v>
          </cell>
          <cell r="Q184">
            <v>7593590</v>
          </cell>
          <cell r="R184">
            <v>7619990</v>
          </cell>
          <cell r="S184">
            <v>7646223</v>
          </cell>
          <cell r="T184">
            <v>7672586</v>
          </cell>
          <cell r="U184">
            <v>7699294</v>
          </cell>
        </row>
        <row r="185">
          <cell r="A185" t="str">
            <v>Syrian Arab Republic</v>
          </cell>
          <cell r="B185" t="str">
            <v>SYR</v>
          </cell>
          <cell r="C185" t="str">
            <v>EMR</v>
          </cell>
          <cell r="D185" t="str">
            <v>Pound</v>
          </cell>
          <cell r="E185">
            <v>11.225</v>
          </cell>
          <cell r="F185">
            <v>16510861</v>
          </cell>
          <cell r="G185">
            <v>16949340</v>
          </cell>
          <cell r="H185">
            <v>17411357</v>
          </cell>
          <cell r="I185">
            <v>17893264</v>
          </cell>
          <cell r="J185">
            <v>18389228</v>
          </cell>
          <cell r="K185">
            <v>18893881</v>
          </cell>
          <cell r="L185">
            <v>19407558</v>
          </cell>
          <cell r="M185">
            <v>19928518</v>
          </cell>
          <cell r="N185">
            <v>20446734</v>
          </cell>
          <cell r="O185">
            <v>20949512</v>
          </cell>
          <cell r="P185">
            <v>21428048</v>
          </cell>
          <cell r="Q185">
            <v>21877375</v>
          </cell>
          <cell r="R185">
            <v>22300240</v>
          </cell>
          <cell r="S185">
            <v>22705225</v>
          </cell>
          <cell r="T185">
            <v>23105243</v>
          </cell>
          <cell r="U185">
            <v>23509678</v>
          </cell>
        </row>
        <row r="186">
          <cell r="A186" t="str">
            <v>Tajikistan</v>
          </cell>
          <cell r="B186" t="str">
            <v>TJK</v>
          </cell>
          <cell r="C186" t="str">
            <v>EEUR</v>
          </cell>
          <cell r="D186" t="str">
            <v>Somoni</v>
          </cell>
          <cell r="E186">
            <v>3090</v>
          </cell>
          <cell r="F186">
            <v>6172835</v>
          </cell>
          <cell r="G186">
            <v>6245969</v>
          </cell>
          <cell r="H186">
            <v>6317813</v>
          </cell>
          <cell r="I186">
            <v>6390641</v>
          </cell>
          <cell r="J186">
            <v>6467377</v>
          </cell>
          <cell r="K186">
            <v>6550213</v>
          </cell>
          <cell r="L186">
            <v>6639837</v>
          </cell>
          <cell r="M186">
            <v>6735996</v>
          </cell>
          <cell r="N186">
            <v>6838716</v>
          </cell>
          <cell r="O186">
            <v>6947678</v>
          </cell>
          <cell r="P186">
            <v>7062446</v>
          </cell>
          <cell r="Q186">
            <v>7183136</v>
          </cell>
          <cell r="R186">
            <v>7309345</v>
          </cell>
          <cell r="S186">
            <v>7439393</v>
          </cell>
          <cell r="T186">
            <v>7571066</v>
          </cell>
          <cell r="U186">
            <v>7702612</v>
          </cell>
        </row>
        <row r="187">
          <cell r="A187" t="str">
            <v>TFYR Macedonia</v>
          </cell>
          <cell r="B187" t="str">
            <v>MKD</v>
          </cell>
          <cell r="C187" t="str">
            <v>CEUR</v>
          </cell>
          <cell r="F187">
            <v>2009264</v>
          </cell>
          <cell r="G187">
            <v>2015911</v>
          </cell>
          <cell r="H187">
            <v>2021568</v>
          </cell>
          <cell r="I187">
            <v>2026320</v>
          </cell>
          <cell r="J187">
            <v>2030311</v>
          </cell>
          <cell r="K187">
            <v>2033655</v>
          </cell>
          <cell r="L187">
            <v>2036376</v>
          </cell>
          <cell r="M187">
            <v>2038464</v>
          </cell>
          <cell r="N187">
            <v>2039960</v>
          </cell>
          <cell r="O187">
            <v>2040905</v>
          </cell>
          <cell r="P187">
            <v>2041341</v>
          </cell>
          <cell r="Q187">
            <v>2041283</v>
          </cell>
          <cell r="R187">
            <v>2040763</v>
          </cell>
          <cell r="S187">
            <v>2039839</v>
          </cell>
          <cell r="T187">
            <v>2038585</v>
          </cell>
          <cell r="U187">
            <v>2037048</v>
          </cell>
        </row>
        <row r="188">
          <cell r="A188" t="str">
            <v>Thailand</v>
          </cell>
          <cell r="B188" t="str">
            <v>THA</v>
          </cell>
          <cell r="C188" t="str">
            <v>SEAR</v>
          </cell>
          <cell r="D188" t="str">
            <v>Baht</v>
          </cell>
          <cell r="E188">
            <v>39.679000000000002</v>
          </cell>
          <cell r="F188">
            <v>60665589</v>
          </cell>
          <cell r="G188">
            <v>61191592</v>
          </cell>
          <cell r="H188">
            <v>61674588</v>
          </cell>
          <cell r="I188">
            <v>62126510</v>
          </cell>
          <cell r="J188">
            <v>62565066</v>
          </cell>
          <cell r="K188">
            <v>63002911</v>
          </cell>
          <cell r="L188">
            <v>63443950</v>
          </cell>
          <cell r="M188">
            <v>63883661</v>
          </cell>
          <cell r="N188">
            <v>64316134</v>
          </cell>
          <cell r="O188">
            <v>64732050</v>
          </cell>
          <cell r="P188">
            <v>65124667</v>
          </cell>
          <cell r="Q188">
            <v>65492535</v>
          </cell>
          <cell r="R188">
            <v>65838123.000000007</v>
          </cell>
          <cell r="S188">
            <v>66163225.999999993</v>
          </cell>
          <cell r="T188">
            <v>66470886</v>
          </cell>
          <cell r="U188">
            <v>66763323.999999993</v>
          </cell>
        </row>
        <row r="189">
          <cell r="A189" t="str">
            <v>Timor-Leste</v>
          </cell>
          <cell r="B189" t="str">
            <v>TMP</v>
          </cell>
          <cell r="C189" t="str">
            <v>SEAR</v>
          </cell>
          <cell r="F189">
            <v>818523</v>
          </cell>
          <cell r="G189">
            <v>848583</v>
          </cell>
          <cell r="H189">
            <v>895825</v>
          </cell>
          <cell r="I189">
            <v>953912</v>
          </cell>
          <cell r="J189">
            <v>1013364</v>
          </cell>
          <cell r="K189">
            <v>1067285</v>
          </cell>
          <cell r="L189">
            <v>1113717</v>
          </cell>
          <cell r="M189">
            <v>1154776</v>
          </cell>
          <cell r="N189">
            <v>1192515</v>
          </cell>
          <cell r="O189">
            <v>1230459</v>
          </cell>
          <cell r="P189">
            <v>1271156</v>
          </cell>
          <cell r="Q189">
            <v>1314913</v>
          </cell>
          <cell r="R189">
            <v>1360635</v>
          </cell>
          <cell r="S189">
            <v>1407860</v>
          </cell>
          <cell r="T189">
            <v>1455794</v>
          </cell>
          <cell r="U189">
            <v>1503866</v>
          </cell>
        </row>
        <row r="190">
          <cell r="A190" t="str">
            <v>Togo</v>
          </cell>
          <cell r="B190" t="str">
            <v>TOG</v>
          </cell>
          <cell r="C190" t="str">
            <v>AFRlow</v>
          </cell>
          <cell r="D190" t="str">
            <v>Franc</v>
          </cell>
          <cell r="E190">
            <v>561.04999999999995</v>
          </cell>
          <cell r="F190">
            <v>5403039</v>
          </cell>
          <cell r="G190">
            <v>5576449</v>
          </cell>
          <cell r="H190">
            <v>5743542</v>
          </cell>
          <cell r="I190">
            <v>5906890</v>
          </cell>
          <cell r="J190">
            <v>6070843</v>
          </cell>
          <cell r="K190">
            <v>6238572</v>
          </cell>
          <cell r="L190">
            <v>6410428</v>
          </cell>
          <cell r="M190">
            <v>6585146</v>
          </cell>
          <cell r="N190">
            <v>6762421</v>
          </cell>
          <cell r="O190">
            <v>6941611</v>
          </cell>
          <cell r="P190">
            <v>7122217</v>
          </cell>
          <cell r="Q190">
            <v>7304238</v>
          </cell>
          <cell r="R190">
            <v>7487804</v>
          </cell>
          <cell r="S190">
            <v>7672663</v>
          </cell>
          <cell r="T190">
            <v>7858500</v>
          </cell>
          <cell r="U190">
            <v>8045054</v>
          </cell>
        </row>
        <row r="191">
          <cell r="A191" t="str">
            <v>Tokelau</v>
          </cell>
          <cell r="B191" t="str">
            <v>TOK</v>
          </cell>
          <cell r="C191" t="str">
            <v>WPR</v>
          </cell>
          <cell r="F191">
            <v>1517</v>
          </cell>
          <cell r="G191">
            <v>1504</v>
          </cell>
          <cell r="H191">
            <v>1479</v>
          </cell>
          <cell r="I191">
            <v>1449</v>
          </cell>
          <cell r="J191">
            <v>1421</v>
          </cell>
          <cell r="K191">
            <v>1401</v>
          </cell>
          <cell r="L191">
            <v>1391</v>
          </cell>
          <cell r="M191">
            <v>1389</v>
          </cell>
          <cell r="N191">
            <v>1392</v>
          </cell>
          <cell r="O191">
            <v>1396</v>
          </cell>
          <cell r="P191">
            <v>1399</v>
          </cell>
          <cell r="Q191">
            <v>1399</v>
          </cell>
          <cell r="R191">
            <v>1399</v>
          </cell>
          <cell r="S191">
            <v>1397</v>
          </cell>
          <cell r="T191">
            <v>1397</v>
          </cell>
          <cell r="U191">
            <v>1398</v>
          </cell>
        </row>
        <row r="192">
          <cell r="A192" t="str">
            <v>Tonga</v>
          </cell>
          <cell r="B192" t="str">
            <v>TON</v>
          </cell>
          <cell r="C192" t="str">
            <v>WPR</v>
          </cell>
          <cell r="F192">
            <v>98092</v>
          </cell>
          <cell r="G192">
            <v>98246</v>
          </cell>
          <cell r="H192">
            <v>98440</v>
          </cell>
          <cell r="I192">
            <v>98685</v>
          </cell>
          <cell r="J192">
            <v>98991</v>
          </cell>
          <cell r="K192">
            <v>99361</v>
          </cell>
          <cell r="L192">
            <v>99811</v>
          </cell>
          <cell r="M192">
            <v>100337</v>
          </cell>
          <cell r="N192">
            <v>100895</v>
          </cell>
          <cell r="O192">
            <v>101426</v>
          </cell>
          <cell r="P192">
            <v>101886</v>
          </cell>
          <cell r="Q192">
            <v>102254</v>
          </cell>
          <cell r="R192">
            <v>102553</v>
          </cell>
          <cell r="S192">
            <v>102841</v>
          </cell>
          <cell r="T192">
            <v>103204</v>
          </cell>
          <cell r="U192">
            <v>103700</v>
          </cell>
        </row>
        <row r="193">
          <cell r="A193" t="str">
            <v>Trinidad &amp; Tobago</v>
          </cell>
          <cell r="B193" t="str">
            <v>TRT</v>
          </cell>
          <cell r="C193" t="str">
            <v>LAC</v>
          </cell>
          <cell r="F193">
            <v>1300545</v>
          </cell>
          <cell r="G193">
            <v>1305464</v>
          </cell>
          <cell r="H193">
            <v>1310124</v>
          </cell>
          <cell r="I193">
            <v>1314639</v>
          </cell>
          <cell r="J193">
            <v>1319139</v>
          </cell>
          <cell r="K193">
            <v>1323722</v>
          </cell>
          <cell r="L193">
            <v>1328432</v>
          </cell>
          <cell r="M193">
            <v>1333270</v>
          </cell>
          <cell r="N193">
            <v>1338225</v>
          </cell>
          <cell r="O193">
            <v>1343267</v>
          </cell>
          <cell r="P193">
            <v>1348362</v>
          </cell>
          <cell r="Q193">
            <v>1353510</v>
          </cell>
          <cell r="R193">
            <v>1358689</v>
          </cell>
          <cell r="S193">
            <v>1363822</v>
          </cell>
          <cell r="T193">
            <v>1368811</v>
          </cell>
          <cell r="U193">
            <v>1373570</v>
          </cell>
        </row>
        <row r="194">
          <cell r="A194" t="str">
            <v>Tunisia</v>
          </cell>
          <cell r="B194" t="str">
            <v>TUN</v>
          </cell>
          <cell r="C194" t="str">
            <v>EMR</v>
          </cell>
          <cell r="F194">
            <v>9563500</v>
          </cell>
          <cell r="G194">
            <v>9672460</v>
          </cell>
          <cell r="H194">
            <v>9780271</v>
          </cell>
          <cell r="I194">
            <v>9887748</v>
          </cell>
          <cell r="J194">
            <v>9995700</v>
          </cell>
          <cell r="K194">
            <v>10104685</v>
          </cell>
          <cell r="L194">
            <v>10215222</v>
          </cell>
          <cell r="M194">
            <v>10327285</v>
          </cell>
          <cell r="N194">
            <v>10440169</v>
          </cell>
          <cell r="O194">
            <v>10552777</v>
          </cell>
          <cell r="P194">
            <v>10664281</v>
          </cell>
          <cell r="Q194">
            <v>10774440</v>
          </cell>
          <cell r="R194">
            <v>10883411</v>
          </cell>
          <cell r="S194">
            <v>10991222</v>
          </cell>
          <cell r="T194">
            <v>11098009</v>
          </cell>
          <cell r="U194">
            <v>11203826</v>
          </cell>
        </row>
        <row r="195">
          <cell r="A195" t="str">
            <v>Turkey</v>
          </cell>
          <cell r="B195" t="str">
            <v>TUR</v>
          </cell>
          <cell r="C195" t="str">
            <v>CEUR</v>
          </cell>
          <cell r="D195" t="str">
            <v>Lira</v>
          </cell>
          <cell r="E195">
            <v>1374556</v>
          </cell>
          <cell r="F195">
            <v>68158412</v>
          </cell>
          <cell r="G195">
            <v>69164100</v>
          </cell>
          <cell r="H195">
            <v>70135665</v>
          </cell>
          <cell r="I195">
            <v>71083896</v>
          </cell>
          <cell r="J195">
            <v>72024777</v>
          </cell>
          <cell r="K195">
            <v>72969723</v>
          </cell>
          <cell r="L195">
            <v>73921768</v>
          </cell>
          <cell r="M195">
            <v>74876697</v>
          </cell>
          <cell r="N195">
            <v>75829891</v>
          </cell>
          <cell r="O195">
            <v>76773946</v>
          </cell>
          <cell r="P195">
            <v>77703194</v>
          </cell>
          <cell r="Q195">
            <v>78616530</v>
          </cell>
          <cell r="R195">
            <v>79514997</v>
          </cell>
          <cell r="S195">
            <v>80397504</v>
          </cell>
          <cell r="T195">
            <v>81263200</v>
          </cell>
          <cell r="U195">
            <v>82111355</v>
          </cell>
        </row>
        <row r="196">
          <cell r="A196" t="str">
            <v>Turkmenistan</v>
          </cell>
          <cell r="B196" t="str">
            <v>TKM</v>
          </cell>
          <cell r="C196" t="str">
            <v>EEUR</v>
          </cell>
          <cell r="D196" t="str">
            <v>Manat</v>
          </cell>
          <cell r="E196">
            <v>5100</v>
          </cell>
          <cell r="F196">
            <v>4502140</v>
          </cell>
          <cell r="G196">
            <v>4564367</v>
          </cell>
          <cell r="H196">
            <v>4629911</v>
          </cell>
          <cell r="I196">
            <v>4697763</v>
          </cell>
          <cell r="J196">
            <v>4766009</v>
          </cell>
          <cell r="K196">
            <v>4833266</v>
          </cell>
          <cell r="L196">
            <v>4899456</v>
          </cell>
          <cell r="M196">
            <v>4965275</v>
          </cell>
          <cell r="N196">
            <v>5030972</v>
          </cell>
          <cell r="O196">
            <v>5096942</v>
          </cell>
          <cell r="P196">
            <v>5163430</v>
          </cell>
          <cell r="Q196">
            <v>5230404</v>
          </cell>
          <cell r="R196">
            <v>5297611</v>
          </cell>
          <cell r="S196">
            <v>5364798</v>
          </cell>
          <cell r="T196">
            <v>5431625</v>
          </cell>
          <cell r="U196">
            <v>5497776</v>
          </cell>
        </row>
        <row r="197">
          <cell r="A197" t="str">
            <v>Turks &amp; Caicos Islands</v>
          </cell>
          <cell r="B197" t="str">
            <v>TCA</v>
          </cell>
          <cell r="C197" t="str">
            <v>LAC</v>
          </cell>
          <cell r="F197">
            <v>18867</v>
          </cell>
          <cell r="G197">
            <v>19940</v>
          </cell>
          <cell r="H197">
            <v>21159</v>
          </cell>
          <cell r="I197">
            <v>22412</v>
          </cell>
          <cell r="J197">
            <v>23549</v>
          </cell>
          <cell r="K197">
            <v>24459</v>
          </cell>
          <cell r="L197">
            <v>25102</v>
          </cell>
          <cell r="M197">
            <v>25517</v>
          </cell>
          <cell r="N197">
            <v>25770</v>
          </cell>
          <cell r="O197">
            <v>25970</v>
          </cell>
          <cell r="P197">
            <v>26194</v>
          </cell>
          <cell r="Q197">
            <v>26462</v>
          </cell>
          <cell r="R197">
            <v>26751</v>
          </cell>
          <cell r="S197">
            <v>27053</v>
          </cell>
          <cell r="T197">
            <v>27350</v>
          </cell>
          <cell r="U197">
            <v>27625</v>
          </cell>
        </row>
        <row r="198">
          <cell r="A198" t="str">
            <v>Tuvalu</v>
          </cell>
          <cell r="B198" t="str">
            <v>TUV</v>
          </cell>
          <cell r="C198" t="str">
            <v>WPR</v>
          </cell>
          <cell r="F198">
            <v>10185</v>
          </cell>
          <cell r="G198">
            <v>10245</v>
          </cell>
          <cell r="H198">
            <v>10299</v>
          </cell>
          <cell r="I198">
            <v>10349</v>
          </cell>
          <cell r="J198">
            <v>10396</v>
          </cell>
          <cell r="K198">
            <v>10441</v>
          </cell>
          <cell r="L198">
            <v>10486</v>
          </cell>
          <cell r="M198">
            <v>10530</v>
          </cell>
          <cell r="N198">
            <v>10574</v>
          </cell>
          <cell r="O198">
            <v>10618</v>
          </cell>
          <cell r="P198">
            <v>10661</v>
          </cell>
          <cell r="Q198">
            <v>10704</v>
          </cell>
          <cell r="R198">
            <v>10747</v>
          </cell>
          <cell r="S198">
            <v>10791</v>
          </cell>
          <cell r="T198">
            <v>10836</v>
          </cell>
          <cell r="U198">
            <v>10884</v>
          </cell>
        </row>
        <row r="199">
          <cell r="A199" t="str">
            <v>Uganda</v>
          </cell>
          <cell r="B199" t="str">
            <v>UGA</v>
          </cell>
          <cell r="C199" t="str">
            <v>AFRhigh</v>
          </cell>
          <cell r="D199" t="str">
            <v>Shilling</v>
          </cell>
          <cell r="E199">
            <v>1990.7</v>
          </cell>
          <cell r="F199">
            <v>24689655</v>
          </cell>
          <cell r="G199">
            <v>25467495</v>
          </cell>
          <cell r="H199">
            <v>26284492</v>
          </cell>
          <cell r="I199">
            <v>27139128</v>
          </cell>
          <cell r="J199">
            <v>28027594</v>
          </cell>
          <cell r="K199">
            <v>28947181</v>
          </cell>
          <cell r="L199">
            <v>29898598</v>
          </cell>
          <cell r="M199">
            <v>30883807</v>
          </cell>
          <cell r="N199">
            <v>31902609</v>
          </cell>
          <cell r="O199">
            <v>32954658.000000004</v>
          </cell>
          <cell r="P199">
            <v>34039741</v>
          </cell>
          <cell r="Q199">
            <v>35156817</v>
          </cell>
          <cell r="R199">
            <v>36305888</v>
          </cell>
          <cell r="S199">
            <v>37488912</v>
          </cell>
          <cell r="T199">
            <v>38708600</v>
          </cell>
          <cell r="U199">
            <v>39966307</v>
          </cell>
        </row>
        <row r="200">
          <cell r="A200" t="str">
            <v>Ukraine</v>
          </cell>
          <cell r="B200" t="str">
            <v>UKR</v>
          </cell>
          <cell r="C200" t="str">
            <v>EEUR</v>
          </cell>
          <cell r="F200">
            <v>48854427</v>
          </cell>
          <cell r="G200">
            <v>48427550</v>
          </cell>
          <cell r="H200">
            <v>48027355</v>
          </cell>
          <cell r="I200">
            <v>47649046</v>
          </cell>
          <cell r="J200">
            <v>47281800</v>
          </cell>
          <cell r="K200">
            <v>46917544</v>
          </cell>
          <cell r="L200">
            <v>46557424</v>
          </cell>
          <cell r="M200">
            <v>46205379</v>
          </cell>
          <cell r="N200">
            <v>45858834</v>
          </cell>
          <cell r="O200">
            <v>45514440</v>
          </cell>
          <cell r="P200">
            <v>45169656</v>
          </cell>
          <cell r="Q200">
            <v>44823219</v>
          </cell>
          <cell r="R200">
            <v>44475205</v>
          </cell>
          <cell r="S200">
            <v>44126069</v>
          </cell>
          <cell r="T200">
            <v>43776863</v>
          </cell>
          <cell r="U200">
            <v>43428263</v>
          </cell>
        </row>
        <row r="201">
          <cell r="A201" t="str">
            <v>United Arab Emirates</v>
          </cell>
          <cell r="B201" t="str">
            <v>UAE</v>
          </cell>
          <cell r="C201" t="str">
            <v>EMR</v>
          </cell>
          <cell r="F201">
            <v>3247219</v>
          </cell>
          <cell r="G201">
            <v>3424368</v>
          </cell>
          <cell r="H201">
            <v>3602931</v>
          </cell>
          <cell r="I201">
            <v>3778838</v>
          </cell>
          <cell r="J201">
            <v>3947132</v>
          </cell>
          <cell r="K201">
            <v>4104291</v>
          </cell>
          <cell r="L201">
            <v>4248476</v>
          </cell>
          <cell r="M201">
            <v>4380439</v>
          </cell>
          <cell r="N201">
            <v>4502582</v>
          </cell>
          <cell r="O201">
            <v>4618738</v>
          </cell>
          <cell r="P201">
            <v>4731864</v>
          </cell>
          <cell r="Q201">
            <v>4842522</v>
          </cell>
          <cell r="R201">
            <v>4950248</v>
          </cell>
          <cell r="S201">
            <v>5055815</v>
          </cell>
          <cell r="T201">
            <v>5159932</v>
          </cell>
          <cell r="U201">
            <v>5263162</v>
          </cell>
        </row>
        <row r="202">
          <cell r="A202" t="str">
            <v>United Kingdom</v>
          </cell>
          <cell r="B202" t="str">
            <v>UNK</v>
          </cell>
          <cell r="C202" t="str">
            <v>EME</v>
          </cell>
          <cell r="F202">
            <v>58867587</v>
          </cell>
          <cell r="G202">
            <v>59115560</v>
          </cell>
          <cell r="H202">
            <v>59388333</v>
          </cell>
          <cell r="I202">
            <v>59676074</v>
          </cell>
          <cell r="J202">
            <v>59964950</v>
          </cell>
          <cell r="K202">
            <v>60244834</v>
          </cell>
          <cell r="L202">
            <v>60512058</v>
          </cell>
          <cell r="M202">
            <v>60768942</v>
          </cell>
          <cell r="N202">
            <v>61018648</v>
          </cell>
          <cell r="O202">
            <v>61266777</v>
          </cell>
          <cell r="P202">
            <v>61517378</v>
          </cell>
          <cell r="Q202">
            <v>61770597</v>
          </cell>
          <cell r="R202">
            <v>62024556</v>
          </cell>
          <cell r="S202">
            <v>62278967</v>
          </cell>
          <cell r="T202">
            <v>62533227</v>
          </cell>
          <cell r="U202">
            <v>62786780</v>
          </cell>
        </row>
        <row r="203">
          <cell r="A203" t="str">
            <v>UR Tanzania</v>
          </cell>
          <cell r="B203" t="str">
            <v>TAN</v>
          </cell>
          <cell r="C203" t="str">
            <v>AFRhigh</v>
          </cell>
          <cell r="F203">
            <v>33848753</v>
          </cell>
          <cell r="G203">
            <v>34712186</v>
          </cell>
          <cell r="H203">
            <v>35615114</v>
          </cell>
          <cell r="I203">
            <v>36550910</v>
          </cell>
          <cell r="J203">
            <v>37508004</v>
          </cell>
          <cell r="K203">
            <v>38477873</v>
          </cell>
          <cell r="L203">
            <v>39458709</v>
          </cell>
          <cell r="M203">
            <v>40453512</v>
          </cell>
          <cell r="N203">
            <v>41463923</v>
          </cell>
          <cell r="O203">
            <v>42492822</v>
          </cell>
          <cell r="P203">
            <v>43541652</v>
          </cell>
          <cell r="Q203">
            <v>44610617</v>
          </cell>
          <cell r="R203">
            <v>45696786</v>
          </cell>
          <cell r="S203">
            <v>46794682</v>
          </cell>
          <cell r="T203">
            <v>47897103</v>
          </cell>
          <cell r="U203">
            <v>48998650</v>
          </cell>
        </row>
        <row r="204">
          <cell r="A204" t="str">
            <v>Uruguay</v>
          </cell>
          <cell r="B204" t="str">
            <v>URU</v>
          </cell>
          <cell r="C204" t="str">
            <v>LAC</v>
          </cell>
          <cell r="F204">
            <v>3318238</v>
          </cell>
          <cell r="G204">
            <v>3324937</v>
          </cell>
          <cell r="H204">
            <v>3326395</v>
          </cell>
          <cell r="I204">
            <v>3324950</v>
          </cell>
          <cell r="J204">
            <v>3323921</v>
          </cell>
          <cell r="K204">
            <v>3325727</v>
          </cell>
          <cell r="L204">
            <v>3331195</v>
          </cell>
          <cell r="M204">
            <v>3339701</v>
          </cell>
          <cell r="N204">
            <v>3350454</v>
          </cell>
          <cell r="O204">
            <v>3362075</v>
          </cell>
          <cell r="P204">
            <v>3373551</v>
          </cell>
          <cell r="Q204">
            <v>3384736</v>
          </cell>
          <cell r="R204">
            <v>3395999</v>
          </cell>
          <cell r="S204">
            <v>3407424</v>
          </cell>
          <cell r="T204">
            <v>3419198</v>
          </cell>
          <cell r="U204">
            <v>3431430</v>
          </cell>
        </row>
        <row r="205">
          <cell r="A205" t="str">
            <v>US Virgin Islands</v>
          </cell>
          <cell r="B205" t="str">
            <v>VUS</v>
          </cell>
          <cell r="C205" t="str">
            <v>LAC</v>
          </cell>
          <cell r="F205">
            <v>110496</v>
          </cell>
          <cell r="G205">
            <v>110880</v>
          </cell>
          <cell r="H205">
            <v>111132</v>
          </cell>
          <cell r="I205">
            <v>111278</v>
          </cell>
          <cell r="J205">
            <v>111359</v>
          </cell>
          <cell r="K205">
            <v>111408</v>
          </cell>
          <cell r="L205">
            <v>111432</v>
          </cell>
          <cell r="M205">
            <v>111425</v>
          </cell>
          <cell r="N205">
            <v>111390</v>
          </cell>
          <cell r="O205">
            <v>111324</v>
          </cell>
          <cell r="P205">
            <v>111228</v>
          </cell>
          <cell r="Q205">
            <v>111105</v>
          </cell>
          <cell r="R205">
            <v>110958</v>
          </cell>
          <cell r="S205">
            <v>110791</v>
          </cell>
          <cell r="T205">
            <v>110604</v>
          </cell>
          <cell r="U205">
            <v>110401</v>
          </cell>
        </row>
        <row r="206">
          <cell r="A206" t="str">
            <v>USA</v>
          </cell>
          <cell r="B206" t="str">
            <v>USA</v>
          </cell>
          <cell r="C206" t="str">
            <v>EME</v>
          </cell>
          <cell r="F206">
            <v>284857068</v>
          </cell>
          <cell r="G206">
            <v>287836758</v>
          </cell>
          <cell r="H206">
            <v>290832028</v>
          </cell>
          <cell r="I206">
            <v>293836937</v>
          </cell>
          <cell r="J206">
            <v>296843882</v>
          </cell>
          <cell r="K206">
            <v>299846449</v>
          </cell>
          <cell r="L206">
            <v>302841225</v>
          </cell>
          <cell r="M206">
            <v>305826244</v>
          </cell>
          <cell r="N206">
            <v>308798278</v>
          </cell>
          <cell r="O206">
            <v>311754345</v>
          </cell>
          <cell r="P206">
            <v>314691640</v>
          </cell>
          <cell r="Q206">
            <v>317606852</v>
          </cell>
          <cell r="R206">
            <v>320497350</v>
          </cell>
          <cell r="S206">
            <v>323361925</v>
          </cell>
          <cell r="T206">
            <v>326199979</v>
          </cell>
          <cell r="U206">
            <v>329010321</v>
          </cell>
        </row>
        <row r="207">
          <cell r="A207" t="str">
            <v>Uzbekistan</v>
          </cell>
          <cell r="B207" t="str">
            <v>UZB</v>
          </cell>
          <cell r="C207" t="str">
            <v>EEUR</v>
          </cell>
          <cell r="D207" t="str">
            <v>Sum</v>
          </cell>
          <cell r="E207">
            <v>155</v>
          </cell>
          <cell r="F207">
            <v>24723547</v>
          </cell>
          <cell r="G207">
            <v>25083240</v>
          </cell>
          <cell r="H207">
            <v>25451550</v>
          </cell>
          <cell r="I207">
            <v>25827643</v>
          </cell>
          <cell r="J207">
            <v>26208819</v>
          </cell>
          <cell r="K207">
            <v>26593123</v>
          </cell>
          <cell r="L207">
            <v>26980509</v>
          </cell>
          <cell r="M207">
            <v>27372256</v>
          </cell>
          <cell r="N207">
            <v>27768983</v>
          </cell>
          <cell r="O207">
            <v>28171471</v>
          </cell>
          <cell r="P207">
            <v>28579758</v>
          </cell>
          <cell r="Q207">
            <v>28993800</v>
          </cell>
          <cell r="R207">
            <v>29411777</v>
          </cell>
          <cell r="S207">
            <v>29829678</v>
          </cell>
          <cell r="T207">
            <v>30242281</v>
          </cell>
          <cell r="U207">
            <v>30645437</v>
          </cell>
        </row>
        <row r="208">
          <cell r="A208" t="str">
            <v>Vanuatu</v>
          </cell>
          <cell r="B208" t="str">
            <v>VAN</v>
          </cell>
          <cell r="C208" t="str">
            <v>WPR</v>
          </cell>
          <cell r="D208" t="str">
            <v>Vatu</v>
          </cell>
          <cell r="E208">
            <v>146.08000000000001</v>
          </cell>
          <cell r="F208">
            <v>189723</v>
          </cell>
          <cell r="G208">
            <v>194194</v>
          </cell>
          <cell r="H208">
            <v>199150</v>
          </cell>
          <cell r="I208">
            <v>204462</v>
          </cell>
          <cell r="J208">
            <v>209918</v>
          </cell>
          <cell r="K208">
            <v>215366</v>
          </cell>
          <cell r="L208">
            <v>220772</v>
          </cell>
          <cell r="M208">
            <v>226179</v>
          </cell>
          <cell r="N208">
            <v>231592</v>
          </cell>
          <cell r="O208">
            <v>237040</v>
          </cell>
          <cell r="P208">
            <v>242538</v>
          </cell>
          <cell r="Q208">
            <v>248077</v>
          </cell>
          <cell r="R208">
            <v>253641</v>
          </cell>
          <cell r="S208">
            <v>259227</v>
          </cell>
          <cell r="T208">
            <v>264841</v>
          </cell>
          <cell r="U208">
            <v>270484</v>
          </cell>
        </row>
        <row r="209">
          <cell r="A209" t="str">
            <v>Venezuela</v>
          </cell>
          <cell r="B209" t="str">
            <v>VEN</v>
          </cell>
          <cell r="C209" t="str">
            <v>LAC</v>
          </cell>
          <cell r="F209">
            <v>24402422</v>
          </cell>
          <cell r="G209">
            <v>24866759</v>
          </cell>
          <cell r="H209">
            <v>25331052</v>
          </cell>
          <cell r="I209">
            <v>25795496</v>
          </cell>
          <cell r="J209">
            <v>26260319</v>
          </cell>
          <cell r="K209">
            <v>26725573</v>
          </cell>
          <cell r="L209">
            <v>27191210</v>
          </cell>
          <cell r="M209">
            <v>27656833</v>
          </cell>
          <cell r="N209">
            <v>28121688</v>
          </cell>
          <cell r="O209">
            <v>28584788</v>
          </cell>
          <cell r="P209">
            <v>29045288</v>
          </cell>
          <cell r="Q209">
            <v>29502762</v>
          </cell>
          <cell r="R209">
            <v>29956930</v>
          </cell>
          <cell r="S209">
            <v>30407257</v>
          </cell>
          <cell r="T209">
            <v>30853206</v>
          </cell>
          <cell r="U209">
            <v>31294295</v>
          </cell>
        </row>
        <row r="210">
          <cell r="A210" t="str">
            <v>Viet Nam</v>
          </cell>
          <cell r="B210" t="str">
            <v>VTN</v>
          </cell>
          <cell r="C210" t="str">
            <v>WPR</v>
          </cell>
          <cell r="D210" t="str">
            <v>Dong</v>
          </cell>
          <cell r="E210">
            <v>15519</v>
          </cell>
          <cell r="F210">
            <v>79094396</v>
          </cell>
          <cell r="G210">
            <v>80255806</v>
          </cell>
          <cell r="H210">
            <v>81440330</v>
          </cell>
          <cell r="I210">
            <v>82639773</v>
          </cell>
          <cell r="J210">
            <v>83839483</v>
          </cell>
          <cell r="K210">
            <v>85028643</v>
          </cell>
          <cell r="L210">
            <v>86205866</v>
          </cell>
          <cell r="M210">
            <v>87375197</v>
          </cell>
          <cell r="N210">
            <v>88537271</v>
          </cell>
          <cell r="O210">
            <v>89693687</v>
          </cell>
          <cell r="P210">
            <v>90845158</v>
          </cell>
          <cell r="Q210">
            <v>91991254</v>
          </cell>
          <cell r="R210">
            <v>93129795</v>
          </cell>
          <cell r="S210">
            <v>94257676</v>
          </cell>
          <cell r="T210">
            <v>95370957</v>
          </cell>
          <cell r="U210">
            <v>96466566</v>
          </cell>
        </row>
        <row r="211">
          <cell r="A211" t="str">
            <v>Wallis &amp; Futuna Is</v>
          </cell>
          <cell r="B211" t="str">
            <v>WAF</v>
          </cell>
          <cell r="C211" t="str">
            <v>WPR</v>
          </cell>
          <cell r="F211">
            <v>14897</v>
          </cell>
          <cell r="G211">
            <v>14952</v>
          </cell>
          <cell r="H211">
            <v>14984</v>
          </cell>
          <cell r="I211">
            <v>15004</v>
          </cell>
          <cell r="J211">
            <v>15030</v>
          </cell>
          <cell r="K211">
            <v>15079</v>
          </cell>
          <cell r="L211">
            <v>15153</v>
          </cell>
          <cell r="M211">
            <v>15249</v>
          </cell>
          <cell r="N211">
            <v>15358</v>
          </cell>
          <cell r="O211">
            <v>15474</v>
          </cell>
          <cell r="P211">
            <v>15586</v>
          </cell>
          <cell r="Q211">
            <v>15694</v>
          </cell>
          <cell r="R211">
            <v>15798</v>
          </cell>
          <cell r="S211">
            <v>15901</v>
          </cell>
          <cell r="T211">
            <v>16003</v>
          </cell>
          <cell r="U211">
            <v>16107</v>
          </cell>
        </row>
        <row r="212">
          <cell r="A212" t="str">
            <v>West Bank and Gaza Strip</v>
          </cell>
          <cell r="B212" t="str">
            <v>OPT</v>
          </cell>
          <cell r="C212" t="str">
            <v>EMR</v>
          </cell>
          <cell r="F212">
            <v>3149447</v>
          </cell>
          <cell r="G212">
            <v>3266453</v>
          </cell>
          <cell r="H212">
            <v>3386996</v>
          </cell>
          <cell r="I212">
            <v>3510372</v>
          </cell>
          <cell r="J212">
            <v>3635616</v>
          </cell>
          <cell r="K212">
            <v>3762005</v>
          </cell>
          <cell r="L212">
            <v>3889267</v>
          </cell>
          <cell r="M212">
            <v>4017496</v>
          </cell>
          <cell r="N212">
            <v>4146784</v>
          </cell>
          <cell r="O212">
            <v>4277360</v>
          </cell>
          <cell r="P212">
            <v>4409392</v>
          </cell>
          <cell r="Q212">
            <v>4542828</v>
          </cell>
          <cell r="R212">
            <v>4677556</v>
          </cell>
          <cell r="S212">
            <v>4813634</v>
          </cell>
          <cell r="T212">
            <v>4951140</v>
          </cell>
          <cell r="U212">
            <v>5090124</v>
          </cell>
        </row>
        <row r="213">
          <cell r="A213" t="str">
            <v>Yemen</v>
          </cell>
          <cell r="B213" t="str">
            <v>YEM</v>
          </cell>
          <cell r="C213" t="str">
            <v>EMR</v>
          </cell>
          <cell r="D213" t="str">
            <v>Rial</v>
          </cell>
          <cell r="E213">
            <v>183.93</v>
          </cell>
          <cell r="F213">
            <v>18181733</v>
          </cell>
          <cell r="G213">
            <v>18729750</v>
          </cell>
          <cell r="H213">
            <v>19294631</v>
          </cell>
          <cell r="I213">
            <v>19877497</v>
          </cell>
          <cell r="J213">
            <v>20477919</v>
          </cell>
          <cell r="K213">
            <v>21095679</v>
          </cell>
          <cell r="L213">
            <v>21732247</v>
          </cell>
          <cell r="M213">
            <v>22389172</v>
          </cell>
          <cell r="N213">
            <v>23066020</v>
          </cell>
          <cell r="O213">
            <v>23761746</v>
          </cell>
          <cell r="P213">
            <v>24475349</v>
          </cell>
          <cell r="Q213">
            <v>25206408</v>
          </cell>
          <cell r="R213">
            <v>25954505</v>
          </cell>
          <cell r="S213">
            <v>26718471</v>
          </cell>
          <cell r="T213">
            <v>27496884</v>
          </cell>
          <cell r="U213">
            <v>28288288</v>
          </cell>
        </row>
        <row r="214">
          <cell r="A214" t="str">
            <v>Zambia</v>
          </cell>
          <cell r="B214" t="str">
            <v>ZAM</v>
          </cell>
          <cell r="C214" t="str">
            <v>AFRhigh</v>
          </cell>
          <cell r="D214" t="str">
            <v>Kwacha</v>
          </cell>
          <cell r="E214">
            <v>4753.42</v>
          </cell>
          <cell r="F214">
            <v>10450880</v>
          </cell>
          <cell r="G214">
            <v>10665406</v>
          </cell>
          <cell r="H214">
            <v>10869653</v>
          </cell>
          <cell r="I214">
            <v>11068686</v>
          </cell>
          <cell r="J214">
            <v>11269795</v>
          </cell>
          <cell r="K214">
            <v>11478317</v>
          </cell>
          <cell r="L214">
            <v>11696160</v>
          </cell>
          <cell r="M214">
            <v>11922003</v>
          </cell>
          <cell r="N214">
            <v>12154058</v>
          </cell>
          <cell r="O214">
            <v>12389242</v>
          </cell>
          <cell r="P214">
            <v>12625415</v>
          </cell>
          <cell r="Q214">
            <v>12861958</v>
          </cell>
          <cell r="R214">
            <v>13100038</v>
          </cell>
          <cell r="S214">
            <v>13341338</v>
          </cell>
          <cell r="T214">
            <v>13588258</v>
          </cell>
          <cell r="U214">
            <v>13842343</v>
          </cell>
        </row>
        <row r="215">
          <cell r="A215" t="str">
            <v>Zimbabwe</v>
          </cell>
          <cell r="B215" t="str">
            <v>ZIM</v>
          </cell>
          <cell r="C215" t="str">
            <v>AFRhigh</v>
          </cell>
          <cell r="D215" t="str">
            <v>Zimbabwe Dollar</v>
          </cell>
          <cell r="E215">
            <v>54.945054945054942</v>
          </cell>
          <cell r="F215">
            <v>12656484</v>
          </cell>
          <cell r="G215">
            <v>12767328</v>
          </cell>
          <cell r="H215">
            <v>12859321</v>
          </cell>
          <cell r="I215">
            <v>12941359</v>
          </cell>
          <cell r="J215">
            <v>13025237</v>
          </cell>
          <cell r="K215">
            <v>13119679</v>
          </cell>
          <cell r="L215">
            <v>13228191</v>
          </cell>
          <cell r="M215">
            <v>13349436</v>
          </cell>
          <cell r="N215">
            <v>13481234</v>
          </cell>
          <cell r="O215">
            <v>13619317</v>
          </cell>
          <cell r="P215">
            <v>13760411</v>
          </cell>
          <cell r="Q215">
            <v>13904472</v>
          </cell>
          <cell r="R215">
            <v>14052499</v>
          </cell>
          <cell r="S215">
            <v>14203298</v>
          </cell>
          <cell r="T215">
            <v>14355462</v>
          </cell>
          <cell r="U215">
            <v>14507846</v>
          </cell>
        </row>
      </sheetData>
      <sheetData sheetId="1">
        <row r="7">
          <cell r="D7" t="str">
            <v>Kyrgyzstan</v>
          </cell>
        </row>
      </sheetData>
      <sheetData sheetId="2">
        <row r="7">
          <cell r="D7" t="str">
            <v>Kyrgyzstan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7">
          <cell r="D7" t="str">
            <v>Kyrgyzstan</v>
          </cell>
        </row>
      </sheetData>
      <sheetData sheetId="10">
        <row r="7">
          <cell r="D7" t="str">
            <v>Kyrgyzstan</v>
          </cell>
        </row>
      </sheetData>
      <sheetData sheetId="11">
        <row r="7">
          <cell r="D7" t="str">
            <v>Kyrgyzstan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otal_tplt"/>
      <sheetName val="_rqst_tplt"/>
      <sheetName val="_settings"/>
      <sheetName val="Welcome"/>
      <sheetName val="Prices"/>
      <sheetName val="Selection"/>
      <sheetName val="Enrolment"/>
      <sheetName val="Calcs"/>
      <sheetName val="Request (Yr 1)"/>
      <sheetName val="Request (Yr 2)"/>
      <sheetName val="Request (Yr 3)"/>
      <sheetName val="Request (Yr 4)"/>
      <sheetName val="Request (Yr 5)"/>
      <sheetName val="Request (Yr 6)"/>
      <sheetName val="Request (Yr 7)"/>
      <sheetName val="Request (Yr 8)"/>
      <sheetName val="Total Requested"/>
      <sheetName val="_pop"/>
      <sheetName val="Definitions"/>
      <sheetName val="HIV"/>
    </sheetNames>
    <sheetDataSet>
      <sheetData sheetId="0" refreshError="1"/>
      <sheetData sheetId="1" refreshError="1"/>
      <sheetData sheetId="2">
        <row r="11">
          <cell r="B11" t="str">
            <v>Injectable</v>
          </cell>
        </row>
        <row r="12">
          <cell r="B12" t="str">
            <v>Oral tablet</v>
          </cell>
        </row>
        <row r="13">
          <cell r="B13" t="str">
            <v>Other</v>
          </cell>
        </row>
        <row r="14">
          <cell r="B14" t="str">
            <v>Quinolone</v>
          </cell>
        </row>
        <row r="15">
          <cell r="B15" t="str">
            <v>Sachet</v>
          </cell>
        </row>
        <row r="19">
          <cell r="B19" t="str">
            <v>Bayer</v>
          </cell>
        </row>
        <row r="20">
          <cell r="B20" t="str">
            <v>Brown Burke</v>
          </cell>
        </row>
        <row r="21">
          <cell r="B21" t="str">
            <v>Eli Lilly</v>
          </cell>
        </row>
        <row r="22">
          <cell r="B22" t="str">
            <v>Fatol</v>
          </cell>
        </row>
        <row r="23">
          <cell r="B23" t="str">
            <v>Jacobus</v>
          </cell>
        </row>
        <row r="24">
          <cell r="B24" t="str">
            <v>Macleods</v>
          </cell>
        </row>
        <row r="25">
          <cell r="B25" t="str">
            <v>Panpharma</v>
          </cell>
        </row>
        <row r="29">
          <cell r="B29" t="str">
            <v>Capreomycin</v>
          </cell>
        </row>
        <row r="30">
          <cell r="B30" t="str">
            <v>Clarithromycine</v>
          </cell>
        </row>
        <row r="31">
          <cell r="B31" t="str">
            <v>Cycloserin</v>
          </cell>
        </row>
        <row r="32">
          <cell r="B32" t="str">
            <v>Ethionamide</v>
          </cell>
        </row>
        <row r="33">
          <cell r="B33" t="str">
            <v>Kanamycin</v>
          </cell>
        </row>
        <row r="34">
          <cell r="B34" t="str">
            <v>Moxifloxacin (local purchase)</v>
          </cell>
        </row>
        <row r="35">
          <cell r="B35" t="str">
            <v>Ofloxacine</v>
          </cell>
        </row>
        <row r="36">
          <cell r="B36" t="str">
            <v>PASER</v>
          </cell>
        </row>
        <row r="37">
          <cell r="B37" t="str">
            <v>Prothionamide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pop"/>
      <sheetName val="_pvt_epicountry"/>
      <sheetName val="_epibycountry"/>
      <sheetName val="_pvt_epiregion"/>
      <sheetName val="_epibyregion"/>
      <sheetName val="_pvt_costsregion"/>
      <sheetName val="_costbyregion"/>
      <sheetName val="_pvt_costscountry"/>
      <sheetName val="_costbycountry"/>
      <sheetName val="_ref_tables"/>
      <sheetName val="_settings"/>
      <sheetName val="Welcome"/>
      <sheetName val="Options"/>
      <sheetName val="Guidelines"/>
      <sheetName val="Baseline Budget"/>
      <sheetName val="Epidemiology"/>
      <sheetName val="1.2 Improving diagnosis"/>
      <sheetName val="Lab items list"/>
      <sheetName val="1.3 Patient support"/>
      <sheetName val="1.4 First-line drugs"/>
      <sheetName val="1.5.1 M&amp;E"/>
      <sheetName val="1.5.2 Management &amp; supervision"/>
      <sheetName val="1.5.3.1 Staff"/>
      <sheetName val="1.5.3.2 International TA"/>
      <sheetName val="1.5.3.3 Training"/>
      <sheetName val="2.1 TB HIV"/>
      <sheetName val="2.2 MDR TB"/>
      <sheetName val="2.3.1 High risk grups"/>
      <sheetName val="2.3.2 Infection control"/>
      <sheetName val="2.3.3 Childhood"/>
      <sheetName val="3.2 PAL"/>
      <sheetName val="4.1 PPM"/>
      <sheetName val="5.1 ACSM"/>
      <sheetName val="5.2 Community involvement"/>
      <sheetName val="6.1 OR"/>
      <sheetName val="Other"/>
      <sheetName val="Use general health services"/>
      <sheetName val="Table Costs Funding"/>
      <sheetName val="Table Costs by activity"/>
      <sheetName val="Fig Costs"/>
      <sheetName val="Fig Funding"/>
      <sheetName val="Table costs &amp; funding"/>
      <sheetName val="Table CostCategoriesG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D8" t="str">
            <v>EEUR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pop"/>
      <sheetName val="_pvt_epicountry"/>
      <sheetName val="_epibycountry"/>
      <sheetName val="_pvt_epiregion"/>
      <sheetName val="_epibyregion"/>
      <sheetName val="_pvt_costsregion"/>
      <sheetName val="_costbyregion"/>
      <sheetName val="_pvt_costscountry"/>
      <sheetName val="_costbycountry"/>
      <sheetName val="_ref_tables"/>
      <sheetName val="_settings"/>
      <sheetName val="Welcome"/>
      <sheetName val="Options"/>
      <sheetName val="Guidelines"/>
      <sheetName val="Baseline Budget"/>
      <sheetName val="Epidemiology"/>
      <sheetName val="1.2 Improving diagnosis"/>
      <sheetName val="Lab items list"/>
      <sheetName val="1.3 Patient support"/>
      <sheetName val="1.4 First-line drugs"/>
      <sheetName val="1.5.1 M&amp;E"/>
      <sheetName val="1.5.2 Management &amp; supervision"/>
      <sheetName val="1.5.3.1 Staff"/>
      <sheetName val="1.5.3.2 International TA"/>
      <sheetName val="1.5.3.3 Training"/>
      <sheetName val="2.1 TB HIV"/>
      <sheetName val="2.2 MDR TB"/>
      <sheetName val="2.3.1 High risk grups"/>
      <sheetName val="2.3.2 Infection control"/>
      <sheetName val="2.3.3 Childhood"/>
      <sheetName val="3.2 PAL"/>
      <sheetName val="4.1 PPM"/>
      <sheetName val="5.1 ACSM"/>
      <sheetName val="5.2 Community involvement"/>
      <sheetName val="6.1 OR"/>
      <sheetName val="Other"/>
      <sheetName val="Use general health services"/>
      <sheetName val="Table Costs Funding"/>
      <sheetName val="Table Costs by activity"/>
      <sheetName val="Fig Costs"/>
      <sheetName val="Fig Funding"/>
      <sheetName val="Table costs &amp; funding"/>
      <sheetName val="Table CostCategoriesG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D8" t="str">
            <v>EEUR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g log"/>
      <sheetName val="Instructions"/>
      <sheetName val="Setup"/>
      <sheetName val="Detailed Budget"/>
      <sheetName val="Currencies"/>
      <sheetName val="Assumptions TRC"/>
      <sheetName val="TRC-PIVOT"/>
      <sheetName val="Assumptions HR"/>
      <sheetName val="Assumptions Other"/>
      <sheetName val="Translations"/>
      <sheetName val="Budget Summary"/>
      <sheetName val="Budget Summary En"/>
      <sheetName val="Summary by Intervention"/>
      <sheetName val="CatInt"/>
      <sheetName val="Summary by Cost Input"/>
      <sheetName val="Cost Inputs"/>
      <sheetName val="Concept Note Module Budget"/>
      <sheetName val="Rank unique Mod-Int-PR"/>
      <sheetName val="Free sheet-enter what you need"/>
      <sheetName val="Free pivot table"/>
      <sheetName val="Country"/>
      <sheetName val="Recipient"/>
      <sheetName val="Assumptions"/>
      <sheetName val="CatCmp"/>
      <sheetName val="CatModules"/>
      <sheetName val="ModInCmp"/>
      <sheetName val="Budget Lines"/>
      <sheetName val="ActivityConcat"/>
      <sheetName val="CostGroup"/>
    </sheetNames>
    <sheetDataSet>
      <sheetData sheetId="0"/>
      <sheetData sheetId="1"/>
      <sheetData sheetId="2">
        <row r="4">
          <cell r="B4" t="str">
            <v>Tuberculosis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U2">
            <v>61</v>
          </cell>
        </row>
        <row r="3">
          <cell r="P3" t="str">
            <v>1.1 Salaries - program management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C1" t="str">
            <v>Label</v>
          </cell>
          <cell r="D1" t="str">
            <v>Component en</v>
          </cell>
          <cell r="E1" t="str">
            <v>Component fr</v>
          </cell>
          <cell r="F1" t="str">
            <v>Component es</v>
          </cell>
          <cell r="G1" t="str">
            <v>Component ru</v>
          </cell>
          <cell r="H1" t="str">
            <v>Cost Input</v>
          </cell>
        </row>
        <row r="2">
          <cell r="C2" t="str">
            <v>HIV/AIDS</v>
          </cell>
          <cell r="D2" t="str">
            <v>HIV/AIDS</v>
          </cell>
          <cell r="E2" t="str">
            <v>VIH/SIDA</v>
          </cell>
          <cell r="F2" t="str">
            <v>VIH/SIDA</v>
          </cell>
          <cell r="G2" t="str">
            <v>ВИЧ/СПИД</v>
          </cell>
          <cell r="H2">
            <v>0</v>
          </cell>
        </row>
        <row r="3">
          <cell r="C3" t="str">
            <v>Tuberculosis</v>
          </cell>
          <cell r="D3" t="str">
            <v>Tuberculosis</v>
          </cell>
          <cell r="E3" t="str">
            <v>Tuberculose</v>
          </cell>
          <cell r="F3" t="str">
            <v>Tuberculosis</v>
          </cell>
          <cell r="G3" t="str">
            <v>Туберкулез</v>
          </cell>
          <cell r="H3">
            <v>1</v>
          </cell>
        </row>
        <row r="4">
          <cell r="C4" t="str">
            <v>Malaria</v>
          </cell>
          <cell r="D4" t="str">
            <v>Malaria</v>
          </cell>
          <cell r="E4" t="str">
            <v>Paludisme</v>
          </cell>
          <cell r="F4" t="str">
            <v>Malaria</v>
          </cell>
          <cell r="G4" t="str">
            <v>Малярия</v>
          </cell>
          <cell r="H4">
            <v>2</v>
          </cell>
        </row>
        <row r="5">
          <cell r="C5" t="str">
            <v>HIV/TB</v>
          </cell>
          <cell r="D5" t="str">
            <v>HIV/TB</v>
          </cell>
          <cell r="E5" t="str">
            <v>VIH/TB</v>
          </cell>
          <cell r="F5" t="str">
            <v>VIH/TB</v>
          </cell>
          <cell r="G5" t="str">
            <v>ВИЧ/TБ</v>
          </cell>
          <cell r="H5">
            <v>3</v>
          </cell>
        </row>
        <row r="6">
          <cell r="C6" t="str">
            <v>HSS</v>
          </cell>
          <cell r="D6" t="str">
            <v>HSS</v>
          </cell>
          <cell r="E6" t="str">
            <v>RSS</v>
          </cell>
          <cell r="F6" t="str">
            <v>FSS</v>
          </cell>
          <cell r="G6" t="str">
            <v>УСЗ</v>
          </cell>
          <cell r="H6">
            <v>4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Заглавный лист"/>
      <sheetName val="Общие указания"/>
      <sheetName val="Общие допущения"/>
      <sheetName val="Детальные допущения"/>
      <sheetName val="Детальный бюджет на 1-й год"/>
      <sheetName val="Детальный бюджет на 2-й год"/>
      <sheetName val="Детальный бюджет на 3,4,5-й год"/>
      <sheetName val="Бюджет на 5 лет"/>
      <sheetName val="Краткий бюджет"/>
    </sheetNames>
    <sheetDataSet>
      <sheetData sheetId="0">
        <row r="3">
          <cell r="F3" t="str">
            <v>Кадровые ресурсы</v>
          </cell>
          <cell r="H3" t="str">
            <v>FBO</v>
          </cell>
        </row>
        <row r="4">
          <cell r="F4" t="str">
            <v>Техническая и административная помощь</v>
          </cell>
          <cell r="H4" t="str">
            <v>Негосударственные учреждения/общественные организации/высшие учебные учреждения</v>
          </cell>
        </row>
        <row r="5">
          <cell r="F5" t="str">
            <v>Обучение</v>
          </cell>
          <cell r="H5" t="str">
            <v>Частный сектор</v>
          </cell>
        </row>
        <row r="6">
          <cell r="F6" t="str">
            <v>Товары медицинского назначения и медицинское оборудование</v>
          </cell>
          <cell r="H6" t="str">
            <v>Министерство здравоохранения</v>
          </cell>
        </row>
        <row r="7">
          <cell r="F7" t="str">
            <v>Лекарственные препараты (медикаменты)</v>
          </cell>
          <cell r="H7" t="str">
            <v>Другие правительственные органы</v>
          </cell>
        </row>
        <row r="8">
          <cell r="F8" t="str">
            <v xml:space="preserve">Расходы на управление закупками и снабжением </v>
          </cell>
          <cell r="H8" t="str">
            <v>Программа развития ООН</v>
          </cell>
        </row>
        <row r="9">
          <cell r="F9" t="str">
            <v>Инфраструктура и другое оборудование</v>
          </cell>
          <cell r="H9" t="str">
            <v>Другие многосторонние организации</v>
          </cell>
        </row>
        <row r="10">
          <cell r="F10" t="str">
            <v>Информационные материалы</v>
          </cell>
        </row>
        <row r="11">
          <cell r="F11" t="str">
            <v>Мониторинг и оценка</v>
          </cell>
        </row>
        <row r="12">
          <cell r="F12" t="str">
            <v>Поддержка жизни клиентов/целевых групп населения</v>
          </cell>
        </row>
        <row r="13">
          <cell r="F13" t="str">
            <v>Планирование и администрирование</v>
          </cell>
        </row>
        <row r="14">
          <cell r="F14" t="str">
            <v>Накладные расходы</v>
          </cell>
        </row>
        <row r="15">
          <cell r="F15" t="str">
            <v>Прочие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Заглавный лист"/>
      <sheetName val="Общие указания"/>
      <sheetName val="Общие допущения"/>
      <sheetName val="Детальные допущения"/>
      <sheetName val="Детальный бюджет на 1-й год"/>
      <sheetName val="Детальный бюджет на 2-й год"/>
      <sheetName val="Детальный бюджет на 3,4,5-й год"/>
      <sheetName val="Бюджет на 5 лет"/>
      <sheetName val="Краткий бюджет"/>
    </sheetNames>
    <sheetDataSet>
      <sheetData sheetId="0">
        <row r="3">
          <cell r="F3" t="str">
            <v>Кадровые ресурсы</v>
          </cell>
          <cell r="H3" t="str">
            <v>FBO</v>
          </cell>
        </row>
        <row r="4">
          <cell r="F4" t="str">
            <v>Техническая и административная помощь</v>
          </cell>
          <cell r="H4" t="str">
            <v>Негосударственные учреждения/общественные организации/высшие учебные учреждения</v>
          </cell>
        </row>
        <row r="5">
          <cell r="F5" t="str">
            <v>Обучение</v>
          </cell>
          <cell r="H5" t="str">
            <v>Частный сектор</v>
          </cell>
        </row>
        <row r="6">
          <cell r="F6" t="str">
            <v>Товары медицинского назначения и медицинское оборудование</v>
          </cell>
          <cell r="H6" t="str">
            <v>Министерство здравоохранения</v>
          </cell>
        </row>
        <row r="7">
          <cell r="F7" t="str">
            <v>Лекарственные препараты (медикаменты)</v>
          </cell>
          <cell r="H7" t="str">
            <v>Другие правительственные органы</v>
          </cell>
        </row>
        <row r="8">
          <cell r="F8" t="str">
            <v xml:space="preserve">Расходы на управление закупками и снабжением </v>
          </cell>
          <cell r="H8" t="str">
            <v>Программа развития ООН</v>
          </cell>
        </row>
        <row r="9">
          <cell r="F9" t="str">
            <v>Инфраструктура и другое оборудование</v>
          </cell>
          <cell r="H9" t="str">
            <v>Другие многосторонние организации</v>
          </cell>
        </row>
        <row r="10">
          <cell r="F10" t="str">
            <v>Информационные материалы</v>
          </cell>
        </row>
        <row r="11">
          <cell r="F11" t="str">
            <v>Мониторинг и оценка</v>
          </cell>
        </row>
        <row r="12">
          <cell r="F12" t="str">
            <v>Поддержка жизни клиентов/целевых групп населения</v>
          </cell>
        </row>
        <row r="13">
          <cell r="F13" t="str">
            <v>Планирование и администрирование</v>
          </cell>
        </row>
        <row r="14">
          <cell r="F14" t="str">
            <v>Накладные расходы</v>
          </cell>
        </row>
        <row r="15">
          <cell r="F15" t="str">
            <v>Прочие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Version History"/>
      <sheetName val="Setup"/>
      <sheetName val="Data Sheet"/>
      <sheetName val="Detailed Budget"/>
      <sheetName val="Budget Summary"/>
      <sheetName val="Budget Summary En"/>
      <sheetName val="Summary by Intervention"/>
      <sheetName val="Summary by Cost Input"/>
      <sheetName val="Additional Summary"/>
      <sheetName val="ICR Rate"/>
      <sheetName val="Admin Sheet"/>
      <sheetName val="Admin Sheet_Pop"/>
      <sheetName val="Recipient sheet"/>
      <sheetName val="Currencies"/>
      <sheetName val="Population"/>
      <sheetName val="Summary ICR"/>
      <sheetName val="Assumptions HR"/>
      <sheetName val="Assumptions TRC"/>
      <sheetName val="Assumptions Other"/>
      <sheetName val="Free sheet-enter what you need"/>
      <sheetName val="Free pivot table"/>
      <sheetName val="Investment Landscape Overview"/>
      <sheetName val="Action Plan – Key Activities"/>
      <sheetName val="Financial Triggers - Budget"/>
      <sheetName val="Translations"/>
      <sheetName val="Action Plan - Pivot"/>
      <sheetName val="Action Plan - Reference Data"/>
      <sheetName val="0. Refresh Pivot Tables"/>
      <sheetName val="Action Plan - Pivot Analytic"/>
      <sheetName val="2. Budget Granularity"/>
      <sheetName val="Dataset - Costing Dimensions"/>
      <sheetName val="apttusmetadata"/>
    </sheetNames>
    <sheetDataSet>
      <sheetData sheetId="0" refreshError="1"/>
      <sheetData sheetId="1" refreshError="1"/>
      <sheetData sheetId="2" refreshError="1"/>
      <sheetData sheetId="3">
        <row r="297">
          <cell r="G297" t="str">
            <v>[Cost Grouping Number].[Cost Input Number] [Name]</v>
          </cell>
        </row>
        <row r="298">
          <cell r="G298" t="str">
            <v>1.0 Human Resources (HR)</v>
          </cell>
        </row>
        <row r="299">
          <cell r="G299" t="str">
            <v>1.1 Salaries - program management</v>
          </cell>
        </row>
        <row r="300">
          <cell r="G300" t="str">
            <v>1.2 Salaries - outreach workers, medical staff and other service providers</v>
          </cell>
        </row>
        <row r="301">
          <cell r="G301" t="str">
            <v>1.4 Other HR Costs</v>
          </cell>
        </row>
        <row r="302">
          <cell r="G302" t="str">
            <v>1.5 Severance costs</v>
          </cell>
        </row>
        <row r="303">
          <cell r="G303" t="str">
            <v>2.0 Travel related costs (TRC)</v>
          </cell>
        </row>
        <row r="304">
          <cell r="G304" t="str">
            <v>2.1 Training related per diems/transport/other costs</v>
          </cell>
        </row>
        <row r="305">
          <cell r="G305" t="str">
            <v>2.2 Technical assistance-related per diems/transport/other costs</v>
          </cell>
        </row>
        <row r="306">
          <cell r="G306" t="str">
            <v>2.3 Supervision/surveys/data collection related per diems/transport/other costs</v>
          </cell>
        </row>
        <row r="307">
          <cell r="G307" t="str">
            <v>2.4 Meeting/Advocacy related per diems/transport/other costs</v>
          </cell>
        </row>
        <row r="308">
          <cell r="G308" t="str">
            <v>2.5 Other Transportation costs</v>
          </cell>
        </row>
        <row r="309">
          <cell r="G309" t="str">
            <v>3.0 External Professional services (EPS)</v>
          </cell>
        </row>
        <row r="310">
          <cell r="G310" t="str">
            <v>3.1 Technical Assistance Fees/Consultants</v>
          </cell>
        </row>
        <row r="311">
          <cell r="G311" t="str">
            <v>3.2 Fiscal/Fiduciary Agent fees</v>
          </cell>
        </row>
        <row r="312">
          <cell r="G312" t="str">
            <v>3.3 External audit fees</v>
          </cell>
        </row>
        <row r="313">
          <cell r="G313" t="str">
            <v>3.4 Other external professional services</v>
          </cell>
        </row>
        <row r="314">
          <cell r="G314" t="str">
            <v>3.5 Insurance related costs</v>
          </cell>
        </row>
        <row r="315">
          <cell r="G315" t="str">
            <v>4.0 Health Products - Pharmaceutical Products (HPPP)</v>
          </cell>
        </row>
        <row r="316">
          <cell r="G316" t="str">
            <v>4.1 Antiretroviral medicines</v>
          </cell>
        </row>
        <row r="317">
          <cell r="G317" t="str">
            <v>4.2 Anti-tuberculosis medicines</v>
          </cell>
        </row>
        <row r="318">
          <cell r="G318" t="str">
            <v>4.3 Antimalarial medicines</v>
          </cell>
        </row>
        <row r="319">
          <cell r="G319" t="str">
            <v>4.4 Opioid substitutes medicines</v>
          </cell>
        </row>
        <row r="320">
          <cell r="G320" t="str">
            <v>4.5 Opportunistic infections and STI medicines</v>
          </cell>
        </row>
        <row r="321">
          <cell r="G321" t="str">
            <v>4.6 Private Sector subsidies for ACTs (co-payment to 4.3)</v>
          </cell>
        </row>
        <row r="322">
          <cell r="G322" t="str">
            <v>4.7 Other medicines</v>
          </cell>
        </row>
        <row r="323">
          <cell r="G323" t="str">
            <v>5.0 Health Products - Non-Pharmaceuticals (HPNP)</v>
          </cell>
        </row>
        <row r="324">
          <cell r="G324" t="str">
            <v>5.1 Insecticide-treated Nets (LLINs/ITNs)</v>
          </cell>
        </row>
        <row r="325">
          <cell r="G325" t="str">
            <v>5.2 Condoms - Male</v>
          </cell>
        </row>
        <row r="326">
          <cell r="G326" t="str">
            <v>5.3 Condoms - Female</v>
          </cell>
        </row>
        <row r="327">
          <cell r="G327" t="str">
            <v>5.4 Rapid Diagnostic Test</v>
          </cell>
        </row>
        <row r="328">
          <cell r="G328" t="str">
            <v>5.5 Insecticides</v>
          </cell>
        </row>
        <row r="329">
          <cell r="G329" t="str">
            <v>5.6 Laboratory reagents</v>
          </cell>
        </row>
        <row r="330">
          <cell r="G330" t="str">
            <v>5.7 Syringes and needles</v>
          </cell>
        </row>
        <row r="331">
          <cell r="G331" t="str">
            <v>5.8 Other consumables</v>
          </cell>
        </row>
        <row r="332">
          <cell r="G332" t="str">
            <v>5.9 Private Sector subsidies for RDTs (co-payment to 5.4)</v>
          </cell>
        </row>
        <row r="333">
          <cell r="G333" t="str">
            <v>6.0 Health Products - Equipment (HPE)</v>
          </cell>
        </row>
        <row r="334">
          <cell r="G334" t="str">
            <v>6.1 CD4 analyser/accessories</v>
          </cell>
        </row>
        <row r="335">
          <cell r="G335" t="str">
            <v>6.2 HIV Viral Load analyser/accessories</v>
          </cell>
        </row>
        <row r="336">
          <cell r="G336" t="str">
            <v>6.3 Microscopes</v>
          </cell>
        </row>
        <row r="337">
          <cell r="G337" t="str">
            <v>6.4 TB Molecular Test equipment</v>
          </cell>
        </row>
        <row r="338">
          <cell r="G338" t="str">
            <v>6.5 Maintenance and service costs for health equipment</v>
          </cell>
        </row>
        <row r="339">
          <cell r="G339" t="str">
            <v>6.6 Other health equipment</v>
          </cell>
        </row>
        <row r="340">
          <cell r="G340" t="str">
            <v>7.0 Procurement and Supply-Chain Management costs (PSM)</v>
          </cell>
        </row>
        <row r="341">
          <cell r="G341" t="str">
            <v>7.1 Procurement agent and handling fees</v>
          </cell>
        </row>
        <row r="342">
          <cell r="G342" t="str">
            <v>7.2 Freight and insurance costs (Health products)</v>
          </cell>
        </row>
        <row r="343">
          <cell r="G343" t="str">
            <v>7.3 Warehouse and Storage Costs</v>
          </cell>
        </row>
        <row r="344">
          <cell r="G344" t="str">
            <v>7.4 In-country distribution costs</v>
          </cell>
        </row>
        <row r="345">
          <cell r="G345" t="str">
            <v>7.5 Quality assurance and quality control costs (QA/QC)</v>
          </cell>
        </row>
        <row r="346">
          <cell r="G346" t="str">
            <v>7.6 PSM Customs Clearance</v>
          </cell>
        </row>
        <row r="347">
          <cell r="G347" t="str">
            <v>7.7 Other PSM costs</v>
          </cell>
        </row>
        <row r="348">
          <cell r="G348" t="str">
            <v>8.0 Infrastructure (INF)</v>
          </cell>
        </row>
        <row r="349">
          <cell r="G349" t="str">
            <v>8.1 Furniture</v>
          </cell>
        </row>
        <row r="350">
          <cell r="G350" t="str">
            <v>8.2 Renovation/constructions</v>
          </cell>
        </row>
        <row r="351">
          <cell r="G351" t="str">
            <v>8.3 Infrastructure maintenance and other INF costs</v>
          </cell>
        </row>
        <row r="352">
          <cell r="G352" t="str">
            <v>9.0 Non-health equipment (NHP)</v>
          </cell>
        </row>
        <row r="353">
          <cell r="G353" t="str">
            <v>9.1 IT - computers, computer equipment, software and applications</v>
          </cell>
        </row>
        <row r="354">
          <cell r="G354" t="str">
            <v>9.2 Vehicles</v>
          </cell>
        </row>
        <row r="355">
          <cell r="G355" t="str">
            <v>9.3 Other non-health equipment</v>
          </cell>
        </row>
        <row r="356">
          <cell r="G356" t="str">
            <v>9.4 Maintenance and service costs non-health equipment</v>
          </cell>
        </row>
        <row r="357">
          <cell r="G357" t="str">
            <v>10.0 Communication Material and Publications (CMP)</v>
          </cell>
        </row>
        <row r="358">
          <cell r="G358" t="str">
            <v>10.1 Printed materials (forms, books, guidelines, brochure, leaflets...)</v>
          </cell>
        </row>
        <row r="359">
          <cell r="G359" t="str">
            <v>10.2 Television/Radio spots and programmes</v>
          </cell>
        </row>
        <row r="360">
          <cell r="G360" t="str">
            <v>10.3 Promotional Material (t-shirts, mugs, pins...) and other CMP costs</v>
          </cell>
        </row>
        <row r="361">
          <cell r="G361" t="str">
            <v>11.0 Indirect and Overhead Costs</v>
          </cell>
        </row>
        <row r="362">
          <cell r="G362" t="str">
            <v>11.1 Office related costs</v>
          </cell>
        </row>
        <row r="363">
          <cell r="G363" t="str">
            <v>11.2 Unrecoverable taxes and duties</v>
          </cell>
        </row>
        <row r="364">
          <cell r="G364" t="str">
            <v>11.3 Indirect cost recovery (ICR) - % based</v>
          </cell>
        </row>
        <row r="365">
          <cell r="G365" t="str">
            <v>11.4 Other PA costs</v>
          </cell>
        </row>
        <row r="366">
          <cell r="G366" t="str">
            <v>11.5 Shared costs</v>
          </cell>
        </row>
        <row r="367">
          <cell r="G367" t="str">
            <v>12.0 Living support to client/ target population (LSCTP)</v>
          </cell>
        </row>
        <row r="368">
          <cell r="G368" t="str">
            <v>12.1 Support to orphans and other vulnerable children (school fees, uniforms, etc.)</v>
          </cell>
        </row>
        <row r="369">
          <cell r="G369" t="str">
            <v>12.2 Food and care packages</v>
          </cell>
        </row>
        <row r="370">
          <cell r="G370" t="str">
            <v>12.3 Cash incentives/transfer to patients/beneficiaries/counsellors/mediators</v>
          </cell>
        </row>
        <row r="371">
          <cell r="G371" t="str">
            <v>12.4 Micro-loans and micro-grants</v>
          </cell>
        </row>
        <row r="372">
          <cell r="G372" t="str">
            <v>12.5 Other LSCTP costs</v>
          </cell>
        </row>
        <row r="373">
          <cell r="G373" t="str">
            <v>13.0 Payment for results</v>
          </cell>
        </row>
        <row r="374">
          <cell r="G374" t="str">
            <v>13.1 Results Based Financing (RBF)</v>
          </cell>
        </row>
        <row r="375">
          <cell r="G375" t="str">
            <v>13.2 Activity based contracts, community based organizations and other service provid</v>
          </cell>
        </row>
        <row r="376">
          <cell r="G376" t="str">
            <v>13.3 Incentives for Principal Recipient and Sub-Recipient staff members</v>
          </cell>
        </row>
        <row r="377">
          <cell r="G377" t="str">
            <v>13.4 Incentives for Community Health Workers (CHW), outreach workers, medical staff 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erformance Framework 3&amp;4"/>
      <sheetName val="HIV"/>
      <sheetName val="TB"/>
      <sheetName val="Malaria"/>
    </sheetNames>
    <sheetDataSet>
      <sheetData sheetId="0" refreshError="1"/>
      <sheetData sheetId="1" refreshError="1"/>
      <sheetData sheetId="2">
        <row r="2">
          <cell r="A2" t="str">
            <v>Please select…</v>
          </cell>
          <cell r="B2" t="str">
            <v>Please select…</v>
          </cell>
          <cell r="D2" t="str">
            <v>Please select…</v>
          </cell>
        </row>
        <row r="3">
          <cell r="A3" t="str">
            <v>BCC - Mass media</v>
          </cell>
          <cell r="B3" t="str">
            <v xml:space="preserve">% of young women and men aged 15-24 who are HIV infected </v>
          </cell>
          <cell r="D3" t="str">
            <v xml:space="preserve">% of women and men aged 15-49 who have had sexual intercourse with more than one partner in the last 12 months </v>
          </cell>
          <cell r="F3" t="str">
            <v>Please enter a corresponding indicator here…</v>
          </cell>
        </row>
        <row r="4">
          <cell r="A4" t="str">
            <v>BCC - community outreach and schools</v>
          </cell>
          <cell r="B4" t="str">
            <v xml:space="preserve">% of adults and children with HIV known to be on treatment 12 months after initiation of antiretroviral therapy </v>
          </cell>
          <cell r="D4" t="str">
            <v>% of never married young men and women aged 15-24 who have never had sex</v>
          </cell>
          <cell r="F4" t="str">
            <v>Please enter a data source here…</v>
          </cell>
        </row>
        <row r="5">
          <cell r="A5" t="str">
            <v xml:space="preserve">Condom </v>
          </cell>
          <cell r="B5" t="str">
            <v xml:space="preserve">% of infants born to HIV infected mothers who are infected </v>
          </cell>
          <cell r="D5" t="str">
            <v xml:space="preserve">% of young women and men aged 15-24 who have had sexual intercourse before the age of 15 </v>
          </cell>
          <cell r="F5" t="str">
            <v>Please enter a SDA here…</v>
          </cell>
        </row>
        <row r="6">
          <cell r="A6" t="str">
            <v>Testing and Counseling</v>
          </cell>
          <cell r="B6" t="str">
            <v xml:space="preserve">% of most-at-risk population(s) (sex workers, clients of sex workers, men who have sex with men, injecting drug users) who are HIV infected </v>
          </cell>
          <cell r="D6" t="str">
            <v xml:space="preserve">% of injecting drug users reporting the use of sterile injecting equipment the last time they injected </v>
          </cell>
        </row>
        <row r="7">
          <cell r="A7" t="str">
            <v>PMTCT</v>
          </cell>
          <cell r="B7" t="str">
            <v>% of children under age 18 who are orphans</v>
          </cell>
          <cell r="D7" t="str">
            <v xml:space="preserve">% of injecting drug users reporting the use of a condom the last time they had sexual intercourse </v>
          </cell>
        </row>
        <row r="8">
          <cell r="A8" t="str">
            <v>Post-exposure prophylaxis (PEP)</v>
          </cell>
          <cell r="D8" t="str">
            <v>Current school attendance among orphans and non-orphans</v>
          </cell>
        </row>
        <row r="9">
          <cell r="A9" t="str">
            <v>STI diagnosis and treatment</v>
          </cell>
          <cell r="D9" t="str">
            <v>% of women and men aged 15-49 who have had more than one sexual partner in the past 12 months reporting the use of a condom during their last sexual intercourse</v>
          </cell>
        </row>
        <row r="10">
          <cell r="A10" t="str">
            <v>Blood safety and universal precaution</v>
          </cell>
          <cell r="D10" t="str">
            <v xml:space="preserve">% of women and men aged 15-49 expressing accepting attitudes towards people with HIV </v>
          </cell>
        </row>
        <row r="11">
          <cell r="A11" t="str">
            <v>Antiretroviral treatment (ARV) and monitoring</v>
          </cell>
          <cell r="D11" t="str">
            <v xml:space="preserve">% of female and male sex workers reporting the use of a condom with their most recent client </v>
          </cell>
        </row>
        <row r="12">
          <cell r="A12" t="str">
            <v>Prophylaxis and treatment for opportunistic infections</v>
          </cell>
          <cell r="D12" t="str">
            <v xml:space="preserve">% of men aged 15-49 reporting sex with a sex worker in the last 12 months who used a condom during last paid intercourse </v>
          </cell>
        </row>
        <row r="13">
          <cell r="A13" t="str">
            <v>Care and support for the chronically ill</v>
          </cell>
          <cell r="D13" t="str">
            <v xml:space="preserve">% of men reporting the use of condom the last time they had anal sex with a male partner </v>
          </cell>
        </row>
        <row r="14">
          <cell r="A14" t="str">
            <v>Support for orphans and vulnerable children</v>
          </cell>
        </row>
        <row r="15">
          <cell r="A15" t="str">
            <v>TB/HIV</v>
          </cell>
        </row>
        <row r="16">
          <cell r="A16" t="str">
            <v>Policy development including workplace policy</v>
          </cell>
        </row>
        <row r="17">
          <cell r="A17" t="str">
            <v xml:space="preserve">Strengthening of civil society and institutional capacity building </v>
          </cell>
        </row>
        <row r="18">
          <cell r="A18" t="str">
            <v>Stigma reduction in all settings</v>
          </cell>
        </row>
        <row r="19">
          <cell r="A19" t="str">
            <v>HSS: Service delivery</v>
          </cell>
        </row>
        <row r="20">
          <cell r="A20" t="str">
            <v>HSS: Health Workforce</v>
          </cell>
        </row>
        <row r="21">
          <cell r="A21" t="str">
            <v>HSS: Medical Products, vaccines and technology</v>
          </cell>
        </row>
        <row r="22">
          <cell r="A22" t="str">
            <v>HSS: Financing</v>
          </cell>
        </row>
        <row r="23">
          <cell r="A23" t="str">
            <v>HSS: Leadership and Governance</v>
          </cell>
        </row>
        <row r="24">
          <cell r="A24" t="str">
            <v xml:space="preserve">HSS: Information system </v>
          </cell>
        </row>
      </sheetData>
      <sheetData sheetId="3">
        <row r="2">
          <cell r="A2" t="str">
            <v>please select…</v>
          </cell>
          <cell r="B2" t="str">
            <v>please select…</v>
          </cell>
          <cell r="D2" t="str">
            <v>please select…</v>
          </cell>
          <cell r="E2" t="str">
            <v>please select…</v>
          </cell>
        </row>
        <row r="3">
          <cell r="A3" t="str">
            <v>High Quality DOTS</v>
          </cell>
          <cell r="B3" t="str">
            <v>TB prevalence rate</v>
          </cell>
          <cell r="D3" t="str">
            <v>Case detection rate: new smear positive TB cases</v>
          </cell>
          <cell r="E3" t="str">
            <v>R&amp;R TB system, quarterly reports</v>
          </cell>
        </row>
        <row r="4">
          <cell r="A4" t="str">
            <v>Improving diagnosis</v>
          </cell>
          <cell r="B4" t="str">
            <v>TB incidence rate</v>
          </cell>
          <cell r="D4" t="str">
            <v>Treatment success rate: new smear positive TB cases</v>
          </cell>
          <cell r="E4" t="str">
            <v xml:space="preserve">R&amp;R TB system, yearly management report </v>
          </cell>
        </row>
        <row r="5">
          <cell r="A5" t="str">
            <v xml:space="preserve">Patient support </v>
          </cell>
          <cell r="B5" t="str">
            <v>TB mortality rate</v>
          </cell>
          <cell r="E5" t="str">
            <v>TB prevalence survey</v>
          </cell>
        </row>
        <row r="6">
          <cell r="A6" t="str">
            <v xml:space="preserve">Procurement and supply management (First line drugs) </v>
          </cell>
          <cell r="E6" t="str">
            <v>TB patient register</v>
          </cell>
        </row>
        <row r="7">
          <cell r="A7" t="str">
            <v>M&amp;E</v>
          </cell>
          <cell r="E7" t="str">
            <v>TB laboratory register</v>
          </cell>
        </row>
        <row r="8">
          <cell r="A8" t="str">
            <v>TB/HIV</v>
          </cell>
          <cell r="E8" t="str">
            <v>TB treatment card</v>
          </cell>
        </row>
        <row r="9">
          <cell r="A9" t="str">
            <v>MDR-TB</v>
          </cell>
          <cell r="E9" t="str">
            <v>Training records</v>
          </cell>
        </row>
        <row r="10">
          <cell r="A10" t="str">
            <v xml:space="preserve">High-risk groups </v>
          </cell>
          <cell r="E10" t="str">
            <v>Specify- Reports, Surveys, Questionnaires etc.</v>
          </cell>
        </row>
        <row r="11">
          <cell r="A11" t="str">
            <v>PAL (Practical Approach to Lung Health)</v>
          </cell>
          <cell r="E11" t="str">
            <v>Health Provider survey</v>
          </cell>
        </row>
        <row r="12">
          <cell r="A12" t="str">
            <v>All care providers (PPM / ISTC - Public-Public, Public-Private Mix (PPM) approaches and International standards for TB care)</v>
          </cell>
          <cell r="E12" t="str">
            <v>Health Facility survey</v>
          </cell>
        </row>
        <row r="13">
          <cell r="A13" t="str">
            <v xml:space="preserve">ACSM (Advocacy, communication and social mobilization) </v>
          </cell>
          <cell r="E13" t="str">
            <v>National Health Account</v>
          </cell>
        </row>
        <row r="14">
          <cell r="A14" t="str">
            <v xml:space="preserve">Community TB care </v>
          </cell>
          <cell r="E14" t="str">
            <v>Households survey</v>
          </cell>
        </row>
        <row r="15">
          <cell r="A15" t="str">
            <v>Operational Research</v>
          </cell>
          <cell r="E15" t="str">
            <v>SAMS (Service Availability Mapping Survey)</v>
          </cell>
        </row>
        <row r="16">
          <cell r="A16" t="str">
            <v>HSS: Service delivery</v>
          </cell>
          <cell r="E16" t="str">
            <v>Administrative records</v>
          </cell>
        </row>
        <row r="17">
          <cell r="A17" t="str">
            <v>HSS:  Health Workforce</v>
          </cell>
        </row>
        <row r="18">
          <cell r="A18" t="str">
            <v>HSS:  Medical Products, Vaccines and Technology</v>
          </cell>
        </row>
        <row r="19">
          <cell r="A19" t="str">
            <v>HSS:  Financing</v>
          </cell>
        </row>
        <row r="20">
          <cell r="A20" t="str">
            <v>HSS:  Information System</v>
          </cell>
        </row>
        <row r="21">
          <cell r="A21" t="str">
            <v>HSS:  Leadership and Goverance</v>
          </cell>
        </row>
      </sheetData>
      <sheetData sheetId="4">
        <row r="2">
          <cell r="A2" t="str">
            <v>please select…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erformance Framework 3&amp;4"/>
      <sheetName val="HIV"/>
      <sheetName val="TB"/>
      <sheetName val="Malaria"/>
      <sheetName val="Definitions"/>
    </sheetNames>
    <sheetDataSet>
      <sheetData sheetId="0" refreshError="1"/>
      <sheetData sheetId="1" refreshError="1"/>
      <sheetData sheetId="2">
        <row r="2">
          <cell r="A2" t="str">
            <v>Please select…</v>
          </cell>
        </row>
        <row r="4">
          <cell r="F4" t="str">
            <v>Please enter a data source here…</v>
          </cell>
        </row>
      </sheetData>
      <sheetData sheetId="3">
        <row r="2">
          <cell r="A2" t="str">
            <v>please select…</v>
          </cell>
        </row>
      </sheetData>
      <sheetData sheetId="4">
        <row r="2">
          <cell r="A2" t="str">
            <v>please select…</v>
          </cell>
        </row>
      </sheetData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и "/>
      <sheetName val="Система эф. работы"/>
      <sheetName val="HIV"/>
      <sheetName val="TB"/>
      <sheetName val="Malaria"/>
      <sheetName val="HSS"/>
      <sheetName val="Epid data"/>
      <sheetName val="Definitions"/>
      <sheetName val="Range Page"/>
      <sheetName val="CAR Detailed"/>
      <sheetName val="Country Budget x 6"/>
    </sheetNames>
    <sheetDataSet>
      <sheetData sheetId="0"/>
      <sheetData sheetId="1"/>
      <sheetData sheetId="2">
        <row r="2">
          <cell r="A2" t="str">
            <v>Выберите….</v>
          </cell>
        </row>
      </sheetData>
      <sheetData sheetId="3">
        <row r="2">
          <cell r="A2" t="str">
            <v>Выберите…</v>
          </cell>
        </row>
      </sheetData>
      <sheetData sheetId="4">
        <row r="2">
          <cell r="A2" t="str">
            <v>Выберите...</v>
          </cell>
        </row>
      </sheetData>
      <sheetData sheetId="5">
        <row r="3">
          <cell r="A3" t="str">
            <v>Выберите…</v>
          </cell>
        </row>
        <row r="4">
          <cell r="A4" t="str">
            <v>УСЗ (Укрепление систем здравоохранения): Оказание услуг</v>
          </cell>
        </row>
        <row r="5">
          <cell r="A5" t="str">
            <v>УСЗ: Кадровые ресурсы</v>
          </cell>
        </row>
        <row r="6">
          <cell r="A6" t="str">
            <v>УСЗ: Продукты медицинского назначения, вакцины и технология</v>
          </cell>
        </row>
        <row r="7">
          <cell r="A7" t="str">
            <v>УСЗ: Финансирование</v>
          </cell>
        </row>
        <row r="8">
          <cell r="A8" t="str">
            <v>УСЗ: Управление и руководство</v>
          </cell>
        </row>
        <row r="9">
          <cell r="A9" t="str">
            <v>УСЗ: Информационные системы</v>
          </cell>
        </row>
        <row r="10">
          <cell r="A10" t="str">
            <v xml:space="preserve">УСС (Укрепление систем сообществ): Мониторинг и документация общинных и правительственных программ </v>
          </cell>
        </row>
        <row r="11">
          <cell r="A11" t="str">
            <v xml:space="preserve">УСС: Информационно-разъяснительная деятельность, коммуникация и социальная мобилизация </v>
          </cell>
        </row>
        <row r="12">
          <cell r="A12" t="str">
            <v xml:space="preserve">УСС: Создание сетей на уровне сообществ, сотрудничество и координация </v>
          </cell>
        </row>
        <row r="13">
          <cell r="A13" t="str">
            <v>УСС: Людские ресурсы: укрепление навыков в сфере предоставления услуг, информационно-разъяснительной деятельности и лидерских навыков</v>
          </cell>
        </row>
        <row r="14">
          <cell r="A14" t="str">
            <v>УСС: Финансовые ресурсы</v>
          </cell>
        </row>
        <row r="15">
          <cell r="A15" t="str">
            <v>УСС: Материально-технические ресурсы – инфраструктура и основные продукты (включая продукты медицинского назначения и другие продукты и технологии</v>
          </cell>
        </row>
        <row r="16">
          <cell r="A16" t="str">
            <v>УСС: Виды деятельности и услуги на базе сообществ – предоставление, использование и качество услуг</v>
          </cell>
        </row>
        <row r="17">
          <cell r="A17" t="str">
            <v xml:space="preserve">УСС: Управление, ответственность и лидерство </v>
          </cell>
        </row>
        <row r="18">
          <cell r="A18" t="str">
            <v xml:space="preserve">УСС: Мониторинг и оценка, создание достоверных баз данных </v>
          </cell>
        </row>
        <row r="19">
          <cell r="A19" t="str">
            <v xml:space="preserve">УСС: Стратегическое планирование 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B PF v04 21 May 2010"/>
      <sheetName val="SDAs_impact_datasources"/>
    </sheetNames>
    <sheetDataSet>
      <sheetData sheetId="0"/>
      <sheetData sheetId="1"/>
      <sheetData sheetId="2">
        <row r="2">
          <cell r="D2" t="str">
            <v>impact</v>
          </cell>
          <cell r="E2" t="str">
            <v>R&amp;R TB system, quarterly reports</v>
          </cell>
        </row>
        <row r="3">
          <cell r="D3" t="str">
            <v>outcome</v>
          </cell>
          <cell r="E3" t="str">
            <v xml:space="preserve">R&amp;R TB system, yearly management report </v>
          </cell>
        </row>
        <row r="4">
          <cell r="E4" t="str">
            <v>TB prevalence survey</v>
          </cell>
        </row>
        <row r="5">
          <cell r="E5" t="str">
            <v>TB patient register</v>
          </cell>
        </row>
        <row r="6">
          <cell r="E6" t="str">
            <v>TB laboratory register</v>
          </cell>
        </row>
        <row r="7">
          <cell r="E7" t="str">
            <v>TB treatment card</v>
          </cell>
        </row>
        <row r="8">
          <cell r="E8" t="str">
            <v>Training records</v>
          </cell>
        </row>
        <row r="9">
          <cell r="E9" t="str">
            <v>Specify- Reports, Surveys, Questionnaires etc.</v>
          </cell>
        </row>
        <row r="10">
          <cell r="E10" t="str">
            <v>Health Provider survey</v>
          </cell>
        </row>
        <row r="11">
          <cell r="E11" t="str">
            <v>Health Facility survey</v>
          </cell>
        </row>
        <row r="12">
          <cell r="E12" t="str">
            <v>National Health Account</v>
          </cell>
        </row>
        <row r="13">
          <cell r="E13" t="str">
            <v>Households survey</v>
          </cell>
        </row>
        <row r="14">
          <cell r="E14" t="str">
            <v>SAMS (Service Availability Mapping Survey)</v>
          </cell>
        </row>
        <row r="15">
          <cell r="E15" t="str">
            <v>Administrative records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B PF v04 21 May 2010"/>
      <sheetName val="SDAs_impact_datasources"/>
    </sheetNames>
    <sheetDataSet>
      <sheetData sheetId="0"/>
      <sheetData sheetId="1"/>
      <sheetData sheetId="2">
        <row r="2">
          <cell r="D2" t="str">
            <v>impact</v>
          </cell>
          <cell r="E2" t="str">
            <v>R&amp;R TB system, quarterly reports</v>
          </cell>
        </row>
        <row r="3">
          <cell r="D3" t="str">
            <v>outcome</v>
          </cell>
          <cell r="E3" t="str">
            <v xml:space="preserve">R&amp;R TB system, yearly management report </v>
          </cell>
        </row>
        <row r="4">
          <cell r="E4" t="str">
            <v>TB prevalence survey</v>
          </cell>
        </row>
        <row r="5">
          <cell r="E5" t="str">
            <v>TB patient register</v>
          </cell>
        </row>
        <row r="6">
          <cell r="E6" t="str">
            <v>TB laboratory register</v>
          </cell>
        </row>
        <row r="7">
          <cell r="E7" t="str">
            <v>TB treatment card</v>
          </cell>
        </row>
        <row r="8">
          <cell r="E8" t="str">
            <v>Training records</v>
          </cell>
        </row>
        <row r="9">
          <cell r="E9" t="str">
            <v>Specify- Reports, Surveys, Questionnaires etc.</v>
          </cell>
        </row>
        <row r="10">
          <cell r="E10" t="str">
            <v>Health Provider survey</v>
          </cell>
        </row>
        <row r="11">
          <cell r="E11" t="str">
            <v>Health Facility survey</v>
          </cell>
        </row>
        <row r="12">
          <cell r="E12" t="str">
            <v>National Health Account</v>
          </cell>
        </row>
        <row r="13">
          <cell r="E13" t="str">
            <v>Households survey</v>
          </cell>
        </row>
        <row r="14">
          <cell r="E14" t="str">
            <v>SAMS (Service Availability Mapping Survey)</v>
          </cell>
        </row>
        <row r="15">
          <cell r="E15" t="str">
            <v>Administrative records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erformance Framework 1&amp;2"/>
      <sheetName val="HIV"/>
      <sheetName val="TB"/>
      <sheetName val="Malaria"/>
      <sheetName val="HSS"/>
    </sheetNames>
    <sheetDataSet>
      <sheetData sheetId="0"/>
      <sheetData sheetId="1"/>
      <sheetData sheetId="2">
        <row r="4">
          <cell r="F4" t="str">
            <v>Please enter a data source here…</v>
          </cell>
        </row>
      </sheetData>
      <sheetData sheetId="3">
        <row r="47">
          <cell r="A47" t="str">
            <v>Please select…</v>
          </cell>
        </row>
        <row r="48">
          <cell r="A48" t="str">
            <v>R&amp;R TB system, quarterly reports</v>
          </cell>
        </row>
        <row r="49">
          <cell r="A49" t="str">
            <v xml:space="preserve">R&amp;R TB system, yearly management report </v>
          </cell>
        </row>
        <row r="50">
          <cell r="A50" t="str">
            <v>TB prevalence survey</v>
          </cell>
        </row>
        <row r="51">
          <cell r="A51" t="str">
            <v>TB patient register</v>
          </cell>
        </row>
        <row r="52">
          <cell r="A52" t="str">
            <v>TB laboratory register</v>
          </cell>
        </row>
        <row r="53">
          <cell r="A53" t="str">
            <v>TB treatment card</v>
          </cell>
        </row>
        <row r="54">
          <cell r="A54" t="str">
            <v>Training records</v>
          </cell>
        </row>
        <row r="55">
          <cell r="A55" t="str">
            <v>Specify- Reports, Surveys, Questionnaires etc.</v>
          </cell>
        </row>
        <row r="56">
          <cell r="A56" t="str">
            <v>Health Provider survey</v>
          </cell>
        </row>
        <row r="57">
          <cell r="A57" t="str">
            <v>Health Facility survey</v>
          </cell>
        </row>
        <row r="58">
          <cell r="A58" t="str">
            <v>National Health Account</v>
          </cell>
        </row>
        <row r="59">
          <cell r="A59" t="str">
            <v>Households survey</v>
          </cell>
        </row>
        <row r="60">
          <cell r="A60" t="str">
            <v>SAMS (Service Availability Mapping Survey)</v>
          </cell>
        </row>
        <row r="61">
          <cell r="A61" t="str">
            <v>Administrative records</v>
          </cell>
        </row>
      </sheetData>
      <sheetData sheetId="4">
        <row r="55">
          <cell r="A55" t="str">
            <v>Please select…</v>
          </cell>
        </row>
      </sheetData>
      <sheetData sheetId="5">
        <row r="66">
          <cell r="A66" t="str">
            <v>Please select…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erformance Framework 1&amp;2"/>
      <sheetName val="HIV"/>
      <sheetName val="TB"/>
      <sheetName val="Malaria"/>
      <sheetName val="HSS"/>
    </sheetNames>
    <sheetDataSet>
      <sheetData sheetId="0" refreshError="1"/>
      <sheetData sheetId="1" refreshError="1"/>
      <sheetData sheetId="2">
        <row r="4">
          <cell r="F4" t="str">
            <v>Please enter a data source here…</v>
          </cell>
        </row>
        <row r="58">
          <cell r="A58" t="str">
            <v>Please select…</v>
          </cell>
        </row>
        <row r="59">
          <cell r="A59" t="str">
            <v>HMIS</v>
          </cell>
        </row>
        <row r="60">
          <cell r="A60" t="str">
            <v>Patient records</v>
          </cell>
        </row>
        <row r="61">
          <cell r="A61" t="str">
            <v>Training records</v>
          </cell>
        </row>
        <row r="62">
          <cell r="A62" t="str">
            <v>MICS (Multiple Indicator Cluster Survey)</v>
          </cell>
        </row>
        <row r="63">
          <cell r="A63" t="str">
            <v>DHS/DHS+ (Demographic and Health
Survey)</v>
          </cell>
        </row>
        <row r="64">
          <cell r="A64" t="str">
            <v>AIS (AIDS Indicator Survey)</v>
          </cell>
        </row>
        <row r="65">
          <cell r="A65" t="str">
            <v>BSS (Behavioral Surveillance Survey)</v>
          </cell>
        </row>
        <row r="66">
          <cell r="A66" t="str">
            <v>Health Facility survey</v>
          </cell>
        </row>
        <row r="67">
          <cell r="A67" t="str">
            <v>SAMS (Service Availability Mapping
Survey)</v>
          </cell>
        </row>
        <row r="68">
          <cell r="A68" t="str">
            <v>Households survey</v>
          </cell>
        </row>
        <row r="69">
          <cell r="A69" t="str">
            <v>Specific surveys and research (specify)</v>
          </cell>
        </row>
        <row r="70">
          <cell r="A70" t="str">
            <v>Reports (specify)</v>
          </cell>
        </row>
        <row r="71">
          <cell r="A71" t="str">
            <v>Vital and disease-specific registry</v>
          </cell>
        </row>
        <row r="72">
          <cell r="A72" t="str">
            <v>Operational Research</v>
          </cell>
        </row>
        <row r="73">
          <cell r="A73" t="str">
            <v>Health Provider survey</v>
          </cell>
        </row>
        <row r="74">
          <cell r="A74" t="str">
            <v>National Health Account</v>
          </cell>
        </row>
        <row r="75">
          <cell r="A75" t="str">
            <v>Administrative records</v>
          </cell>
        </row>
      </sheetData>
      <sheetData sheetId="3">
        <row r="47">
          <cell r="A47" t="str">
            <v>Please select…</v>
          </cell>
        </row>
      </sheetData>
      <sheetData sheetId="4">
        <row r="55">
          <cell r="A55" t="str">
            <v>Please select…</v>
          </cell>
        </row>
        <row r="56">
          <cell r="A56" t="str">
            <v>DHS/DHS+ (Demographic and Health Survey)</v>
          </cell>
        </row>
        <row r="57">
          <cell r="A57" t="str">
            <v>MIS (Malaria Indicator Survey)</v>
          </cell>
        </row>
        <row r="58">
          <cell r="A58" t="str">
            <v>MICS (Multiple Indicator Cluster Survey)</v>
          </cell>
        </row>
        <row r="59">
          <cell r="A59" t="str">
            <v>Situation Analysis</v>
          </cell>
        </row>
        <row r="60">
          <cell r="A60" t="str">
            <v>HMIS</v>
          </cell>
        </row>
        <row r="61">
          <cell r="A61" t="str">
            <v>Health Facility survey</v>
          </cell>
        </row>
        <row r="62">
          <cell r="A62" t="str">
            <v>Health Provider survey</v>
          </cell>
        </row>
        <row r="63">
          <cell r="A63" t="str">
            <v>Key informant survey</v>
          </cell>
        </row>
        <row r="64">
          <cell r="A64" t="str">
            <v>Households survey</v>
          </cell>
        </row>
        <row r="65">
          <cell r="A65" t="str">
            <v>Vital registration systems</v>
          </cell>
        </row>
        <row r="66">
          <cell r="A66" t="str">
            <v>Training records</v>
          </cell>
        </row>
        <row r="67">
          <cell r="A67" t="str">
            <v>Patients records</v>
          </cell>
        </row>
        <row r="68">
          <cell r="A68" t="str">
            <v>Surveillance systems</v>
          </cell>
        </row>
        <row r="69">
          <cell r="A69" t="str">
            <v>Other report, specify</v>
          </cell>
        </row>
        <row r="70">
          <cell r="A70" t="str">
            <v>National Health Account</v>
          </cell>
        </row>
        <row r="71">
          <cell r="A71" t="str">
            <v>SAMS (Service Availability Mapping Survey)</v>
          </cell>
        </row>
        <row r="72">
          <cell r="A72" t="str">
            <v>Other survey, specify</v>
          </cell>
        </row>
        <row r="73">
          <cell r="A73" t="str">
            <v>Administrative records</v>
          </cell>
        </row>
      </sheetData>
      <sheetData sheetId="5">
        <row r="66">
          <cell r="A66" t="str">
            <v>Please select…</v>
          </cell>
        </row>
        <row r="67">
          <cell r="A67" t="str">
            <v>HMIS</v>
          </cell>
        </row>
        <row r="68">
          <cell r="A68" t="str">
            <v>Patient records</v>
          </cell>
        </row>
        <row r="69">
          <cell r="A69" t="str">
            <v>Training records</v>
          </cell>
        </row>
        <row r="70">
          <cell r="A70" t="str">
            <v>MICS (Multiple Indicator Cluster Survey)</v>
          </cell>
        </row>
        <row r="71">
          <cell r="A71" t="str">
            <v>DHS/DHS+ (Demographic and Health Survey)</v>
          </cell>
        </row>
        <row r="72">
          <cell r="A72" t="str">
            <v>AIS (AIDS Indicator Survey)</v>
          </cell>
        </row>
        <row r="73">
          <cell r="A73" t="str">
            <v>BSS (Behavioral Surveillance Survey)</v>
          </cell>
        </row>
        <row r="74">
          <cell r="A74" t="str">
            <v>Health Facility survey</v>
          </cell>
        </row>
        <row r="75">
          <cell r="A75" t="str">
            <v>SAMS (Service Availability Mapping Survey)</v>
          </cell>
        </row>
        <row r="76">
          <cell r="A76" t="str">
            <v>Households survey</v>
          </cell>
        </row>
        <row r="77">
          <cell r="A77" t="str">
            <v>Specific surveys and research (specify)</v>
          </cell>
        </row>
        <row r="78">
          <cell r="A78" t="str">
            <v>Reports (specify)</v>
          </cell>
        </row>
        <row r="79">
          <cell r="A79" t="str">
            <v>Vital and disease-specific registry</v>
          </cell>
        </row>
        <row r="80">
          <cell r="A80" t="str">
            <v>Operational Research</v>
          </cell>
        </row>
        <row r="81">
          <cell r="A81" t="str">
            <v>Health Provider survey</v>
          </cell>
        </row>
        <row r="82">
          <cell r="A82" t="str">
            <v>National Health Account</v>
          </cell>
        </row>
        <row r="83">
          <cell r="A83" t="str">
            <v>Administrative records</v>
          </cell>
        </row>
        <row r="84">
          <cell r="A84" t="str">
            <v>R&amp;R TB system, quarterly reports</v>
          </cell>
        </row>
        <row r="85">
          <cell r="A85" t="str">
            <v xml:space="preserve">R&amp;R TB system, yearly management report </v>
          </cell>
        </row>
        <row r="86">
          <cell r="A86" t="str">
            <v>TB prevalence survey</v>
          </cell>
        </row>
        <row r="87">
          <cell r="A87" t="str">
            <v>TB patient register</v>
          </cell>
        </row>
        <row r="88">
          <cell r="A88" t="str">
            <v>TB laboratory register</v>
          </cell>
        </row>
        <row r="89">
          <cell r="A89" t="str">
            <v>TB treatment card</v>
          </cell>
        </row>
        <row r="90">
          <cell r="A90" t="str">
            <v>MIS (Malaria Indicator Survey)</v>
          </cell>
        </row>
        <row r="91">
          <cell r="A91" t="str">
            <v>Situation Analysis</v>
          </cell>
        </row>
        <row r="92">
          <cell r="A92" t="str">
            <v>Key informant survey</v>
          </cell>
        </row>
        <row r="93">
          <cell r="A93" t="str">
            <v>Patients records</v>
          </cell>
        </row>
        <row r="94">
          <cell r="A94" t="str">
            <v>Surveillance systems</v>
          </cell>
        </row>
        <row r="95">
          <cell r="A95" t="str">
            <v>Specify- Reports, Surveys, Questionnaires etc.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B PF v04 21 May 2010"/>
      <sheetName val="SDAs_impact_datasources"/>
    </sheetNames>
    <sheetDataSet>
      <sheetData sheetId="0"/>
      <sheetData sheetId="1"/>
      <sheetData sheetId="2">
        <row r="2">
          <cell r="D2" t="str">
            <v>impact</v>
          </cell>
          <cell r="E2" t="str">
            <v>R&amp;R TB system, quarterly reports</v>
          </cell>
        </row>
        <row r="3">
          <cell r="D3" t="str">
            <v>outcome</v>
          </cell>
          <cell r="E3" t="str">
            <v xml:space="preserve">R&amp;R TB system, yearly management report </v>
          </cell>
        </row>
        <row r="4">
          <cell r="E4" t="str">
            <v>TB prevalence survey</v>
          </cell>
        </row>
        <row r="5">
          <cell r="E5" t="str">
            <v>TB patient register</v>
          </cell>
        </row>
        <row r="6">
          <cell r="E6" t="str">
            <v>TB laboratory register</v>
          </cell>
        </row>
        <row r="7">
          <cell r="E7" t="str">
            <v>TB treatment card</v>
          </cell>
        </row>
        <row r="8">
          <cell r="E8" t="str">
            <v>Training records</v>
          </cell>
        </row>
        <row r="9">
          <cell r="E9" t="str">
            <v>Specify- Reports, Surveys, Questionnaires etc.</v>
          </cell>
        </row>
        <row r="10">
          <cell r="E10" t="str">
            <v>Health Provider survey</v>
          </cell>
        </row>
        <row r="11">
          <cell r="E11" t="str">
            <v>Health Facility survey</v>
          </cell>
        </row>
        <row r="12">
          <cell r="E12" t="str">
            <v>National Health Account</v>
          </cell>
        </row>
        <row r="13">
          <cell r="E13" t="str">
            <v>Households survey</v>
          </cell>
        </row>
        <row r="14">
          <cell r="E14" t="str">
            <v>SAMS (Service Availability Mapping Survey)</v>
          </cell>
        </row>
        <row r="15">
          <cell r="E15" t="str">
            <v>Administrative records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 GF"/>
      <sheetName val="Definitions"/>
      <sheetName val="SDAs_impact_datasources"/>
      <sheetName val="HSS"/>
      <sheetName val="HIV"/>
      <sheetName val="TB"/>
    </sheetNames>
    <sheetDataSet>
      <sheetData sheetId="0"/>
      <sheetData sheetId="1">
        <row r="31">
          <cell r="B31" t="str">
            <v>Please Select…</v>
          </cell>
        </row>
        <row r="32">
          <cell r="B32" t="str">
            <v>FBO</v>
          </cell>
        </row>
        <row r="33">
          <cell r="B33" t="str">
            <v>NGO/CBO/Academic</v>
          </cell>
        </row>
        <row r="34">
          <cell r="B34" t="str">
            <v>Private Sector</v>
          </cell>
        </row>
        <row r="35">
          <cell r="B35" t="str">
            <v>Ministry of Health (MoH)</v>
          </cell>
        </row>
        <row r="36">
          <cell r="B36" t="str">
            <v>Other Government</v>
          </cell>
        </row>
        <row r="37">
          <cell r="B37" t="str">
            <v>UNDP</v>
          </cell>
        </row>
        <row r="38">
          <cell r="B38" t="str">
            <v>Other Multilateral Organisation</v>
          </cell>
        </row>
        <row r="127">
          <cell r="B127" t="str">
            <v>Please Select…</v>
          </cell>
        </row>
        <row r="128">
          <cell r="B128" t="str">
            <v>HIV:Prevention</v>
          </cell>
        </row>
        <row r="129">
          <cell r="B129" t="str">
            <v>HIV:Treatment</v>
          </cell>
        </row>
        <row r="130">
          <cell r="B130" t="str">
            <v>HIV:Care and Support</v>
          </cell>
        </row>
        <row r="131">
          <cell r="B131" t="str">
            <v>HIV:TB/HIV Collaborative Activities</v>
          </cell>
        </row>
        <row r="132">
          <cell r="B132" t="str">
            <v>HIV:Supportive Environment</v>
          </cell>
        </row>
        <row r="133">
          <cell r="B133" t="str">
            <v>HIV:Health Systems Strengthening (HSS)</v>
          </cell>
        </row>
        <row r="134">
          <cell r="B134" t="str">
            <v>HIV_TB: TB Detection</v>
          </cell>
        </row>
        <row r="135">
          <cell r="B135" t="str">
            <v>HIV_TB: TB Treatment</v>
          </cell>
        </row>
        <row r="136">
          <cell r="B136" t="str">
            <v>HIV_TB: Collaborative Activities</v>
          </cell>
        </row>
        <row r="137">
          <cell r="B137" t="str">
            <v>HIV_TB: Supportive Environment</v>
          </cell>
        </row>
        <row r="138">
          <cell r="B138" t="str">
            <v>HIV_TB: Health Systems Strengthening (HSS)</v>
          </cell>
        </row>
        <row r="139">
          <cell r="B139" t="str">
            <v>Mal: Prevention</v>
          </cell>
        </row>
        <row r="140">
          <cell r="B140" t="str">
            <v>Mal: Treatment</v>
          </cell>
        </row>
        <row r="141">
          <cell r="B141" t="str">
            <v>Mal: Supportive Environment</v>
          </cell>
        </row>
        <row r="142">
          <cell r="B142" t="str">
            <v>Mal: Health Systems Strengthening (HSS)</v>
          </cell>
        </row>
        <row r="143">
          <cell r="B143" t="str">
            <v>TB Detection</v>
          </cell>
        </row>
        <row r="144">
          <cell r="B144" t="str">
            <v>TB Treatment</v>
          </cell>
        </row>
        <row r="145">
          <cell r="B145" t="str">
            <v>TB/HIV Collaborative Activities</v>
          </cell>
        </row>
        <row r="146">
          <cell r="B146" t="str">
            <v>TB: Supportive Environment</v>
          </cell>
        </row>
        <row r="147">
          <cell r="B147" t="str">
            <v>TB: Health Systems Strengthening (HSS)</v>
          </cell>
        </row>
        <row r="148">
          <cell r="B148" t="str">
            <v>HSS: Health Systems Strengthening (HSS)</v>
          </cell>
        </row>
        <row r="149">
          <cell r="B149" t="str">
            <v>HSS: Supportive Environment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Version History"/>
      <sheetName val="Setup"/>
      <sheetName val="Data Sheet"/>
      <sheetName val="Detailed Budget"/>
      <sheetName val="Budget Summary"/>
      <sheetName val="Budget Summary En"/>
      <sheetName val="Summary by Intervention"/>
      <sheetName val="Summary by Cost Input"/>
      <sheetName val="Additional Summary"/>
      <sheetName val="ICR Rate"/>
      <sheetName val="Admin Sheet"/>
      <sheetName val="Admin Sheet_Pop"/>
      <sheetName val="Recipient sheet"/>
      <sheetName val="Currencies"/>
      <sheetName val="Population"/>
      <sheetName val="Summary ICR"/>
      <sheetName val="Assumptions HR"/>
      <sheetName val="Assumptions TRC"/>
      <sheetName val="Assumptions Other"/>
      <sheetName val="Free sheet-enter what you need"/>
      <sheetName val="Free pivot table"/>
      <sheetName val="Investment Landscape Overview"/>
      <sheetName val="Action Plan – Key Activities"/>
      <sheetName val="Financial Triggers - Budget"/>
      <sheetName val="Translations"/>
      <sheetName val="Action Plan - Pivot"/>
      <sheetName val="Action Plan - Reference Data"/>
      <sheetName val="0. Refresh Pivot Tables"/>
      <sheetName val="Action Plan - Pivot Analytic"/>
      <sheetName val="2. Budget Granularity"/>
      <sheetName val="Dataset - Costing Dimensions"/>
      <sheetName val="apttusmetadata"/>
      <sheetName val="Copy of KGZ-C-UNDP 2021-2023 gr"/>
    </sheetNames>
    <sheetDataSet>
      <sheetData sheetId="0" refreshError="1"/>
      <sheetData sheetId="1" refreshError="1"/>
      <sheetData sheetId="2" refreshError="1"/>
      <sheetData sheetId="3" refreshError="1">
        <row r="39">
          <cell r="C39" t="str">
            <v>[Module (Name)]</v>
          </cell>
        </row>
        <row r="40">
          <cell r="C40" t="str">
            <v>MCI-00648</v>
          </cell>
        </row>
        <row r="41">
          <cell r="C41" t="str">
            <v>MCI-00648</v>
          </cell>
        </row>
        <row r="42">
          <cell r="C42" t="str">
            <v>MCI-00648</v>
          </cell>
        </row>
        <row r="43">
          <cell r="C43" t="str">
            <v>MCI-00648</v>
          </cell>
        </row>
        <row r="44">
          <cell r="C44" t="str">
            <v>MCI-00648</v>
          </cell>
        </row>
        <row r="45">
          <cell r="C45" t="str">
            <v>MCI-00648</v>
          </cell>
        </row>
        <row r="46">
          <cell r="C46" t="str">
            <v>MCI-00648</v>
          </cell>
        </row>
        <row r="47">
          <cell r="C47" t="str">
            <v>MCI-00648</v>
          </cell>
        </row>
        <row r="48">
          <cell r="C48" t="str">
            <v>MCI-00648</v>
          </cell>
        </row>
        <row r="49">
          <cell r="C49" t="str">
            <v>MCI-00648</v>
          </cell>
        </row>
        <row r="50">
          <cell r="C50" t="str">
            <v>MCI-00648</v>
          </cell>
        </row>
        <row r="51">
          <cell r="C51" t="str">
            <v>MCI-00648</v>
          </cell>
        </row>
        <row r="52">
          <cell r="C52" t="str">
            <v>MCI-00648</v>
          </cell>
        </row>
        <row r="53">
          <cell r="C53" t="str">
            <v>MCI-00648</v>
          </cell>
        </row>
        <row r="54">
          <cell r="C54" t="str">
            <v>MCI-00648</v>
          </cell>
        </row>
        <row r="55">
          <cell r="C55" t="str">
            <v>MCI-00648</v>
          </cell>
        </row>
        <row r="56">
          <cell r="C56" t="str">
            <v>MCI-00648</v>
          </cell>
        </row>
        <row r="57">
          <cell r="C57" t="str">
            <v>MCI-00648</v>
          </cell>
        </row>
        <row r="58">
          <cell r="C58" t="str">
            <v>MCI-00648</v>
          </cell>
        </row>
        <row r="59">
          <cell r="C59" t="str">
            <v>MCI-00649</v>
          </cell>
        </row>
        <row r="60">
          <cell r="C60" t="str">
            <v>MCI-00649</v>
          </cell>
        </row>
        <row r="61">
          <cell r="C61" t="str">
            <v>MCI-00649</v>
          </cell>
        </row>
        <row r="62">
          <cell r="C62" t="str">
            <v>MCI-00649</v>
          </cell>
        </row>
        <row r="63">
          <cell r="C63" t="str">
            <v>MCI-00650</v>
          </cell>
        </row>
        <row r="64">
          <cell r="C64" t="str">
            <v>MCI-00650</v>
          </cell>
        </row>
        <row r="65">
          <cell r="C65" t="str">
            <v>MCI-00650</v>
          </cell>
        </row>
        <row r="66">
          <cell r="C66" t="str">
            <v>MCI-00651</v>
          </cell>
        </row>
        <row r="67">
          <cell r="C67" t="str">
            <v>MCI-00651</v>
          </cell>
        </row>
        <row r="68">
          <cell r="C68" t="str">
            <v>MCI-00651</v>
          </cell>
        </row>
        <row r="69">
          <cell r="C69" t="str">
            <v>MCI-00651</v>
          </cell>
        </row>
        <row r="70">
          <cell r="C70" t="str">
            <v>MCI-00651</v>
          </cell>
        </row>
        <row r="71">
          <cell r="C71" t="str">
            <v>MCI-00651</v>
          </cell>
        </row>
        <row r="72">
          <cell r="C72" t="str">
            <v>MCI-00651</v>
          </cell>
        </row>
        <row r="73">
          <cell r="C73" t="str">
            <v>MCI-00652</v>
          </cell>
        </row>
        <row r="74">
          <cell r="C74" t="str">
            <v>MCI-00652</v>
          </cell>
        </row>
        <row r="75">
          <cell r="C75" t="str">
            <v>MCI-00652</v>
          </cell>
        </row>
        <row r="76">
          <cell r="C76" t="str">
            <v>MCI-00652</v>
          </cell>
        </row>
        <row r="77">
          <cell r="C77" t="str">
            <v>MCI-00652</v>
          </cell>
        </row>
        <row r="78">
          <cell r="C78" t="str">
            <v>MCI-00652</v>
          </cell>
        </row>
        <row r="79">
          <cell r="C79" t="str">
            <v>MCI-00652</v>
          </cell>
        </row>
        <row r="80">
          <cell r="C80" t="str">
            <v>MCI-00652</v>
          </cell>
        </row>
        <row r="81">
          <cell r="C81" t="str">
            <v>MCI-00653</v>
          </cell>
        </row>
        <row r="82">
          <cell r="C82" t="str">
            <v>MCI-00653</v>
          </cell>
        </row>
        <row r="83">
          <cell r="C83" t="str">
            <v>MCI-00653</v>
          </cell>
        </row>
        <row r="84">
          <cell r="C84" t="str">
            <v>MCI-00653</v>
          </cell>
        </row>
        <row r="85">
          <cell r="C85" t="str">
            <v>MCI-00653</v>
          </cell>
        </row>
        <row r="86">
          <cell r="C86" t="str">
            <v>MCI-00653</v>
          </cell>
        </row>
        <row r="87">
          <cell r="C87" t="str">
            <v>MCI-00653</v>
          </cell>
        </row>
        <row r="88">
          <cell r="C88" t="str">
            <v>MCI-00653</v>
          </cell>
        </row>
        <row r="89">
          <cell r="C89" t="str">
            <v>MCI-00653</v>
          </cell>
        </row>
        <row r="90">
          <cell r="C90" t="str">
            <v>MCI-00653</v>
          </cell>
        </row>
        <row r="91">
          <cell r="C91" t="str">
            <v>MCI-00653</v>
          </cell>
        </row>
        <row r="92">
          <cell r="C92" t="str">
            <v>MCI-00654</v>
          </cell>
        </row>
        <row r="93">
          <cell r="C93" t="str">
            <v>MCI-00654</v>
          </cell>
        </row>
        <row r="94">
          <cell r="C94" t="str">
            <v>MCI-00654</v>
          </cell>
        </row>
        <row r="95">
          <cell r="C95" t="str">
            <v>MCI-00654</v>
          </cell>
        </row>
        <row r="96">
          <cell r="C96" t="str">
            <v>MCI-00654</v>
          </cell>
        </row>
        <row r="97">
          <cell r="C97" t="str">
            <v>MCI-00654</v>
          </cell>
        </row>
        <row r="98">
          <cell r="C98" t="str">
            <v>MCI-00654</v>
          </cell>
        </row>
        <row r="99">
          <cell r="C99" t="str">
            <v>MCI-00654</v>
          </cell>
        </row>
        <row r="100">
          <cell r="C100" t="str">
            <v>MCI-00654</v>
          </cell>
        </row>
        <row r="101">
          <cell r="C101" t="str">
            <v>MCI-00654</v>
          </cell>
        </row>
        <row r="102">
          <cell r="C102" t="str">
            <v>MCI-00654</v>
          </cell>
        </row>
        <row r="103">
          <cell r="C103" t="str">
            <v>MCI-00655</v>
          </cell>
        </row>
        <row r="104">
          <cell r="C104" t="str">
            <v>MCI-00655</v>
          </cell>
        </row>
        <row r="105">
          <cell r="C105" t="str">
            <v>MCI-00655</v>
          </cell>
        </row>
        <row r="106">
          <cell r="C106" t="str">
            <v>MCI-00655</v>
          </cell>
        </row>
        <row r="107">
          <cell r="C107" t="str">
            <v>MCI-00655</v>
          </cell>
        </row>
        <row r="108">
          <cell r="C108" t="str">
            <v>MCI-00656</v>
          </cell>
        </row>
        <row r="109">
          <cell r="C109" t="str">
            <v>MCI-00656</v>
          </cell>
        </row>
        <row r="110">
          <cell r="C110" t="str">
            <v>MCI-00656</v>
          </cell>
        </row>
        <row r="111">
          <cell r="C111" t="str">
            <v>MCI-00656</v>
          </cell>
        </row>
        <row r="112">
          <cell r="C112" t="str">
            <v>MCI-00656</v>
          </cell>
        </row>
        <row r="113">
          <cell r="C113" t="str">
            <v>MCI-00656</v>
          </cell>
        </row>
        <row r="114">
          <cell r="C114" t="str">
            <v>MCI-00656</v>
          </cell>
        </row>
        <row r="115">
          <cell r="C115" t="str">
            <v>MCI-00656</v>
          </cell>
        </row>
        <row r="116">
          <cell r="C116" t="str">
            <v>MCI-00656</v>
          </cell>
        </row>
        <row r="117">
          <cell r="C117" t="str">
            <v>MCI-00656</v>
          </cell>
        </row>
        <row r="118">
          <cell r="C118" t="str">
            <v>MCI-00656</v>
          </cell>
        </row>
        <row r="119">
          <cell r="C119" t="str">
            <v>MCI-00656</v>
          </cell>
        </row>
        <row r="120">
          <cell r="C120" t="str">
            <v>MCI-00660</v>
          </cell>
        </row>
        <row r="121">
          <cell r="C121" t="str">
            <v>MCI-00660</v>
          </cell>
        </row>
        <row r="122">
          <cell r="C122" t="str">
            <v>MCI-00661</v>
          </cell>
        </row>
        <row r="123">
          <cell r="C123" t="str">
            <v>MCI-00661</v>
          </cell>
        </row>
        <row r="124">
          <cell r="C124" t="str">
            <v>MCI-00661</v>
          </cell>
        </row>
        <row r="125">
          <cell r="C125" t="str">
            <v>MCI-00661</v>
          </cell>
        </row>
        <row r="126">
          <cell r="C126" t="str">
            <v>MCI-00661</v>
          </cell>
        </row>
        <row r="127">
          <cell r="C127" t="str">
            <v>MCI-00662</v>
          </cell>
        </row>
        <row r="128">
          <cell r="C128" t="str">
            <v>MCI-00662</v>
          </cell>
        </row>
        <row r="129">
          <cell r="C129" t="str">
            <v>MCI-00662</v>
          </cell>
        </row>
        <row r="130">
          <cell r="C130" t="str">
            <v>MCI-00662</v>
          </cell>
        </row>
        <row r="131">
          <cell r="C131" t="str">
            <v>MCI-00662</v>
          </cell>
        </row>
        <row r="132">
          <cell r="C132" t="str">
            <v>MCI-00662</v>
          </cell>
        </row>
        <row r="133">
          <cell r="C133" t="str">
            <v>MCI-00663</v>
          </cell>
        </row>
        <row r="134">
          <cell r="C134" t="str">
            <v>MCI-00663</v>
          </cell>
        </row>
        <row r="135">
          <cell r="C135" t="str">
            <v>MCI-00663</v>
          </cell>
        </row>
        <row r="136">
          <cell r="C136" t="str">
            <v>MCI-00663</v>
          </cell>
        </row>
        <row r="137">
          <cell r="C137" t="str">
            <v>MCI-00663</v>
          </cell>
        </row>
        <row r="138">
          <cell r="C138" t="str">
            <v>MCI-00663</v>
          </cell>
        </row>
        <row r="139">
          <cell r="C139" t="str">
            <v>MCI-00663</v>
          </cell>
        </row>
        <row r="140">
          <cell r="C140" t="str">
            <v>MCI-00664</v>
          </cell>
        </row>
        <row r="141">
          <cell r="C141" t="str">
            <v>MCI-00664</v>
          </cell>
        </row>
        <row r="142">
          <cell r="C142" t="str">
            <v>MCI-00664</v>
          </cell>
        </row>
        <row r="143">
          <cell r="C143" t="str">
            <v>MCI-00665</v>
          </cell>
        </row>
        <row r="144">
          <cell r="C144" t="str">
            <v>MCI-00665</v>
          </cell>
        </row>
        <row r="145">
          <cell r="C145" t="str">
            <v>MCI-00666</v>
          </cell>
        </row>
        <row r="146">
          <cell r="C146" t="str">
            <v>MCI-00666</v>
          </cell>
        </row>
        <row r="147">
          <cell r="C147" t="str">
            <v>MCI-00667</v>
          </cell>
        </row>
        <row r="148">
          <cell r="C148" t="str">
            <v>MCI-00667</v>
          </cell>
        </row>
        <row r="149">
          <cell r="C149" t="str">
            <v>MCI-00667</v>
          </cell>
        </row>
        <row r="150">
          <cell r="C150" t="str">
            <v>MCI-00667</v>
          </cell>
        </row>
        <row r="151">
          <cell r="C151" t="str">
            <v>MCI-00668</v>
          </cell>
        </row>
        <row r="152">
          <cell r="C152" t="str">
            <v>MCI-00668</v>
          </cell>
        </row>
        <row r="153">
          <cell r="C153" t="str">
            <v>MCI-00668</v>
          </cell>
        </row>
        <row r="154">
          <cell r="C154" t="str">
            <v>MCI-00668</v>
          </cell>
        </row>
        <row r="155">
          <cell r="C155" t="str">
            <v>MCI-00668</v>
          </cell>
        </row>
        <row r="156">
          <cell r="C156" t="str">
            <v>MCI-00669</v>
          </cell>
        </row>
        <row r="157">
          <cell r="C157" t="str">
            <v>MCI-01236</v>
          </cell>
        </row>
        <row r="158">
          <cell r="C158" t="str">
            <v>MCI-01236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As"/>
      <sheetName val="Assumptions "/>
      <sheetName val="GF Review_19Apr07"/>
      <sheetName val="from PR_20Mar07"/>
      <sheetName val="Definitions"/>
      <sheetName val="HSS"/>
      <sheetName val="SDAs_impact_datasources"/>
    </sheetNames>
    <sheetDataSet>
      <sheetData sheetId="0">
        <row r="2">
          <cell r="A2" t="str">
            <v>Please Select…</v>
          </cell>
        </row>
        <row r="3">
          <cell r="A3" t="str">
            <v>Prevention: BCC - Mass media</v>
          </cell>
        </row>
        <row r="4">
          <cell r="A4" t="str">
            <v>Prevention: BCC - community outreach</v>
          </cell>
        </row>
        <row r="5">
          <cell r="A5" t="str">
            <v>Prevention: Condon distribution</v>
          </cell>
        </row>
        <row r="6">
          <cell r="A6" t="str">
            <v>Prevention: Testing and Counseling</v>
          </cell>
        </row>
        <row r="7">
          <cell r="A7" t="str">
            <v>Prevention: PMTCT</v>
          </cell>
        </row>
        <row r="8">
          <cell r="A8" t="str">
            <v>Prevention: Post-exposure prophylaxis (PEP)</v>
          </cell>
        </row>
        <row r="9">
          <cell r="A9" t="str">
            <v>Prevention: STI diagnosis and treatment</v>
          </cell>
        </row>
        <row r="10">
          <cell r="A10" t="str">
            <v>Prevention: Blood safety and universal precaution</v>
          </cell>
        </row>
        <row r="11">
          <cell r="A11" t="str">
            <v>Treatment: Antiretroviral treatment (ARV) and monitoring</v>
          </cell>
        </row>
        <row r="12">
          <cell r="A12" t="str">
            <v>Treatment: Prophylaxis and treatment for opportunistic infections</v>
          </cell>
        </row>
        <row r="13">
          <cell r="A13" t="str">
            <v>Care and support: Care and support for the chronically ill</v>
          </cell>
        </row>
        <row r="14">
          <cell r="A14" t="str">
            <v>Care and support: Support for orphans and vulnerable children</v>
          </cell>
        </row>
        <row r="15">
          <cell r="A15" t="str">
            <v>TB/HIV collaborative activities: Intensified case-finding among PLWHA</v>
          </cell>
        </row>
        <row r="16">
          <cell r="A16" t="str">
            <v>TB/HIV collaborative activities: Prevention of TB disease in PLWHA</v>
          </cell>
        </row>
        <row r="17">
          <cell r="A17" t="str">
            <v>TB/HIV collaborative activities: Prevention of HIV in TB patients</v>
          </cell>
        </row>
        <row r="18">
          <cell r="A18" t="str">
            <v>TB/HIV collaborative activities: Prevention of opportunistic infections in PLWHA with TB</v>
          </cell>
        </row>
        <row r="19">
          <cell r="A19" t="str">
            <v xml:space="preserve">TB/HIV collaborative activities: HIV care and support for HIV-positive TB patients </v>
          </cell>
        </row>
        <row r="20">
          <cell r="A20" t="str">
            <v>TB/HIV collaborative activities: Provision of antiretroviral treatment for TB patients during TB treatment</v>
          </cell>
        </row>
        <row r="21">
          <cell r="A21" t="str">
            <v>Supportive environment: Policy development including workplace policy</v>
          </cell>
        </row>
        <row r="22">
          <cell r="A22" t="str">
            <v xml:space="preserve">Supportive environment: Strengthening of civil society and institutional capacity building </v>
          </cell>
        </row>
        <row r="23">
          <cell r="A23" t="str">
            <v>Supportive environment: Stigma reduction in all settings</v>
          </cell>
        </row>
        <row r="24">
          <cell r="A24" t="str">
            <v>TB: Identification of infectious cases</v>
          </cell>
        </row>
        <row r="25">
          <cell r="A25" t="str">
            <v>TB: Timely detection and quality treatment of cases</v>
          </cell>
        </row>
        <row r="26">
          <cell r="A26" t="str">
            <v>TB: MDR-TB</v>
          </cell>
        </row>
        <row r="27">
          <cell r="A27" t="str">
            <v>TB: PPM (Public Private Mix)</v>
          </cell>
        </row>
        <row r="28">
          <cell r="A28" t="str">
            <v>Supportive Environment: Laboratory</v>
          </cell>
        </row>
        <row r="29">
          <cell r="A29" t="str">
            <v>Supportive Environment: Human resources</v>
          </cell>
        </row>
        <row r="30">
          <cell r="A30" t="str">
            <v>Supportive Environment: Community TB care (CTBC)</v>
          </cell>
        </row>
        <row r="31">
          <cell r="A31" t="str">
            <v>Prevention: Insecticide-treated nets (ITNs)</v>
          </cell>
        </row>
        <row r="32">
          <cell r="A32" t="str">
            <v>Prevention: Malaria prevention during pregnancy</v>
          </cell>
        </row>
        <row r="33">
          <cell r="A33" t="str">
            <v>Prevention: Vector control (other than ITNs)</v>
          </cell>
        </row>
        <row r="34">
          <cell r="A34" t="str">
            <v>Treatment: Prompt, effective anti-malarial treatment</v>
          </cell>
        </row>
        <row r="35">
          <cell r="A35" t="str">
            <v>Treatment: Home based management of malaria</v>
          </cell>
        </row>
        <row r="36">
          <cell r="A36" t="str">
            <v>Treatment: Diagnosis</v>
          </cell>
        </row>
        <row r="37">
          <cell r="A37" t="str">
            <v>Supportive environment: Monitoring drug resistance</v>
          </cell>
        </row>
        <row r="38">
          <cell r="A38" t="str">
            <v>Supportive environment: Monitoring insecticide resistance</v>
          </cell>
        </row>
        <row r="39">
          <cell r="A39" t="str">
            <v>Supportive environment: Coordination and partnership development (national, community, public-private)</v>
          </cell>
        </row>
        <row r="40">
          <cell r="A40" t="str">
            <v>Service delivery</v>
          </cell>
        </row>
        <row r="41">
          <cell r="A41" t="str">
            <v>Human resources</v>
          </cell>
        </row>
        <row r="42">
          <cell r="A42" t="str">
            <v>Community Systems Strengthening</v>
          </cell>
        </row>
        <row r="43">
          <cell r="A43" t="str">
            <v>Information system &amp; Operational research</v>
          </cell>
        </row>
        <row r="44">
          <cell r="A44" t="str">
            <v>Infrastructure</v>
          </cell>
        </row>
        <row r="45">
          <cell r="A45" t="str">
            <v>Procurement and Supply management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erformance Framework 3&amp;4"/>
      <sheetName val="HIV"/>
      <sheetName val="TB"/>
      <sheetName val="Malaria"/>
    </sheetNames>
    <sheetDataSet>
      <sheetData sheetId="0" refreshError="1"/>
      <sheetData sheetId="1" refreshError="1"/>
      <sheetData sheetId="2">
        <row r="2">
          <cell r="A2" t="str">
            <v>Please select…</v>
          </cell>
        </row>
        <row r="3">
          <cell r="F3" t="str">
            <v>Please enter a corresponding indicator here…</v>
          </cell>
        </row>
      </sheetData>
      <sheetData sheetId="3">
        <row r="2">
          <cell r="A2" t="str">
            <v>please select…</v>
          </cell>
        </row>
      </sheetData>
      <sheetData sheetId="4">
        <row r="2">
          <cell r="A2" t="str">
            <v>please select…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erformance Framework 3&amp;4"/>
      <sheetName val="HIV"/>
      <sheetName val="TB"/>
      <sheetName val="Malaria"/>
    </sheetNames>
    <sheetDataSet>
      <sheetData sheetId="0" refreshError="1"/>
      <sheetData sheetId="1" refreshError="1"/>
      <sheetData sheetId="2">
        <row r="2">
          <cell r="A2" t="str">
            <v>Please select…</v>
          </cell>
        </row>
        <row r="3">
          <cell r="F3" t="str">
            <v>Please enter a corresponding indicator here…</v>
          </cell>
        </row>
      </sheetData>
      <sheetData sheetId="3">
        <row r="2">
          <cell r="A2" t="str">
            <v>please select…</v>
          </cell>
        </row>
      </sheetData>
      <sheetData sheetId="4">
        <row r="2">
          <cell r="A2" t="str">
            <v>please select…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erformance Framework 3&amp;4"/>
      <sheetName val="HIV"/>
      <sheetName val="TB"/>
      <sheetName val="Malaria"/>
    </sheetNames>
    <sheetDataSet>
      <sheetData sheetId="0" refreshError="1"/>
      <sheetData sheetId="1" refreshError="1"/>
      <sheetData sheetId="2">
        <row r="2">
          <cell r="A2" t="str">
            <v>Please select…</v>
          </cell>
        </row>
      </sheetData>
      <sheetData sheetId="3">
        <row r="2">
          <cell r="A2" t="str">
            <v>please select…</v>
          </cell>
          <cell r="B2" t="str">
            <v>please select…</v>
          </cell>
          <cell r="D2" t="str">
            <v>please select…</v>
          </cell>
          <cell r="E2" t="str">
            <v>please select…</v>
          </cell>
        </row>
        <row r="3">
          <cell r="A3" t="str">
            <v>High Quality DOTS</v>
          </cell>
          <cell r="B3" t="str">
            <v>TB prevalence rate</v>
          </cell>
          <cell r="D3" t="str">
            <v>Case detection rate: new smear positive TB cases</v>
          </cell>
          <cell r="E3" t="str">
            <v>R&amp;R TB system, quarterly reports</v>
          </cell>
        </row>
        <row r="4">
          <cell r="A4" t="str">
            <v>Improving diagnosis</v>
          </cell>
          <cell r="B4" t="str">
            <v>TB incidence rate</v>
          </cell>
          <cell r="D4" t="str">
            <v>Treatment success rate: new smear positive TB cases</v>
          </cell>
          <cell r="E4" t="str">
            <v xml:space="preserve">R&amp;R TB system, yearly management report </v>
          </cell>
        </row>
        <row r="5">
          <cell r="A5" t="str">
            <v xml:space="preserve">Patient support </v>
          </cell>
          <cell r="B5" t="str">
            <v>TB mortality rate</v>
          </cell>
          <cell r="E5" t="str">
            <v>TB prevalence survey</v>
          </cell>
        </row>
        <row r="6">
          <cell r="A6" t="str">
            <v xml:space="preserve">Procurement and supply management (First line drugs) </v>
          </cell>
          <cell r="E6" t="str">
            <v>TB patient register</v>
          </cell>
        </row>
        <row r="7">
          <cell r="A7" t="str">
            <v>M&amp;E</v>
          </cell>
          <cell r="E7" t="str">
            <v>TB laboratory register</v>
          </cell>
        </row>
        <row r="8">
          <cell r="A8" t="str">
            <v>TB/HIV</v>
          </cell>
          <cell r="E8" t="str">
            <v>TB treatment card</v>
          </cell>
        </row>
        <row r="9">
          <cell r="A9" t="str">
            <v>MDR-TB</v>
          </cell>
          <cell r="E9" t="str">
            <v>Training records</v>
          </cell>
        </row>
        <row r="10">
          <cell r="A10" t="str">
            <v xml:space="preserve">High-risk groups </v>
          </cell>
          <cell r="E10" t="str">
            <v>Specify- Reports, Surveys, Questionnaires etc.</v>
          </cell>
        </row>
        <row r="11">
          <cell r="A11" t="str">
            <v>PAL (Practical Approach to Lung Health)</v>
          </cell>
          <cell r="E11" t="str">
            <v>Health Provider survey</v>
          </cell>
        </row>
        <row r="12">
          <cell r="A12" t="str">
            <v>All care providers (PPM / ISTC - Public-Public, Public-Private Mix (PPM) approaches and International standards for TB care)</v>
          </cell>
          <cell r="E12" t="str">
            <v>Health Facility survey</v>
          </cell>
        </row>
        <row r="13">
          <cell r="A13" t="str">
            <v xml:space="preserve">ACSM (Advocacy, communication and social mobilization) </v>
          </cell>
          <cell r="E13" t="str">
            <v>National Health Account</v>
          </cell>
        </row>
        <row r="14">
          <cell r="A14" t="str">
            <v xml:space="preserve">Community TB care </v>
          </cell>
          <cell r="E14" t="str">
            <v>Households survey</v>
          </cell>
        </row>
        <row r="15">
          <cell r="A15" t="str">
            <v>Operational Research</v>
          </cell>
          <cell r="E15" t="str">
            <v>SAMS (Service Availability Mapping Survey)</v>
          </cell>
        </row>
        <row r="16">
          <cell r="A16" t="str">
            <v>HSS: Service delivery</v>
          </cell>
          <cell r="E16" t="str">
            <v>Administrative records</v>
          </cell>
        </row>
        <row r="17">
          <cell r="A17" t="str">
            <v>HSS:  Health Workforce</v>
          </cell>
        </row>
        <row r="18">
          <cell r="A18" t="str">
            <v>HSS:  Medical Products, Vaccines and Technology</v>
          </cell>
        </row>
        <row r="19">
          <cell r="A19" t="str">
            <v>HSS:  Financing</v>
          </cell>
        </row>
        <row r="20">
          <cell r="A20" t="str">
            <v>HSS:  Information System</v>
          </cell>
        </row>
        <row r="21">
          <cell r="A21" t="str">
            <v>HSS:  Leadership and Goverance</v>
          </cell>
        </row>
      </sheetData>
      <sheetData sheetId="4">
        <row r="2">
          <cell r="A2" t="str">
            <v>please select…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pop"/>
      <sheetName val="_pvt_epicountry"/>
      <sheetName val="_epibycountry"/>
      <sheetName val="_pvt_epiregion"/>
      <sheetName val="_epibyregion"/>
      <sheetName val="_pvt_costsregion"/>
      <sheetName val="_costbyregion"/>
      <sheetName val="_pvt_costscountry"/>
      <sheetName val="_costbycountry"/>
      <sheetName val="_ref_tables"/>
      <sheetName val="_settings"/>
      <sheetName val="Welcome"/>
      <sheetName val="Options"/>
      <sheetName val="Guidelines"/>
      <sheetName val="Baseline Budget"/>
      <sheetName val="Epidemiology"/>
      <sheetName val="1.2 Improving diagnosis"/>
      <sheetName val="Lab items list"/>
      <sheetName val="1.3 Patient support"/>
      <sheetName val="1.4 First-line drugs"/>
      <sheetName val="1.5.1 M&amp;E"/>
      <sheetName val="1.5.2 Management &amp; supervision"/>
      <sheetName val="1.5.3.1 Staff"/>
      <sheetName val="1.5.3.2 International TA"/>
      <sheetName val="1.5.3.3 Training"/>
      <sheetName val="2.1 TB HIV"/>
      <sheetName val="2.2 MDR TB"/>
      <sheetName val="2.3.1 High risk grups"/>
      <sheetName val="2.3.2 Infection control"/>
      <sheetName val="2.3.3 Childhood"/>
      <sheetName val="3.2 PAL"/>
      <sheetName val="4.1 PPM"/>
      <sheetName val="5.1 ACSM"/>
      <sheetName val="5.2 Community involvement"/>
      <sheetName val="6.1 OR"/>
      <sheetName val="Other"/>
      <sheetName val="Use general health services"/>
      <sheetName val="Table Costs Funding"/>
      <sheetName val="Table Costs by activity"/>
      <sheetName val="Fig Costs"/>
      <sheetName val="Fig Funding"/>
      <sheetName val="Table costs &amp; funding"/>
      <sheetName val="Table CostCategoriesG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D8" t="str">
            <v>EEUR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I4" t="str">
            <v>3TC</v>
          </cell>
        </row>
        <row r="5">
          <cell r="I5" t="str">
            <v>3TC_сироп</v>
          </cell>
        </row>
        <row r="6">
          <cell r="I6" t="str">
            <v>ABC</v>
          </cell>
        </row>
        <row r="7">
          <cell r="I7" t="str">
            <v>ABC_сироп</v>
          </cell>
        </row>
        <row r="8">
          <cell r="I8" t="str">
            <v>ATV</v>
          </cell>
        </row>
        <row r="9">
          <cell r="I9" t="str">
            <v>AZT</v>
          </cell>
        </row>
        <row r="10">
          <cell r="I10" t="str">
            <v>AZT_3TC</v>
          </cell>
        </row>
        <row r="11">
          <cell r="I11" t="str">
            <v>AZT_сироп</v>
          </cell>
        </row>
        <row r="12">
          <cell r="I12" t="str">
            <v>DDI</v>
          </cell>
        </row>
        <row r="13">
          <cell r="I13" t="str">
            <v>DRV</v>
          </cell>
        </row>
        <row r="14">
          <cell r="I14" t="str">
            <v>EFV</v>
          </cell>
        </row>
        <row r="15">
          <cell r="I15" t="str">
            <v>FTC</v>
          </cell>
        </row>
        <row r="16">
          <cell r="I16" t="str">
            <v>LPV/r</v>
          </cell>
        </row>
        <row r="17">
          <cell r="I17" t="str">
            <v>LPV/r_сироп</v>
          </cell>
        </row>
        <row r="18">
          <cell r="I18" t="str">
            <v>NVP</v>
          </cell>
        </row>
        <row r="19">
          <cell r="I19" t="str">
            <v>NVP_сироп</v>
          </cell>
        </row>
        <row r="20">
          <cell r="I20" t="str">
            <v>RAL</v>
          </cell>
        </row>
        <row r="21">
          <cell r="I21" t="str">
            <v>RTV</v>
          </cell>
        </row>
        <row r="22">
          <cell r="I22" t="str">
            <v>TDF</v>
          </cell>
        </row>
        <row r="23">
          <cell r="I23" t="str">
            <v>TDF_FTC</v>
          </cell>
        </row>
        <row r="24">
          <cell r="I24" t="str">
            <v>TDF_FTC_EFV</v>
          </cell>
        </row>
        <row r="25">
          <cell r="I25" t="str">
            <v>AZTр-р в/в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I4" t="str">
            <v>3TC</v>
          </cell>
        </row>
        <row r="5">
          <cell r="I5" t="str">
            <v>3TC_сироп</v>
          </cell>
        </row>
        <row r="6">
          <cell r="I6" t="str">
            <v>ABC</v>
          </cell>
        </row>
        <row r="7">
          <cell r="I7" t="str">
            <v>ABC_сироп</v>
          </cell>
        </row>
        <row r="8">
          <cell r="I8" t="str">
            <v>ATV</v>
          </cell>
        </row>
        <row r="9">
          <cell r="I9" t="str">
            <v>AZT</v>
          </cell>
        </row>
        <row r="10">
          <cell r="I10" t="str">
            <v>AZT_3TC</v>
          </cell>
        </row>
        <row r="11">
          <cell r="I11" t="str">
            <v>AZT_сироп</v>
          </cell>
        </row>
        <row r="12">
          <cell r="I12" t="str">
            <v>DDI</v>
          </cell>
        </row>
        <row r="13">
          <cell r="I13" t="str">
            <v>DRV</v>
          </cell>
        </row>
        <row r="14">
          <cell r="I14" t="str">
            <v>EFV</v>
          </cell>
        </row>
        <row r="15">
          <cell r="I15" t="str">
            <v>FTC</v>
          </cell>
        </row>
        <row r="16">
          <cell r="I16" t="str">
            <v>LPV/r</v>
          </cell>
        </row>
        <row r="17">
          <cell r="I17" t="str">
            <v>LPV/r_сироп</v>
          </cell>
        </row>
        <row r="18">
          <cell r="I18" t="str">
            <v>NVP</v>
          </cell>
        </row>
        <row r="19">
          <cell r="I19" t="str">
            <v>NVP_сироп</v>
          </cell>
        </row>
        <row r="20">
          <cell r="I20" t="str">
            <v>RAL</v>
          </cell>
        </row>
        <row r="21">
          <cell r="I21" t="str">
            <v>RTV</v>
          </cell>
        </row>
        <row r="22">
          <cell r="I22" t="str">
            <v>TDF</v>
          </cell>
        </row>
        <row r="23">
          <cell r="I23" t="str">
            <v>TDF_FTC</v>
          </cell>
        </row>
        <row r="24">
          <cell r="I24" t="str">
            <v>TDF_FTC_EFV</v>
          </cell>
        </row>
        <row r="25">
          <cell r="I25" t="str">
            <v>AZTр-р в/в</v>
          </cell>
        </row>
      </sheetData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I4" t="str">
            <v>3TC</v>
          </cell>
        </row>
        <row r="5">
          <cell r="I5" t="str">
            <v>3TC_сироп</v>
          </cell>
        </row>
        <row r="6">
          <cell r="I6" t="str">
            <v>ABC</v>
          </cell>
        </row>
        <row r="7">
          <cell r="I7" t="str">
            <v>ABC_сироп</v>
          </cell>
        </row>
        <row r="8">
          <cell r="I8" t="str">
            <v>ATV</v>
          </cell>
        </row>
        <row r="9">
          <cell r="I9" t="str">
            <v>AZT</v>
          </cell>
        </row>
        <row r="10">
          <cell r="I10" t="str">
            <v>AZT_3TC</v>
          </cell>
        </row>
        <row r="11">
          <cell r="I11" t="str">
            <v>AZT_сироп</v>
          </cell>
        </row>
        <row r="12">
          <cell r="I12" t="str">
            <v>DDI</v>
          </cell>
        </row>
        <row r="13">
          <cell r="I13" t="str">
            <v>DRV</v>
          </cell>
        </row>
        <row r="14">
          <cell r="I14" t="str">
            <v>EFV</v>
          </cell>
        </row>
        <row r="15">
          <cell r="I15" t="str">
            <v>FTC</v>
          </cell>
        </row>
        <row r="16">
          <cell r="I16" t="str">
            <v>LPV/r</v>
          </cell>
        </row>
        <row r="17">
          <cell r="I17" t="str">
            <v>LPV/r_сироп</v>
          </cell>
        </row>
        <row r="18">
          <cell r="I18" t="str">
            <v>NVP</v>
          </cell>
        </row>
        <row r="19">
          <cell r="I19" t="str">
            <v>NVP_сироп</v>
          </cell>
        </row>
        <row r="20">
          <cell r="I20" t="str">
            <v>RAL</v>
          </cell>
        </row>
        <row r="21">
          <cell r="I21" t="str">
            <v>RTV</v>
          </cell>
        </row>
        <row r="22">
          <cell r="I22" t="str">
            <v>TDF</v>
          </cell>
        </row>
        <row r="23">
          <cell r="I23" t="str">
            <v>TDF_FTC</v>
          </cell>
        </row>
        <row r="24">
          <cell r="I24" t="str">
            <v>TDF_FTC_EFV</v>
          </cell>
        </row>
      </sheetData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I4" t="str">
            <v>3TC</v>
          </cell>
        </row>
        <row r="5">
          <cell r="I5" t="str">
            <v>3TC_сироп</v>
          </cell>
        </row>
        <row r="6">
          <cell r="I6" t="str">
            <v>ABC</v>
          </cell>
        </row>
        <row r="7">
          <cell r="I7" t="str">
            <v>ABC_сироп</v>
          </cell>
        </row>
        <row r="8">
          <cell r="I8" t="str">
            <v>ATV</v>
          </cell>
        </row>
        <row r="9">
          <cell r="I9" t="str">
            <v>AZT</v>
          </cell>
        </row>
        <row r="10">
          <cell r="I10" t="str">
            <v>AZT_3TC</v>
          </cell>
        </row>
        <row r="11">
          <cell r="I11" t="str">
            <v>AZT_сироп</v>
          </cell>
        </row>
        <row r="12">
          <cell r="I12" t="str">
            <v>DDI</v>
          </cell>
        </row>
        <row r="13">
          <cell r="I13" t="str">
            <v>DRV</v>
          </cell>
        </row>
        <row r="14">
          <cell r="I14" t="str">
            <v>EFV</v>
          </cell>
        </row>
        <row r="15">
          <cell r="I15" t="str">
            <v>FTC</v>
          </cell>
        </row>
        <row r="16">
          <cell r="I16" t="str">
            <v>LPV/r</v>
          </cell>
        </row>
        <row r="17">
          <cell r="I17" t="str">
            <v>LPV/r_сироп</v>
          </cell>
        </row>
        <row r="18">
          <cell r="I18" t="str">
            <v>NVP</v>
          </cell>
        </row>
        <row r="19">
          <cell r="I19" t="str">
            <v>NVP_сироп</v>
          </cell>
        </row>
        <row r="20">
          <cell r="I20" t="str">
            <v>RAL</v>
          </cell>
        </row>
        <row r="21">
          <cell r="I21" t="str">
            <v>RTV</v>
          </cell>
        </row>
        <row r="22">
          <cell r="I22" t="str">
            <v>TDF</v>
          </cell>
        </row>
        <row r="23">
          <cell r="I23" t="str">
            <v>TDF_FTC</v>
          </cell>
        </row>
        <row r="24">
          <cell r="I24" t="str">
            <v>TDF_FTC_EFV</v>
          </cell>
        </row>
      </sheetData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хемы АРТ"/>
      <sheetName val="Расчет колич АРВП"/>
      <sheetName val="Прогноз на 3 года АРВ"/>
      <sheetName val=" Диагностика РЦС"/>
      <sheetName val="ИМН РЦС"/>
    </sheetNames>
    <sheetDataSet>
      <sheetData sheetId="0" refreshError="1"/>
      <sheetData sheetId="1" refreshError="1">
        <row r="3">
          <cell r="U3">
            <v>6736</v>
          </cell>
        </row>
        <row r="23">
          <cell r="V23">
            <v>0</v>
          </cell>
        </row>
      </sheetData>
      <sheetData sheetId="2" refreshError="1">
        <row r="24">
          <cell r="Z24" t="str">
            <v>АРТ ГФ</v>
          </cell>
        </row>
        <row r="25">
          <cell r="Z25" t="str">
            <v>Диагностика</v>
          </cell>
        </row>
        <row r="26">
          <cell r="Z26" t="str">
            <v>ИМН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ityclimate.kg/product/ariston-abs-pro-10-or/" TargetMode="External"/><Relationship Id="rId1" Type="http://schemas.openxmlformats.org/officeDocument/2006/relationships/hyperlink" Target="https://zavod-pt.kg/catalog/vesy_torgovye/vesy_elektronnye_unifitsirovannogo_konstruktirovannogo_ryada_tves_veu_200s_50_100_i_st_u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cityclimate.kg/product/ariston-abs-pro-10-or/" TargetMode="External"/><Relationship Id="rId1" Type="http://schemas.openxmlformats.org/officeDocument/2006/relationships/hyperlink" Target="https://zavod-pt.kg/catalog/vesy_torgovye/vesy_elektronnye_unifitsirovannogo_konstruktirovannogo_ryada_tves_veu_200s_50_100_i_st_u/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16" zoomScale="115" zoomScaleNormal="115" workbookViewId="0">
      <selection activeCell="B28" sqref="B28"/>
    </sheetView>
  </sheetViews>
  <sheetFormatPr defaultRowHeight="14.4"/>
  <cols>
    <col min="1" max="1" width="30.44140625" customWidth="1"/>
    <col min="2" max="2" width="17.6640625" customWidth="1"/>
    <col min="5" max="5" width="12.6640625" bestFit="1" customWidth="1"/>
    <col min="7" max="7" width="11.109375" bestFit="1" customWidth="1"/>
    <col min="12" max="12" width="16.33203125" customWidth="1"/>
  </cols>
  <sheetData>
    <row r="1" spans="1:13">
      <c r="A1" s="207" t="s">
        <v>503</v>
      </c>
      <c r="B1" s="207"/>
    </row>
    <row r="2" spans="1:13">
      <c r="A2" s="207"/>
      <c r="B2" s="207" t="s">
        <v>131</v>
      </c>
    </row>
    <row r="3" spans="1:13">
      <c r="A3" s="207" t="s">
        <v>504</v>
      </c>
      <c r="B3" s="786">
        <f>'Модуль 9'!I39+'Модуль 9'!J39+'Модуль 9'!K39</f>
        <v>900560.79999999993</v>
      </c>
      <c r="C3" t="s">
        <v>505</v>
      </c>
    </row>
    <row r="4" spans="1:13">
      <c r="A4" s="207" t="s">
        <v>387</v>
      </c>
      <c r="B4" s="786">
        <f>'Модуль 11'!J44</f>
        <v>139021.19999999998</v>
      </c>
    </row>
    <row r="5" spans="1:13">
      <c r="A5" s="207" t="s">
        <v>385</v>
      </c>
      <c r="B5" s="787">
        <f>'Модуль 12'!J102</f>
        <v>1192492.5047619045</v>
      </c>
      <c r="C5" t="s">
        <v>505</v>
      </c>
      <c r="L5">
        <v>13500000</v>
      </c>
    </row>
    <row r="6" spans="1:13">
      <c r="A6" s="207" t="s">
        <v>390</v>
      </c>
      <c r="B6" s="786">
        <f>'Модуль 13'!I42</f>
        <v>131211.57228915661</v>
      </c>
      <c r="L6">
        <v>1500000</v>
      </c>
      <c r="M6" t="s">
        <v>56</v>
      </c>
    </row>
    <row r="7" spans="1:13">
      <c r="A7" s="207" t="s">
        <v>386</v>
      </c>
      <c r="B7" s="207">
        <f>'Модуль 10'!I30</f>
        <v>607340.30000000005</v>
      </c>
      <c r="L7">
        <v>840000</v>
      </c>
      <c r="M7" s="24">
        <v>7.0000000000000007E-2</v>
      </c>
    </row>
    <row r="8" spans="1:13">
      <c r="A8" s="207" t="s">
        <v>388</v>
      </c>
      <c r="B8" s="786">
        <f>'Модуль ЛЖВ НПО'!E67</f>
        <v>1529083.5903614457</v>
      </c>
      <c r="L8">
        <v>500000</v>
      </c>
      <c r="M8" t="s">
        <v>777</v>
      </c>
    </row>
    <row r="9" spans="1:13">
      <c r="A9" s="207" t="s">
        <v>775</v>
      </c>
      <c r="B9" s="786">
        <f>'Модуль 14'!D7</f>
        <v>62620</v>
      </c>
      <c r="C9" s="188"/>
      <c r="L9">
        <f>SUM(L5-L6-L7-L8)</f>
        <v>10660000</v>
      </c>
    </row>
    <row r="10" spans="1:13">
      <c r="A10" s="207"/>
      <c r="B10" s="786"/>
      <c r="C10" s="188"/>
      <c r="L10">
        <v>500000</v>
      </c>
      <c r="M10" t="s">
        <v>792</v>
      </c>
    </row>
    <row r="11" spans="1:13" ht="15.6">
      <c r="A11" s="207" t="s">
        <v>778</v>
      </c>
      <c r="B11" s="787">
        <f>'Модуль 9'!I41+'Модуль 9'!J41+'Модуль 9'!K41+'Модуль 11'!H38+'Модуль 11'!I38+'Модуль 11'!J38+'Модуль 12'!H104+'Модуль 12'!H105+'Модуль 10'!I15+'Модуль 10'!I16</f>
        <v>639816.80422646273</v>
      </c>
      <c r="C11" s="222"/>
      <c r="I11" s="24">
        <v>0.85</v>
      </c>
      <c r="J11" s="24">
        <v>0.9</v>
      </c>
      <c r="K11" s="24">
        <v>0.95</v>
      </c>
      <c r="L11" s="506">
        <f>SUM(L9-L10)</f>
        <v>10160000</v>
      </c>
    </row>
    <row r="12" spans="1:13">
      <c r="A12" s="207" t="s">
        <v>774</v>
      </c>
      <c r="B12" s="207">
        <f>I13+J13+K13</f>
        <v>308610</v>
      </c>
      <c r="C12" s="188"/>
      <c r="I12">
        <f>17400+300+14700+4700+1000</f>
        <v>38100</v>
      </c>
      <c r="J12">
        <f t="shared" ref="J12:K12" si="0">17400+300+14700+4700+1000</f>
        <v>38100</v>
      </c>
      <c r="K12">
        <f t="shared" si="0"/>
        <v>38100</v>
      </c>
    </row>
    <row r="13" spans="1:13">
      <c r="A13" s="207"/>
      <c r="B13" s="207"/>
      <c r="C13" s="188"/>
      <c r="I13">
        <f>I12*I11*3</f>
        <v>97155</v>
      </c>
      <c r="J13">
        <f t="shared" ref="J13:K13" si="1">J12*J11*3</f>
        <v>102870</v>
      </c>
      <c r="K13">
        <f t="shared" si="1"/>
        <v>108585</v>
      </c>
    </row>
    <row r="14" spans="1:13">
      <c r="A14" s="794" t="s">
        <v>1022</v>
      </c>
      <c r="B14" s="786">
        <f>'Модуль 18 РЦС'!I80</f>
        <v>3563817.2432936411</v>
      </c>
      <c r="C14" s="188"/>
    </row>
    <row r="15" spans="1:13">
      <c r="A15" s="794" t="s">
        <v>1023</v>
      </c>
      <c r="B15" s="787">
        <f>'Модуль 12'!H103</f>
        <v>1238387.71</v>
      </c>
      <c r="C15" s="188"/>
    </row>
    <row r="16" spans="1:13">
      <c r="A16" s="207"/>
      <c r="B16" s="207"/>
      <c r="C16" s="188"/>
    </row>
    <row r="17" spans="1:7">
      <c r="A17" s="207" t="s">
        <v>776</v>
      </c>
      <c r="B17" s="786">
        <f>ЦРЗ!H17</f>
        <v>187723.36679012826</v>
      </c>
      <c r="C17" s="188"/>
    </row>
    <row r="18" spans="1:7">
      <c r="A18" s="788" t="s">
        <v>838</v>
      </c>
      <c r="B18" s="207">
        <f>'Модуль 1-2'!F2</f>
        <v>112200</v>
      </c>
      <c r="C18" s="188"/>
    </row>
    <row r="19" spans="1:7">
      <c r="A19" s="788" t="s">
        <v>839</v>
      </c>
      <c r="B19" s="207">
        <f>'Модуль 1-2'!F13</f>
        <v>226200</v>
      </c>
      <c r="C19" s="188"/>
    </row>
    <row r="20" spans="1:7">
      <c r="A20" s="794" t="s">
        <v>792</v>
      </c>
      <c r="B20" s="207">
        <v>757900</v>
      </c>
      <c r="C20" s="188"/>
    </row>
    <row r="21" spans="1:7">
      <c r="A21" s="207" t="s">
        <v>92</v>
      </c>
      <c r="B21" s="789">
        <f>SUM(B3:B20)</f>
        <v>11596985.09172274</v>
      </c>
      <c r="E21" s="94"/>
      <c r="G21" s="94"/>
    </row>
    <row r="22" spans="1:7">
      <c r="A22" s="207"/>
      <c r="B22" s="207"/>
    </row>
    <row r="23" spans="1:7">
      <c r="A23" s="207" t="s">
        <v>777</v>
      </c>
      <c r="B23" s="207">
        <f>'Модуль 20'!I111-1000000</f>
        <v>337714.80000000005</v>
      </c>
      <c r="C23" s="864" t="s">
        <v>1021</v>
      </c>
    </row>
    <row r="24" spans="1:7">
      <c r="A24" s="207" t="s">
        <v>92</v>
      </c>
      <c r="B24" s="786">
        <f>B23+B21</f>
        <v>11934699.891722741</v>
      </c>
    </row>
    <row r="25" spans="1:7">
      <c r="A25" s="790">
        <v>7.0000000000000007E-2</v>
      </c>
      <c r="B25" s="207">
        <f>B24*A25</f>
        <v>835428.99242059188</v>
      </c>
    </row>
    <row r="26" spans="1:7">
      <c r="A26" s="791" t="s">
        <v>56</v>
      </c>
      <c r="B26" s="865">
        <f xml:space="preserve"> 2694292 /2</f>
        <v>1347146</v>
      </c>
    </row>
    <row r="27" spans="1:7" s="30" customFormat="1">
      <c r="A27" s="792" t="s">
        <v>92</v>
      </c>
      <c r="B27" s="793">
        <f>B24+B25+B26</f>
        <v>14117274.884143332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D43"/>
  <sheetViews>
    <sheetView topLeftCell="A16" zoomScale="80" zoomScaleNormal="80" workbookViewId="0">
      <selection activeCell="N24" sqref="N24"/>
    </sheetView>
  </sheetViews>
  <sheetFormatPr defaultColWidth="9.109375" defaultRowHeight="14.4" outlineLevelRow="1"/>
  <cols>
    <col min="1" max="1" width="4.6640625" style="234" customWidth="1"/>
    <col min="2" max="2" width="29" style="234" customWidth="1"/>
    <col min="3" max="5" width="9.109375" style="234"/>
    <col min="6" max="6" width="13.88671875" style="234" customWidth="1"/>
    <col min="7" max="7" width="3.44140625" style="234" customWidth="1"/>
    <col min="8" max="8" width="27.88671875" style="234" customWidth="1"/>
    <col min="9" max="9" width="10.109375" style="234" bestFit="1" customWidth="1"/>
    <col min="10" max="13" width="9.109375" style="234"/>
    <col min="14" max="14" width="21.88671875" style="234" customWidth="1"/>
    <col min="15" max="17" width="9.109375" style="234"/>
    <col min="18" max="18" width="14.33203125" style="234" customWidth="1"/>
    <col min="19" max="16384" width="9.109375" style="234"/>
  </cols>
  <sheetData>
    <row r="1" spans="1:30" s="750" customFormat="1" ht="18">
      <c r="A1" s="748"/>
      <c r="B1" s="749" t="s">
        <v>882</v>
      </c>
      <c r="H1" s="751"/>
      <c r="I1" s="751"/>
      <c r="K1" s="752"/>
    </row>
    <row r="2" spans="1:30" s="750" customFormat="1" ht="18" outlineLevel="1">
      <c r="A2" s="748"/>
      <c r="B2" s="749"/>
    </row>
    <row r="3" spans="1:30" s="755" customFormat="1" ht="15.6" outlineLevel="1">
      <c r="A3" s="753"/>
      <c r="B3" s="754" t="s">
        <v>883</v>
      </c>
      <c r="T3" s="750"/>
      <c r="U3" s="750"/>
      <c r="V3" s="750"/>
      <c r="W3" s="750"/>
      <c r="X3" s="750"/>
      <c r="Y3" s="750"/>
      <c r="Z3" s="750"/>
      <c r="AA3" s="750"/>
      <c r="AB3" s="750"/>
      <c r="AC3" s="750"/>
      <c r="AD3" s="750"/>
    </row>
    <row r="4" spans="1:30" s="755" customFormat="1" ht="40.5" customHeight="1" outlineLevel="1">
      <c r="A4" s="753"/>
      <c r="B4" s="756" t="s">
        <v>884</v>
      </c>
      <c r="C4" s="756" t="s">
        <v>885</v>
      </c>
      <c r="D4" s="756" t="s">
        <v>886</v>
      </c>
      <c r="E4" s="756" t="s">
        <v>477</v>
      </c>
      <c r="F4" s="756" t="s">
        <v>752</v>
      </c>
      <c r="H4" s="756" t="s">
        <v>887</v>
      </c>
      <c r="I4" s="756" t="s">
        <v>885</v>
      </c>
      <c r="J4" s="756" t="s">
        <v>886</v>
      </c>
      <c r="K4" s="756" t="s">
        <v>477</v>
      </c>
      <c r="L4" s="756" t="s">
        <v>752</v>
      </c>
      <c r="N4" s="756" t="s">
        <v>888</v>
      </c>
      <c r="O4" s="756" t="s">
        <v>885</v>
      </c>
      <c r="P4" s="756" t="s">
        <v>886</v>
      </c>
      <c r="Q4" s="756" t="s">
        <v>477</v>
      </c>
      <c r="R4" s="756" t="s">
        <v>752</v>
      </c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</row>
    <row r="5" spans="1:30" s="755" customFormat="1" ht="12" customHeight="1" outlineLevel="1">
      <c r="A5" s="753"/>
      <c r="B5" s="757" t="s">
        <v>886</v>
      </c>
      <c r="C5" s="758"/>
      <c r="D5" s="759">
        <v>20</v>
      </c>
      <c r="E5" s="760">
        <v>1</v>
      </c>
      <c r="F5" s="757"/>
      <c r="H5" s="757" t="s">
        <v>886</v>
      </c>
      <c r="I5" s="758"/>
      <c r="J5" s="759">
        <v>20</v>
      </c>
      <c r="K5" s="760">
        <v>1</v>
      </c>
      <c r="L5" s="757"/>
      <c r="N5" s="757" t="s">
        <v>886</v>
      </c>
      <c r="O5" s="758"/>
      <c r="P5" s="759">
        <v>20</v>
      </c>
      <c r="Q5" s="760">
        <v>1</v>
      </c>
      <c r="R5" s="757"/>
      <c r="T5" s="750"/>
      <c r="U5" s="750"/>
      <c r="V5" s="750"/>
      <c r="W5" s="750"/>
      <c r="X5" s="750"/>
      <c r="Y5" s="750"/>
      <c r="Z5" s="750"/>
      <c r="AA5" s="750"/>
      <c r="AB5" s="750"/>
      <c r="AC5" s="750"/>
      <c r="AD5" s="750"/>
    </row>
    <row r="6" spans="1:30" s="755" customFormat="1" ht="12" customHeight="1" outlineLevel="1">
      <c r="A6" s="753"/>
      <c r="B6" s="761" t="s">
        <v>889</v>
      </c>
      <c r="C6" s="758"/>
      <c r="D6" s="759">
        <v>5</v>
      </c>
      <c r="E6" s="760"/>
      <c r="F6" s="757"/>
      <c r="H6" s="761"/>
      <c r="I6" s="758"/>
      <c r="J6" s="759"/>
      <c r="K6" s="760"/>
      <c r="L6" s="757"/>
      <c r="N6" s="761"/>
      <c r="O6" s="758"/>
      <c r="P6" s="759"/>
      <c r="Q6" s="760"/>
      <c r="R6" s="757"/>
      <c r="T6" s="750"/>
      <c r="U6" s="750"/>
      <c r="V6" s="750"/>
      <c r="W6" s="750"/>
      <c r="X6" s="750"/>
      <c r="Y6" s="750"/>
      <c r="Z6" s="750"/>
      <c r="AA6" s="750"/>
      <c r="AB6" s="750"/>
      <c r="AC6" s="750"/>
      <c r="AD6" s="750"/>
    </row>
    <row r="7" spans="1:30" s="755" customFormat="1" ht="12" customHeight="1" outlineLevel="1">
      <c r="A7" s="753"/>
      <c r="B7" s="761" t="s">
        <v>890</v>
      </c>
      <c r="C7" s="758"/>
      <c r="D7" s="759">
        <v>5</v>
      </c>
      <c r="E7" s="760"/>
      <c r="F7" s="757"/>
      <c r="H7" s="761" t="s">
        <v>891</v>
      </c>
      <c r="I7" s="758"/>
      <c r="J7" s="759">
        <v>5</v>
      </c>
      <c r="K7" s="760"/>
      <c r="L7" s="757"/>
      <c r="N7" s="761" t="s">
        <v>891</v>
      </c>
      <c r="O7" s="758"/>
      <c r="P7" s="759">
        <v>5</v>
      </c>
      <c r="Q7" s="760"/>
      <c r="R7" s="757"/>
      <c r="T7" s="750"/>
      <c r="U7" s="750"/>
      <c r="V7" s="750"/>
      <c r="W7" s="750"/>
      <c r="X7" s="750"/>
      <c r="Y7" s="750"/>
      <c r="Z7" s="750"/>
      <c r="AA7" s="750"/>
      <c r="AB7" s="750"/>
      <c r="AC7" s="750"/>
      <c r="AD7" s="750"/>
    </row>
    <row r="8" spans="1:30" s="755" customFormat="1" ht="12" customHeight="1" outlineLevel="1">
      <c r="A8" s="753"/>
      <c r="B8" s="757" t="s">
        <v>892</v>
      </c>
      <c r="C8" s="758">
        <v>15693.333333333334</v>
      </c>
      <c r="D8" s="759">
        <v>1</v>
      </c>
      <c r="E8" s="760">
        <f>E5</f>
        <v>1</v>
      </c>
      <c r="F8" s="762">
        <f>C8*D8*E8</f>
        <v>15693.333333333334</v>
      </c>
      <c r="H8" s="757" t="s">
        <v>892</v>
      </c>
      <c r="I8" s="758">
        <v>7723.92</v>
      </c>
      <c r="J8" s="759">
        <v>1</v>
      </c>
      <c r="K8" s="760">
        <f>K5</f>
        <v>1</v>
      </c>
      <c r="L8" s="762">
        <f>I8*J8*K8</f>
        <v>7723.92</v>
      </c>
      <c r="N8" s="757" t="s">
        <v>892</v>
      </c>
      <c r="O8" s="758">
        <v>19242.2</v>
      </c>
      <c r="P8" s="759">
        <v>1</v>
      </c>
      <c r="Q8" s="760">
        <f>Q5</f>
        <v>1</v>
      </c>
      <c r="R8" s="762">
        <f>O8*P8*Q8</f>
        <v>19242.2</v>
      </c>
      <c r="T8" s="750"/>
      <c r="U8" s="750"/>
      <c r="V8" s="750"/>
      <c r="W8" s="750"/>
      <c r="X8" s="750"/>
      <c r="Y8" s="750"/>
      <c r="Z8" s="750"/>
      <c r="AA8" s="750"/>
      <c r="AB8" s="750"/>
      <c r="AC8" s="750"/>
      <c r="AD8" s="750"/>
    </row>
    <row r="9" spans="1:30" s="755" customFormat="1" ht="12" customHeight="1" outlineLevel="1">
      <c r="A9" s="753"/>
      <c r="B9" s="761" t="s">
        <v>893</v>
      </c>
      <c r="C9" s="758">
        <v>466.08762295081971</v>
      </c>
      <c r="D9" s="759">
        <f>2*D5</f>
        <v>40</v>
      </c>
      <c r="E9" s="760">
        <f>E5</f>
        <v>1</v>
      </c>
      <c r="F9" s="762">
        <f>C9*D9*E9</f>
        <v>18643.504918032788</v>
      </c>
      <c r="H9" s="761" t="s">
        <v>893</v>
      </c>
      <c r="I9" s="758">
        <v>386.28571428571428</v>
      </c>
      <c r="J9" s="759">
        <f>2*J5</f>
        <v>40</v>
      </c>
      <c r="K9" s="760">
        <f>K5</f>
        <v>1</v>
      </c>
      <c r="L9" s="762">
        <f t="shared" ref="L9:L18" si="0">I9*J9*K9</f>
        <v>15451.428571428571</v>
      </c>
      <c r="N9" s="761" t="s">
        <v>893</v>
      </c>
      <c r="O9" s="758">
        <v>479.55631633714881</v>
      </c>
      <c r="P9" s="759">
        <f>2*P5</f>
        <v>40</v>
      </c>
      <c r="Q9" s="760">
        <f>Q5</f>
        <v>1</v>
      </c>
      <c r="R9" s="762">
        <f t="shared" ref="R9" si="1">O9*P9*Q9</f>
        <v>19182.252653485953</v>
      </c>
      <c r="T9" s="750"/>
      <c r="U9" s="750"/>
      <c r="V9" s="750"/>
      <c r="W9" s="750"/>
      <c r="X9" s="750"/>
      <c r="Y9" s="750"/>
      <c r="Z9" s="750"/>
      <c r="AA9" s="750"/>
      <c r="AB9" s="750"/>
      <c r="AC9" s="750"/>
      <c r="AD9" s="750"/>
    </row>
    <row r="10" spans="1:30" s="755" customFormat="1" ht="12" customHeight="1" outlineLevel="1">
      <c r="A10" s="753"/>
      <c r="B10" s="761" t="s">
        <v>894</v>
      </c>
      <c r="C10" s="758">
        <v>35</v>
      </c>
      <c r="D10" s="759">
        <f>D5</f>
        <v>20</v>
      </c>
      <c r="E10" s="760">
        <f>E5</f>
        <v>1</v>
      </c>
      <c r="F10" s="762">
        <f>C10*D10*E10</f>
        <v>700</v>
      </c>
      <c r="H10" s="761" t="s">
        <v>894</v>
      </c>
      <c r="I10" s="758">
        <f>C10</f>
        <v>35</v>
      </c>
      <c r="J10" s="759">
        <f>J5</f>
        <v>20</v>
      </c>
      <c r="K10" s="760">
        <f>K5</f>
        <v>1</v>
      </c>
      <c r="L10" s="762">
        <f>I10*J10*K10</f>
        <v>700</v>
      </c>
      <c r="N10" s="761" t="s">
        <v>894</v>
      </c>
      <c r="O10" s="758">
        <f>C10</f>
        <v>35</v>
      </c>
      <c r="P10" s="759">
        <f>P5</f>
        <v>20</v>
      </c>
      <c r="Q10" s="760">
        <f>Q5</f>
        <v>1</v>
      </c>
      <c r="R10" s="762">
        <f>O10*P10*Q10</f>
        <v>700</v>
      </c>
      <c r="T10" s="750"/>
      <c r="U10" s="750"/>
      <c r="V10" s="750"/>
      <c r="W10" s="750"/>
      <c r="X10" s="750"/>
      <c r="Y10" s="750"/>
      <c r="Z10" s="750"/>
      <c r="AA10" s="750"/>
      <c r="AB10" s="750"/>
      <c r="AC10" s="750"/>
      <c r="AD10" s="750"/>
    </row>
    <row r="11" spans="1:30" s="755" customFormat="1" ht="12" customHeight="1" outlineLevel="1">
      <c r="A11" s="753"/>
      <c r="B11" s="761" t="s">
        <v>895</v>
      </c>
      <c r="C11" s="758">
        <v>1217.4073717948718</v>
      </c>
      <c r="D11" s="759">
        <f>D5</f>
        <v>20</v>
      </c>
      <c r="E11" s="760">
        <f>E5</f>
        <v>1</v>
      </c>
      <c r="F11" s="762">
        <f t="shared" ref="F11:F18" si="2">C11*D11*E11</f>
        <v>24348.147435897437</v>
      </c>
      <c r="H11" s="761" t="s">
        <v>895</v>
      </c>
      <c r="I11" s="758">
        <v>781.31313131313129</v>
      </c>
      <c r="J11" s="759">
        <f>J5</f>
        <v>20</v>
      </c>
      <c r="K11" s="760">
        <f>K5</f>
        <v>1</v>
      </c>
      <c r="L11" s="762">
        <f t="shared" si="0"/>
        <v>15626.262626262625</v>
      </c>
      <c r="N11" s="761" t="s">
        <v>895</v>
      </c>
      <c r="O11" s="758">
        <v>890.07120315581858</v>
      </c>
      <c r="P11" s="759">
        <f>P5</f>
        <v>20</v>
      </c>
      <c r="Q11" s="760">
        <f>Q5</f>
        <v>1</v>
      </c>
      <c r="R11" s="762">
        <f t="shared" ref="R11:R18" si="3">O11*P11*Q11</f>
        <v>17801.42406311637</v>
      </c>
    </row>
    <row r="12" spans="1:30" s="755" customFormat="1" ht="12" customHeight="1" outlineLevel="1">
      <c r="A12" s="753"/>
      <c r="B12" s="761" t="s">
        <v>896</v>
      </c>
      <c r="C12" s="758">
        <v>1078.4733727810651</v>
      </c>
      <c r="D12" s="759">
        <f>D6+D7</f>
        <v>10</v>
      </c>
      <c r="E12" s="760">
        <f>E5+1</f>
        <v>2</v>
      </c>
      <c r="F12" s="762">
        <f>C12*D12*E12</f>
        <v>21569.467455621303</v>
      </c>
      <c r="H12" s="761" t="s">
        <v>896</v>
      </c>
      <c r="I12" s="758">
        <v>401.60606060606062</v>
      </c>
      <c r="J12" s="759">
        <f>J6+J7</f>
        <v>5</v>
      </c>
      <c r="K12" s="760">
        <f>K5+1</f>
        <v>2</v>
      </c>
      <c r="L12" s="762">
        <f t="shared" si="0"/>
        <v>4016.060606060606</v>
      </c>
      <c r="N12" s="761" t="s">
        <v>896</v>
      </c>
      <c r="O12" s="758">
        <v>876.44855595667866</v>
      </c>
      <c r="P12" s="759">
        <f>P6+P7</f>
        <v>5</v>
      </c>
      <c r="Q12" s="760">
        <f>Q5+1</f>
        <v>2</v>
      </c>
      <c r="R12" s="762">
        <f t="shared" si="3"/>
        <v>8764.4855595667868</v>
      </c>
    </row>
    <row r="13" spans="1:30" s="755" customFormat="1" ht="12" customHeight="1" outlineLevel="1">
      <c r="A13" s="753"/>
      <c r="B13" s="761" t="s">
        <v>897</v>
      </c>
      <c r="C13" s="758">
        <v>250.25</v>
      </c>
      <c r="D13" s="759">
        <f>D5</f>
        <v>20</v>
      </c>
      <c r="E13" s="760">
        <v>1</v>
      </c>
      <c r="F13" s="762">
        <f>C13*D13*E13</f>
        <v>5005</v>
      </c>
      <c r="H13" s="761" t="s">
        <v>897</v>
      </c>
      <c r="I13" s="758">
        <f>C13</f>
        <v>250.25</v>
      </c>
      <c r="J13" s="759">
        <f>J5</f>
        <v>20</v>
      </c>
      <c r="K13" s="760">
        <v>1</v>
      </c>
      <c r="L13" s="762">
        <f t="shared" si="0"/>
        <v>5005</v>
      </c>
      <c r="N13" s="761" t="s">
        <v>897</v>
      </c>
      <c r="O13" s="758">
        <f>C13</f>
        <v>250.25</v>
      </c>
      <c r="P13" s="759">
        <f>P5</f>
        <v>20</v>
      </c>
      <c r="Q13" s="760">
        <v>1</v>
      </c>
      <c r="R13" s="762">
        <f t="shared" si="3"/>
        <v>5005</v>
      </c>
    </row>
    <row r="14" spans="1:30" s="755" customFormat="1" ht="12" customHeight="1" outlineLevel="1">
      <c r="A14" s="753"/>
      <c r="B14" s="761" t="s">
        <v>898</v>
      </c>
      <c r="C14" s="758">
        <v>100</v>
      </c>
      <c r="D14" s="759">
        <f>D5</f>
        <v>20</v>
      </c>
      <c r="E14" s="760">
        <v>1</v>
      </c>
      <c r="F14" s="762">
        <f>C14*D14*E14</f>
        <v>2000</v>
      </c>
      <c r="H14" s="761" t="s">
        <v>898</v>
      </c>
      <c r="I14" s="758">
        <f>C14</f>
        <v>100</v>
      </c>
      <c r="J14" s="759">
        <f>J5</f>
        <v>20</v>
      </c>
      <c r="K14" s="760">
        <v>1</v>
      </c>
      <c r="L14" s="762">
        <f t="shared" si="0"/>
        <v>2000</v>
      </c>
      <c r="N14" s="761" t="s">
        <v>898</v>
      </c>
      <c r="O14" s="758">
        <f>C14</f>
        <v>100</v>
      </c>
      <c r="P14" s="759">
        <f>P5</f>
        <v>20</v>
      </c>
      <c r="Q14" s="760">
        <v>1</v>
      </c>
      <c r="R14" s="762">
        <f t="shared" si="3"/>
        <v>2000</v>
      </c>
    </row>
    <row r="15" spans="1:30" s="755" customFormat="1" ht="12" customHeight="1" outlineLevel="1">
      <c r="A15" s="753"/>
      <c r="B15" s="761" t="s">
        <v>899</v>
      </c>
      <c r="C15" s="758">
        <v>7836.3229752066118</v>
      </c>
      <c r="D15" s="759">
        <v>5</v>
      </c>
      <c r="E15" s="760">
        <f>E5+1</f>
        <v>2</v>
      </c>
      <c r="F15" s="762">
        <f t="shared" si="2"/>
        <v>78363.229752066123</v>
      </c>
      <c r="H15" s="761" t="s">
        <v>899</v>
      </c>
      <c r="I15" s="758">
        <v>5457.090909090909</v>
      </c>
      <c r="J15" s="759">
        <f>J6+J7</f>
        <v>5</v>
      </c>
      <c r="K15" s="760">
        <f>K5+1</f>
        <v>2</v>
      </c>
      <c r="L15" s="762">
        <f t="shared" si="0"/>
        <v>54570.909090909088</v>
      </c>
      <c r="N15" s="761" t="s">
        <v>899</v>
      </c>
      <c r="O15" s="758">
        <v>4389.911764705882</v>
      </c>
      <c r="P15" s="759">
        <f>P6+P7</f>
        <v>5</v>
      </c>
      <c r="Q15" s="760">
        <f>Q5+1</f>
        <v>2</v>
      </c>
      <c r="R15" s="762">
        <f t="shared" si="3"/>
        <v>43899.117647058818</v>
      </c>
    </row>
    <row r="16" spans="1:30" s="755" customFormat="1" ht="12" customHeight="1" outlineLevel="1">
      <c r="A16" s="753"/>
      <c r="B16" s="761" t="s">
        <v>900</v>
      </c>
      <c r="C16" s="758">
        <v>7900</v>
      </c>
      <c r="D16" s="759">
        <f>D6</f>
        <v>5</v>
      </c>
      <c r="E16" s="760">
        <v>1</v>
      </c>
      <c r="F16" s="762">
        <f>C16*D16*E16</f>
        <v>39500</v>
      </c>
      <c r="H16" s="761" t="s">
        <v>900</v>
      </c>
      <c r="I16" s="758">
        <v>8000</v>
      </c>
      <c r="J16" s="759">
        <v>2</v>
      </c>
      <c r="K16" s="760">
        <v>1</v>
      </c>
      <c r="L16" s="762">
        <f t="shared" si="0"/>
        <v>16000</v>
      </c>
      <c r="N16" s="761" t="s">
        <v>900</v>
      </c>
      <c r="O16" s="758">
        <v>0</v>
      </c>
      <c r="P16" s="759">
        <f>P6</f>
        <v>0</v>
      </c>
      <c r="Q16" s="760">
        <v>1</v>
      </c>
      <c r="R16" s="762">
        <f t="shared" si="3"/>
        <v>0</v>
      </c>
    </row>
    <row r="17" spans="1:18" s="755" customFormat="1" ht="12" customHeight="1" outlineLevel="1">
      <c r="A17" s="753"/>
      <c r="B17" s="761" t="s">
        <v>901</v>
      </c>
      <c r="C17" s="758">
        <v>2500</v>
      </c>
      <c r="D17" s="759">
        <f>D7</f>
        <v>5</v>
      </c>
      <c r="E17" s="760">
        <v>1</v>
      </c>
      <c r="F17" s="762">
        <f t="shared" si="2"/>
        <v>12500</v>
      </c>
      <c r="H17" s="761" t="s">
        <v>901</v>
      </c>
      <c r="I17" s="758">
        <v>2000</v>
      </c>
      <c r="J17" s="759">
        <f>J7</f>
        <v>5</v>
      </c>
      <c r="K17" s="760">
        <v>1</v>
      </c>
      <c r="L17" s="762">
        <f t="shared" si="0"/>
        <v>10000</v>
      </c>
      <c r="N17" s="761" t="s">
        <v>901</v>
      </c>
      <c r="O17" s="758">
        <v>8000</v>
      </c>
      <c r="P17" s="759">
        <f>P7</f>
        <v>5</v>
      </c>
      <c r="Q17" s="760">
        <v>1</v>
      </c>
      <c r="R17" s="762">
        <f t="shared" si="3"/>
        <v>40000</v>
      </c>
    </row>
    <row r="18" spans="1:18" s="755" customFormat="1" ht="12" customHeight="1" outlineLevel="1">
      <c r="A18" s="753"/>
      <c r="B18" s="761" t="s">
        <v>902</v>
      </c>
      <c r="C18" s="758">
        <v>600</v>
      </c>
      <c r="D18" s="759">
        <f>D6+D7</f>
        <v>10</v>
      </c>
      <c r="E18" s="760">
        <f>E5+1</f>
        <v>2</v>
      </c>
      <c r="F18" s="762">
        <f t="shared" si="2"/>
        <v>12000</v>
      </c>
      <c r="H18" s="761" t="s">
        <v>902</v>
      </c>
      <c r="I18" s="758">
        <v>0</v>
      </c>
      <c r="J18" s="759">
        <f>J6+J7</f>
        <v>5</v>
      </c>
      <c r="K18" s="760">
        <f>K5+1</f>
        <v>2</v>
      </c>
      <c r="L18" s="762">
        <f t="shared" si="0"/>
        <v>0</v>
      </c>
      <c r="N18" s="761" t="s">
        <v>902</v>
      </c>
      <c r="O18" s="758">
        <v>0</v>
      </c>
      <c r="P18" s="759">
        <f>P6+P7</f>
        <v>5</v>
      </c>
      <c r="Q18" s="760">
        <f>Q5+1</f>
        <v>2</v>
      </c>
      <c r="R18" s="762">
        <f t="shared" si="3"/>
        <v>0</v>
      </c>
    </row>
    <row r="19" spans="1:18" s="755" customFormat="1" ht="10.199999999999999" outlineLevel="1">
      <c r="A19" s="753"/>
      <c r="B19" s="763" t="s">
        <v>903</v>
      </c>
      <c r="C19" s="764"/>
      <c r="D19" s="765"/>
      <c r="E19" s="766"/>
      <c r="F19" s="767">
        <f>SUM(F8:F18)</f>
        <v>230322.68289495097</v>
      </c>
      <c r="H19" s="763" t="s">
        <v>903</v>
      </c>
      <c r="I19" s="764"/>
      <c r="J19" s="765"/>
      <c r="K19" s="766"/>
      <c r="L19" s="767">
        <f>SUM(L8:L18)</f>
        <v>131093.5808946609</v>
      </c>
      <c r="N19" s="763" t="s">
        <v>903</v>
      </c>
      <c r="O19" s="764"/>
      <c r="P19" s="765"/>
      <c r="Q19" s="766"/>
      <c r="R19" s="767">
        <f>SUM(R8:R18)</f>
        <v>156594.47992322792</v>
      </c>
    </row>
    <row r="20" spans="1:18" s="755" customFormat="1" ht="30.75" customHeight="1" outlineLevel="1">
      <c r="A20" s="753"/>
      <c r="B20" s="768" t="s">
        <v>904</v>
      </c>
      <c r="C20" s="769"/>
      <c r="D20" s="769"/>
      <c r="E20" s="769"/>
      <c r="F20" s="770">
        <f>F19/D5</f>
        <v>11516.134144747548</v>
      </c>
      <c r="H20" s="768" t="s">
        <v>904</v>
      </c>
      <c r="I20" s="769"/>
      <c r="J20" s="769"/>
      <c r="K20" s="769"/>
      <c r="L20" s="770">
        <f>L19/J5</f>
        <v>6554.679044733045</v>
      </c>
      <c r="N20" s="768" t="s">
        <v>904</v>
      </c>
      <c r="O20" s="769"/>
      <c r="P20" s="769"/>
      <c r="Q20" s="769"/>
      <c r="R20" s="770">
        <f>R19/P5</f>
        <v>7829.7239961613959</v>
      </c>
    </row>
    <row r="21" spans="1:18" s="755" customFormat="1" ht="10.199999999999999" outlineLevel="1">
      <c r="A21" s="753"/>
      <c r="F21" s="771"/>
    </row>
    <row r="22" spans="1:18" s="755" customFormat="1" ht="13.8">
      <c r="A22" s="753"/>
      <c r="H22" s="772" t="s">
        <v>905</v>
      </c>
      <c r="I22" s="773" t="s">
        <v>906</v>
      </c>
    </row>
    <row r="23" spans="1:18" s="755" customFormat="1" ht="13.8">
      <c r="A23" s="753"/>
      <c r="H23" s="772"/>
      <c r="I23" s="773"/>
    </row>
    <row r="24" spans="1:18" s="755" customFormat="1" ht="15.6">
      <c r="A24" s="753"/>
      <c r="B24" s="774" t="s">
        <v>908</v>
      </c>
      <c r="C24" s="774"/>
      <c r="D24" s="774"/>
      <c r="E24" s="774"/>
      <c r="F24" s="775">
        <f>F20</f>
        <v>11516.134144747548</v>
      </c>
      <c r="H24" s="776">
        <v>83.420424999999994</v>
      </c>
      <c r="I24" s="777">
        <f>F24/H24</f>
        <v>138.04933437761255</v>
      </c>
      <c r="K24" s="771"/>
      <c r="L24" s="771"/>
    </row>
    <row r="25" spans="1:18" s="755" customFormat="1" ht="15.6">
      <c r="A25" s="753"/>
      <c r="B25" s="774" t="s">
        <v>907</v>
      </c>
      <c r="C25" s="774"/>
      <c r="D25" s="774"/>
      <c r="E25" s="774"/>
      <c r="F25" s="778">
        <f>(L20+R20)/2</f>
        <v>7192.2015204472209</v>
      </c>
      <c r="H25" s="776">
        <v>83.420424999999994</v>
      </c>
      <c r="I25" s="777">
        <f>F25/H25</f>
        <v>86.216313576048321</v>
      </c>
      <c r="K25" s="771"/>
      <c r="L25" s="771"/>
      <c r="M25" s="771"/>
    </row>
    <row r="26" spans="1:18" ht="16.2">
      <c r="B26" s="774" t="s">
        <v>909</v>
      </c>
      <c r="F26" s="780">
        <f>F43</f>
        <v>10166.134144747548</v>
      </c>
      <c r="I26" s="777">
        <f>F26/H25</f>
        <v>121.86624732189448</v>
      </c>
    </row>
    <row r="27" spans="1:18" ht="30.6">
      <c r="B27" s="756" t="s">
        <v>884</v>
      </c>
      <c r="C27" s="756" t="s">
        <v>885</v>
      </c>
      <c r="D27" s="756" t="s">
        <v>886</v>
      </c>
      <c r="E27" s="756" t="s">
        <v>477</v>
      </c>
      <c r="F27" s="756" t="s">
        <v>752</v>
      </c>
      <c r="I27" s="779"/>
    </row>
    <row r="28" spans="1:18">
      <c r="B28" s="757" t="s">
        <v>886</v>
      </c>
      <c r="C28" s="758"/>
      <c r="D28" s="759">
        <v>20</v>
      </c>
      <c r="E28" s="760">
        <v>1</v>
      </c>
      <c r="F28" s="757"/>
    </row>
    <row r="29" spans="1:18">
      <c r="B29" s="761" t="s">
        <v>889</v>
      </c>
      <c r="C29" s="758"/>
      <c r="D29" s="759">
        <v>0</v>
      </c>
      <c r="E29" s="760"/>
      <c r="F29" s="757"/>
    </row>
    <row r="30" spans="1:18">
      <c r="B30" s="761" t="s">
        <v>890</v>
      </c>
      <c r="C30" s="758"/>
      <c r="D30" s="759">
        <v>10</v>
      </c>
      <c r="E30" s="760"/>
      <c r="F30" s="757"/>
    </row>
    <row r="31" spans="1:18">
      <c r="B31" s="757" t="s">
        <v>892</v>
      </c>
      <c r="C31" s="758">
        <v>15693.333333333334</v>
      </c>
      <c r="D31" s="759">
        <v>1</v>
      </c>
      <c r="E31" s="760">
        <f>E28</f>
        <v>1</v>
      </c>
      <c r="F31" s="762">
        <f>C31*D31*E31</f>
        <v>15693.333333333334</v>
      </c>
    </row>
    <row r="32" spans="1:18">
      <c r="B32" s="761" t="s">
        <v>893</v>
      </c>
      <c r="C32" s="758">
        <v>466.08762295081971</v>
      </c>
      <c r="D32" s="759">
        <f>2*D28</f>
        <v>40</v>
      </c>
      <c r="E32" s="760">
        <f>E28</f>
        <v>1</v>
      </c>
      <c r="F32" s="762">
        <f>C32*D32*E32</f>
        <v>18643.504918032788</v>
      </c>
    </row>
    <row r="33" spans="2:6">
      <c r="B33" s="761" t="s">
        <v>894</v>
      </c>
      <c r="C33" s="758">
        <v>35</v>
      </c>
      <c r="D33" s="759">
        <f>D28</f>
        <v>20</v>
      </c>
      <c r="E33" s="760">
        <f>E28</f>
        <v>1</v>
      </c>
      <c r="F33" s="762">
        <f>C33*D33*E33</f>
        <v>700</v>
      </c>
    </row>
    <row r="34" spans="2:6">
      <c r="B34" s="761" t="s">
        <v>895</v>
      </c>
      <c r="C34" s="758">
        <v>1217.4073717948718</v>
      </c>
      <c r="D34" s="759">
        <f>D28</f>
        <v>20</v>
      </c>
      <c r="E34" s="760">
        <f>E28</f>
        <v>1</v>
      </c>
      <c r="F34" s="762">
        <f t="shared" ref="F34" si="4">C34*D34*E34</f>
        <v>24348.147435897437</v>
      </c>
    </row>
    <row r="35" spans="2:6">
      <c r="B35" s="761" t="s">
        <v>896</v>
      </c>
      <c r="C35" s="758">
        <v>1078.4733727810651</v>
      </c>
      <c r="D35" s="759">
        <f>D29+D30</f>
        <v>10</v>
      </c>
      <c r="E35" s="760">
        <f>E28+1</f>
        <v>2</v>
      </c>
      <c r="F35" s="762">
        <f>C35*D35*E35</f>
        <v>21569.467455621303</v>
      </c>
    </row>
    <row r="36" spans="2:6">
      <c r="B36" s="761" t="s">
        <v>897</v>
      </c>
      <c r="C36" s="758">
        <v>250.25</v>
      </c>
      <c r="D36" s="759">
        <f>D28</f>
        <v>20</v>
      </c>
      <c r="E36" s="760">
        <v>1</v>
      </c>
      <c r="F36" s="762">
        <f>C36*D36*E36</f>
        <v>5005</v>
      </c>
    </row>
    <row r="37" spans="2:6">
      <c r="B37" s="761" t="s">
        <v>898</v>
      </c>
      <c r="C37" s="758">
        <v>100</v>
      </c>
      <c r="D37" s="759">
        <f>D28</f>
        <v>20</v>
      </c>
      <c r="E37" s="760">
        <v>1</v>
      </c>
      <c r="F37" s="762">
        <f>C37*D37*E37</f>
        <v>2000</v>
      </c>
    </row>
    <row r="38" spans="2:6">
      <c r="B38" s="761" t="s">
        <v>899</v>
      </c>
      <c r="C38" s="758">
        <v>7836.3229752066118</v>
      </c>
      <c r="D38" s="759">
        <v>5</v>
      </c>
      <c r="E38" s="760">
        <f>E28+1</f>
        <v>2</v>
      </c>
      <c r="F38" s="762">
        <f t="shared" ref="F38" si="5">C38*D38*E38</f>
        <v>78363.229752066123</v>
      </c>
    </row>
    <row r="39" spans="2:6">
      <c r="B39" s="761" t="s">
        <v>900</v>
      </c>
      <c r="C39" s="758">
        <v>7900</v>
      </c>
      <c r="D39" s="759">
        <f>D29</f>
        <v>0</v>
      </c>
      <c r="E39" s="760">
        <v>1</v>
      </c>
      <c r="F39" s="762">
        <f>C39*D39*E39</f>
        <v>0</v>
      </c>
    </row>
    <row r="40" spans="2:6">
      <c r="B40" s="761" t="s">
        <v>901</v>
      </c>
      <c r="C40" s="758">
        <v>2500</v>
      </c>
      <c r="D40" s="759">
        <f>D30</f>
        <v>10</v>
      </c>
      <c r="E40" s="760">
        <v>1</v>
      </c>
      <c r="F40" s="762">
        <f t="shared" ref="F40:F41" si="6">C40*D40*E40</f>
        <v>25000</v>
      </c>
    </row>
    <row r="41" spans="2:6">
      <c r="B41" s="761" t="s">
        <v>902</v>
      </c>
      <c r="C41" s="758">
        <v>600</v>
      </c>
      <c r="D41" s="759">
        <f>D29+D30</f>
        <v>10</v>
      </c>
      <c r="E41" s="760">
        <f>E28+1</f>
        <v>2</v>
      </c>
      <c r="F41" s="762">
        <f t="shared" si="6"/>
        <v>12000</v>
      </c>
    </row>
    <row r="42" spans="2:6">
      <c r="B42" s="763" t="s">
        <v>903</v>
      </c>
      <c r="C42" s="764"/>
      <c r="D42" s="765"/>
      <c r="E42" s="766"/>
      <c r="F42" s="767">
        <f>SUM(F31:F41)</f>
        <v>203322.68289495097</v>
      </c>
    </row>
    <row r="43" spans="2:6">
      <c r="B43" s="768" t="s">
        <v>904</v>
      </c>
      <c r="C43" s="769"/>
      <c r="D43" s="769"/>
      <c r="E43" s="769"/>
      <c r="F43" s="770">
        <f>F42/D28</f>
        <v>10166.134144747548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3"/>
  <sheetViews>
    <sheetView topLeftCell="A22" zoomScale="55" zoomScaleNormal="55" workbookViewId="0">
      <selection activeCell="J12" sqref="J12"/>
    </sheetView>
  </sheetViews>
  <sheetFormatPr defaultColWidth="14.44140625" defaultRowHeight="15" customHeight="1"/>
  <cols>
    <col min="1" max="1" width="9.33203125" customWidth="1"/>
    <col min="2" max="2" width="95.5546875" customWidth="1"/>
    <col min="3" max="3" width="77.88671875" customWidth="1"/>
    <col min="4" max="6" width="21.109375" customWidth="1"/>
    <col min="7" max="26" width="8.6640625" customWidth="1"/>
  </cols>
  <sheetData>
    <row r="1" spans="1:26" ht="67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>
      <c r="A2" s="866" t="s">
        <v>6</v>
      </c>
      <c r="B2" s="638" t="s">
        <v>7</v>
      </c>
      <c r="C2" s="639"/>
      <c r="D2" s="4"/>
      <c r="E2" s="638"/>
      <c r="F2" s="4">
        <f>SUM(F3:F7)</f>
        <v>112200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04.25" customHeight="1">
      <c r="A3" s="867"/>
      <c r="B3" s="640" t="s">
        <v>452</v>
      </c>
      <c r="C3" s="641" t="s">
        <v>910</v>
      </c>
      <c r="D3" s="6"/>
      <c r="E3" s="642"/>
      <c r="F3" s="6">
        <v>41700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11" customHeight="1">
      <c r="A4" s="867"/>
      <c r="B4" s="640" t="s">
        <v>8</v>
      </c>
      <c r="C4" s="643" t="s">
        <v>911</v>
      </c>
      <c r="D4" s="6"/>
      <c r="E4" s="642"/>
      <c r="F4" s="6">
        <v>8900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01.4" customHeight="1">
      <c r="A5" s="867"/>
      <c r="B5" s="640" t="s">
        <v>9</v>
      </c>
      <c r="C5" s="641" t="s">
        <v>840</v>
      </c>
      <c r="D5" s="6"/>
      <c r="E5" s="642"/>
      <c r="F5" s="6">
        <v>8400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72.75" customHeight="1">
      <c r="A6" s="867"/>
      <c r="B6" s="640" t="s">
        <v>841</v>
      </c>
      <c r="C6" s="643" t="s">
        <v>912</v>
      </c>
      <c r="D6" s="6"/>
      <c r="E6" s="642"/>
      <c r="F6" s="6">
        <v>17200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18.5" customHeight="1">
      <c r="A7" s="868"/>
      <c r="B7" s="640" t="s">
        <v>10</v>
      </c>
      <c r="C7" s="643" t="s">
        <v>913</v>
      </c>
      <c r="D7" s="6"/>
      <c r="E7" s="642"/>
      <c r="F7" s="6">
        <v>36000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s="188" customFormat="1" ht="30.6" customHeight="1">
      <c r="A8" s="644"/>
      <c r="B8" s="643" t="s">
        <v>37</v>
      </c>
      <c r="C8" s="645" t="s">
        <v>38</v>
      </c>
      <c r="D8" s="6"/>
      <c r="E8" s="642"/>
      <c r="F8" s="6">
        <v>8000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s="188" customFormat="1" ht="39.6" customHeight="1">
      <c r="A9" s="644"/>
      <c r="B9" s="643" t="s">
        <v>39</v>
      </c>
      <c r="C9" s="645" t="s">
        <v>40</v>
      </c>
      <c r="D9" s="6"/>
      <c r="E9" s="642"/>
      <c r="F9" s="6">
        <v>3000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s="188" customFormat="1" ht="35.4" customHeight="1">
      <c r="A10" s="644"/>
      <c r="B10" s="643" t="s">
        <v>41</v>
      </c>
      <c r="C10" s="643" t="s">
        <v>42</v>
      </c>
      <c r="D10" s="6"/>
      <c r="E10" s="642"/>
      <c r="F10" s="6">
        <v>10000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s="188" customFormat="1" ht="70.2" customHeight="1">
      <c r="A11" s="644"/>
      <c r="B11" s="643" t="s">
        <v>43</v>
      </c>
      <c r="C11" s="643" t="s">
        <v>44</v>
      </c>
      <c r="D11" s="6"/>
      <c r="E11" s="642"/>
      <c r="F11" s="6">
        <v>9200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s="188" customFormat="1" ht="52.95" customHeight="1">
      <c r="A12" s="644"/>
      <c r="B12" s="643" t="s">
        <v>842</v>
      </c>
      <c r="C12" s="643" t="s">
        <v>843</v>
      </c>
      <c r="D12" s="18"/>
      <c r="E12" s="18"/>
      <c r="F12" s="6">
        <v>21800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>
      <c r="A13" s="9" t="s">
        <v>11</v>
      </c>
      <c r="B13" s="869" t="s">
        <v>12</v>
      </c>
      <c r="C13" s="870"/>
      <c r="D13" s="10"/>
      <c r="E13" s="10"/>
      <c r="F13" s="11">
        <f>SUM(F15:F30)</f>
        <v>226200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4">
      <c r="A14" s="12"/>
      <c r="B14" s="13" t="s">
        <v>13</v>
      </c>
      <c r="C14" s="6"/>
      <c r="D14" s="6"/>
      <c r="E14" s="642"/>
      <c r="F14" s="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44.4" customHeight="1">
      <c r="A15" s="12"/>
      <c r="B15" s="217" t="s">
        <v>14</v>
      </c>
      <c r="C15" s="8" t="s">
        <v>914</v>
      </c>
      <c r="D15" s="6"/>
      <c r="E15" s="642"/>
      <c r="F15" s="6">
        <v>8400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45" customHeight="1">
      <c r="A16" s="12"/>
      <c r="B16" s="218" t="s">
        <v>15</v>
      </c>
      <c r="C16" s="8" t="s">
        <v>16</v>
      </c>
      <c r="D16" s="6"/>
      <c r="E16" s="642"/>
      <c r="F16" s="6">
        <v>21000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1.75" customHeight="1">
      <c r="A17" s="12"/>
      <c r="B17" s="14" t="s">
        <v>17</v>
      </c>
      <c r="C17" s="8"/>
      <c r="D17" s="6"/>
      <c r="E17" s="642"/>
      <c r="F17" s="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33" customHeight="1">
      <c r="A18" s="12"/>
      <c r="B18" s="217" t="s">
        <v>18</v>
      </c>
      <c r="C18" s="8" t="s">
        <v>19</v>
      </c>
      <c r="D18" s="6"/>
      <c r="E18" s="642"/>
      <c r="F18" s="6">
        <v>3000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60" customHeight="1">
      <c r="A19" s="12"/>
      <c r="B19" s="8" t="s">
        <v>20</v>
      </c>
      <c r="C19" s="8" t="s">
        <v>21</v>
      </c>
      <c r="D19" s="6"/>
      <c r="E19" s="642"/>
      <c r="F19" s="6">
        <v>18000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4.5" customHeight="1">
      <c r="A20" s="12"/>
      <c r="B20" s="217" t="s">
        <v>22</v>
      </c>
      <c r="C20" s="8" t="s">
        <v>23</v>
      </c>
      <c r="D20" s="6"/>
      <c r="E20" s="642"/>
      <c r="F20" s="6">
        <v>6000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30.75" customHeight="1">
      <c r="A21" s="12"/>
      <c r="B21" s="218" t="s">
        <v>24</v>
      </c>
      <c r="C21" s="8" t="s">
        <v>25</v>
      </c>
      <c r="D21" s="6"/>
      <c r="E21" s="642"/>
      <c r="F21" s="6">
        <v>3000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44.25" customHeight="1">
      <c r="A22" s="12"/>
      <c r="B22" s="218" t="s">
        <v>26</v>
      </c>
      <c r="C22" s="8" t="s">
        <v>19</v>
      </c>
      <c r="D22" s="6"/>
      <c r="E22" s="642"/>
      <c r="F22" s="6">
        <v>3000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7.5" customHeight="1">
      <c r="A23" s="12"/>
      <c r="B23" s="8" t="s">
        <v>27</v>
      </c>
      <c r="C23" s="8" t="s">
        <v>28</v>
      </c>
      <c r="D23" s="6"/>
      <c r="E23" s="642"/>
      <c r="F23" s="6">
        <v>30000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7.5" customHeight="1">
      <c r="A24" s="15"/>
      <c r="B24" s="8" t="s">
        <v>29</v>
      </c>
      <c r="C24" s="8" t="s">
        <v>915</v>
      </c>
      <c r="D24" s="6"/>
      <c r="E24" s="642"/>
      <c r="F24" s="6">
        <v>10000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1.75" customHeight="1">
      <c r="A25" s="16"/>
      <c r="B25" s="17" t="s">
        <v>30</v>
      </c>
      <c r="C25" s="8"/>
      <c r="D25" s="6"/>
      <c r="E25" s="642"/>
      <c r="F25" s="6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30.75" customHeight="1">
      <c r="A26" s="16"/>
      <c r="B26" s="8" t="s">
        <v>31</v>
      </c>
      <c r="C26" s="8" t="s">
        <v>32</v>
      </c>
      <c r="D26" s="6"/>
      <c r="E26" s="642"/>
      <c r="F26" s="6">
        <v>36000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84.75" customHeight="1">
      <c r="A27" s="16"/>
      <c r="B27" s="8" t="s">
        <v>33</v>
      </c>
      <c r="C27" s="8" t="s">
        <v>916</v>
      </c>
      <c r="D27" s="6"/>
      <c r="E27" s="642"/>
      <c r="F27" s="6">
        <v>16400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51" customHeight="1">
      <c r="A28" s="16"/>
      <c r="B28" s="8" t="s">
        <v>34</v>
      </c>
      <c r="C28" s="8" t="s">
        <v>35</v>
      </c>
      <c r="D28" s="6"/>
      <c r="E28" s="642"/>
      <c r="F28" s="6">
        <v>36000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33.75" customHeight="1">
      <c r="A29" s="16"/>
      <c r="B29" s="8" t="s">
        <v>36</v>
      </c>
      <c r="C29" s="8" t="s">
        <v>917</v>
      </c>
      <c r="D29" s="6"/>
      <c r="E29" s="642"/>
      <c r="F29" s="6">
        <v>30000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39" customHeight="1">
      <c r="A30" s="16"/>
      <c r="B30" s="8" t="s">
        <v>47</v>
      </c>
      <c r="C30" s="8" t="s">
        <v>48</v>
      </c>
      <c r="D30" s="6"/>
      <c r="E30" s="642"/>
      <c r="F30" s="6">
        <v>5400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>
      <c r="A31" s="21"/>
      <c r="B31" s="22"/>
      <c r="C31" s="22"/>
      <c r="D31" s="22"/>
      <c r="E31" s="22"/>
      <c r="F31" s="22"/>
    </row>
    <row r="32" spans="1:26" ht="15.75" customHeight="1">
      <c r="A32" s="21"/>
      <c r="B32" s="22"/>
      <c r="C32" s="22"/>
      <c r="D32" s="22"/>
      <c r="E32" s="22"/>
      <c r="F32" s="22"/>
    </row>
    <row r="33" spans="1:6" ht="15.75" customHeight="1">
      <c r="A33" s="21"/>
      <c r="B33" s="22"/>
      <c r="C33" s="22"/>
      <c r="D33" s="22"/>
      <c r="E33" s="22"/>
      <c r="F33" s="22"/>
    </row>
    <row r="34" spans="1:6" ht="15.75" customHeight="1">
      <c r="A34" s="21"/>
      <c r="B34" s="22"/>
      <c r="C34" s="22"/>
      <c r="D34" s="22"/>
      <c r="E34" s="22"/>
      <c r="F34" s="22"/>
    </row>
    <row r="35" spans="1:6" ht="15.75" customHeight="1">
      <c r="A35" s="21"/>
      <c r="B35" s="22"/>
      <c r="C35" s="22"/>
      <c r="D35" s="22"/>
      <c r="E35" s="22"/>
      <c r="F35" s="22"/>
    </row>
    <row r="36" spans="1:6" ht="15.75" customHeight="1">
      <c r="A36" s="21"/>
      <c r="B36" s="22"/>
      <c r="C36" s="22"/>
      <c r="D36" s="22"/>
      <c r="E36" s="22"/>
      <c r="F36" s="22"/>
    </row>
    <row r="37" spans="1:6" ht="15.75" customHeight="1">
      <c r="A37" s="21"/>
      <c r="B37" s="22"/>
      <c r="C37" s="22"/>
      <c r="D37" s="22"/>
      <c r="E37" s="22"/>
      <c r="F37" s="22"/>
    </row>
    <row r="38" spans="1:6" ht="15.75" customHeight="1">
      <c r="A38" s="21"/>
      <c r="B38" s="22"/>
      <c r="C38" s="22"/>
      <c r="D38" s="22"/>
      <c r="E38" s="22"/>
      <c r="F38" s="22"/>
    </row>
    <row r="39" spans="1:6" ht="15.75" customHeight="1">
      <c r="A39" s="21"/>
      <c r="B39" s="22"/>
      <c r="C39" s="22"/>
      <c r="D39" s="22"/>
      <c r="E39" s="22"/>
      <c r="F39" s="22"/>
    </row>
    <row r="40" spans="1:6" ht="15.75" customHeight="1">
      <c r="A40" s="21"/>
      <c r="B40" s="22"/>
      <c r="C40" s="22"/>
      <c r="D40" s="22"/>
      <c r="E40" s="22"/>
      <c r="F40" s="22"/>
    </row>
    <row r="41" spans="1:6" ht="15.75" customHeight="1">
      <c r="A41" s="21"/>
      <c r="B41" s="22"/>
      <c r="C41" s="22"/>
      <c r="D41" s="22"/>
      <c r="E41" s="22"/>
      <c r="F41" s="22"/>
    </row>
    <row r="42" spans="1:6" ht="15.75" customHeight="1">
      <c r="A42" s="21"/>
      <c r="B42" s="22"/>
      <c r="C42" s="22"/>
      <c r="D42" s="22"/>
      <c r="E42" s="22"/>
      <c r="F42" s="22"/>
    </row>
    <row r="43" spans="1:6" ht="15.75" customHeight="1">
      <c r="A43" s="21"/>
      <c r="B43" s="22"/>
      <c r="C43" s="22"/>
      <c r="D43" s="22"/>
      <c r="E43" s="22"/>
      <c r="F43" s="22"/>
    </row>
    <row r="44" spans="1:6" ht="15.75" customHeight="1">
      <c r="A44" s="21"/>
      <c r="B44" s="22"/>
      <c r="C44" s="22"/>
      <c r="D44" s="22"/>
      <c r="E44" s="22"/>
      <c r="F44" s="22"/>
    </row>
    <row r="45" spans="1:6" ht="15.75" customHeight="1">
      <c r="A45" s="21"/>
      <c r="B45" s="22"/>
      <c r="C45" s="22"/>
      <c r="D45" s="22"/>
      <c r="E45" s="22"/>
      <c r="F45" s="22"/>
    </row>
    <row r="46" spans="1:6" ht="15.75" customHeight="1">
      <c r="A46" s="21"/>
      <c r="B46" s="22"/>
      <c r="C46" s="22"/>
      <c r="D46" s="22"/>
      <c r="E46" s="22"/>
      <c r="F46" s="22"/>
    </row>
    <row r="47" spans="1:6" ht="15.75" customHeight="1">
      <c r="A47" s="21"/>
      <c r="B47" s="22"/>
      <c r="C47" s="22"/>
      <c r="D47" s="22"/>
      <c r="E47" s="22"/>
      <c r="F47" s="22"/>
    </row>
    <row r="48" spans="1:6" ht="15.75" customHeight="1">
      <c r="A48" s="21"/>
      <c r="B48" s="22"/>
      <c r="C48" s="22"/>
      <c r="D48" s="22"/>
      <c r="E48" s="22"/>
      <c r="F48" s="22"/>
    </row>
    <row r="49" spans="1:6" ht="15.75" customHeight="1">
      <c r="A49" s="21"/>
      <c r="B49" s="22"/>
      <c r="C49" s="22"/>
      <c r="D49" s="22"/>
      <c r="E49" s="22"/>
      <c r="F49" s="22"/>
    </row>
    <row r="50" spans="1:6" ht="15.75" customHeight="1">
      <c r="A50" s="21"/>
      <c r="B50" s="22"/>
      <c r="C50" s="22"/>
      <c r="D50" s="22"/>
      <c r="E50" s="22"/>
      <c r="F50" s="22"/>
    </row>
    <row r="51" spans="1:6" ht="15.75" customHeight="1">
      <c r="A51" s="21"/>
      <c r="B51" s="22"/>
      <c r="C51" s="22"/>
      <c r="D51" s="22"/>
      <c r="E51" s="22"/>
      <c r="F51" s="22"/>
    </row>
    <row r="52" spans="1:6" ht="15.75" customHeight="1">
      <c r="A52" s="21"/>
      <c r="B52" s="22"/>
      <c r="C52" s="22"/>
      <c r="D52" s="22"/>
      <c r="E52" s="22"/>
      <c r="F52" s="22"/>
    </row>
    <row r="53" spans="1:6" ht="15.75" customHeight="1">
      <c r="A53" s="21"/>
      <c r="B53" s="22"/>
      <c r="C53" s="22"/>
      <c r="D53" s="22"/>
      <c r="E53" s="22"/>
      <c r="F53" s="22"/>
    </row>
    <row r="54" spans="1:6" ht="15.75" customHeight="1">
      <c r="A54" s="21"/>
      <c r="B54" s="22"/>
      <c r="C54" s="22"/>
      <c r="D54" s="22"/>
      <c r="E54" s="22"/>
      <c r="F54" s="22"/>
    </row>
    <row r="55" spans="1:6" ht="15.75" customHeight="1">
      <c r="A55" s="21"/>
      <c r="B55" s="22"/>
      <c r="C55" s="22"/>
      <c r="D55" s="22"/>
      <c r="E55" s="22"/>
      <c r="F55" s="22"/>
    </row>
    <row r="56" spans="1:6" ht="15.75" customHeight="1">
      <c r="A56" s="21"/>
      <c r="B56" s="22"/>
      <c r="C56" s="22"/>
      <c r="D56" s="22"/>
      <c r="E56" s="22"/>
      <c r="F56" s="22"/>
    </row>
    <row r="57" spans="1:6" ht="15.75" customHeight="1">
      <c r="A57" s="21"/>
      <c r="B57" s="22"/>
      <c r="C57" s="22"/>
      <c r="D57" s="22"/>
      <c r="E57" s="22"/>
      <c r="F57" s="22"/>
    </row>
    <row r="58" spans="1:6" ht="15.75" customHeight="1">
      <c r="A58" s="21"/>
      <c r="B58" s="22"/>
      <c r="C58" s="22"/>
      <c r="D58" s="22"/>
      <c r="E58" s="22"/>
      <c r="F58" s="22"/>
    </row>
    <row r="59" spans="1:6" ht="15.75" customHeight="1">
      <c r="A59" s="21"/>
      <c r="B59" s="22"/>
      <c r="C59" s="22"/>
      <c r="D59" s="22"/>
      <c r="E59" s="22"/>
      <c r="F59" s="22"/>
    </row>
    <row r="60" spans="1:6" ht="15.75" customHeight="1">
      <c r="A60" s="21"/>
      <c r="B60" s="22"/>
      <c r="C60" s="22"/>
      <c r="D60" s="22"/>
      <c r="E60" s="22"/>
      <c r="F60" s="22"/>
    </row>
    <row r="61" spans="1:6" ht="15.75" customHeight="1">
      <c r="A61" s="21"/>
      <c r="B61" s="22"/>
      <c r="C61" s="22"/>
      <c r="D61" s="22"/>
      <c r="E61" s="22"/>
      <c r="F61" s="22"/>
    </row>
    <row r="62" spans="1:6" ht="15.75" customHeight="1">
      <c r="A62" s="21"/>
      <c r="B62" s="22"/>
      <c r="C62" s="22"/>
      <c r="D62" s="22"/>
      <c r="E62" s="22"/>
      <c r="F62" s="22"/>
    </row>
    <row r="63" spans="1:6" ht="15.75" customHeight="1">
      <c r="A63" s="21"/>
      <c r="B63" s="22"/>
      <c r="C63" s="22"/>
      <c r="D63" s="22"/>
      <c r="E63" s="22"/>
      <c r="F63" s="22"/>
    </row>
    <row r="64" spans="1:6" ht="15.75" customHeight="1">
      <c r="A64" s="21"/>
      <c r="B64" s="22"/>
      <c r="C64" s="22"/>
      <c r="D64" s="22"/>
      <c r="E64" s="22"/>
      <c r="F64" s="22"/>
    </row>
    <row r="65" spans="1:6" ht="15.75" customHeight="1">
      <c r="A65" s="21"/>
      <c r="B65" s="22"/>
      <c r="C65" s="22"/>
      <c r="D65" s="22"/>
      <c r="E65" s="22"/>
      <c r="F65" s="22"/>
    </row>
    <row r="66" spans="1:6" ht="15.75" customHeight="1">
      <c r="A66" s="21"/>
      <c r="B66" s="22"/>
      <c r="C66" s="22"/>
      <c r="D66" s="22"/>
      <c r="E66" s="22"/>
      <c r="F66" s="22"/>
    </row>
    <row r="67" spans="1:6" ht="15.75" customHeight="1">
      <c r="A67" s="21"/>
      <c r="B67" s="22"/>
      <c r="C67" s="22"/>
      <c r="D67" s="22"/>
      <c r="E67" s="22"/>
      <c r="F67" s="22"/>
    </row>
    <row r="68" spans="1:6" ht="15.75" customHeight="1">
      <c r="A68" s="21"/>
      <c r="B68" s="22"/>
      <c r="C68" s="22"/>
      <c r="D68" s="22"/>
      <c r="E68" s="22"/>
      <c r="F68" s="22"/>
    </row>
    <row r="69" spans="1:6" ht="15.75" customHeight="1">
      <c r="A69" s="21"/>
      <c r="B69" s="22"/>
      <c r="C69" s="22"/>
      <c r="D69" s="22"/>
      <c r="E69" s="22"/>
      <c r="F69" s="22"/>
    </row>
    <row r="70" spans="1:6" ht="15.75" customHeight="1">
      <c r="A70" s="21"/>
      <c r="B70" s="22"/>
      <c r="C70" s="22"/>
      <c r="D70" s="22"/>
      <c r="E70" s="22"/>
      <c r="F70" s="22"/>
    </row>
    <row r="71" spans="1:6" ht="15.75" customHeight="1">
      <c r="A71" s="21"/>
      <c r="B71" s="22"/>
      <c r="C71" s="22"/>
      <c r="D71" s="22"/>
      <c r="E71" s="22"/>
      <c r="F71" s="22"/>
    </row>
    <row r="72" spans="1:6" ht="15.75" customHeight="1">
      <c r="A72" s="21"/>
      <c r="B72" s="22"/>
      <c r="C72" s="22"/>
      <c r="D72" s="22"/>
      <c r="E72" s="22"/>
      <c r="F72" s="22"/>
    </row>
    <row r="73" spans="1:6" ht="15.75" customHeight="1">
      <c r="A73" s="21"/>
      <c r="B73" s="22"/>
      <c r="C73" s="22"/>
      <c r="D73" s="22"/>
      <c r="E73" s="22"/>
      <c r="F73" s="22"/>
    </row>
    <row r="74" spans="1:6" ht="15.75" customHeight="1">
      <c r="A74" s="21"/>
      <c r="B74" s="22"/>
      <c r="C74" s="22"/>
      <c r="D74" s="22"/>
      <c r="E74" s="22"/>
      <c r="F74" s="22"/>
    </row>
    <row r="75" spans="1:6" ht="15.75" customHeight="1">
      <c r="A75" s="21"/>
      <c r="B75" s="22"/>
      <c r="C75" s="22"/>
      <c r="D75" s="22"/>
      <c r="E75" s="22"/>
      <c r="F75" s="22"/>
    </row>
    <row r="76" spans="1:6" ht="15.75" customHeight="1">
      <c r="A76" s="21"/>
      <c r="B76" s="22"/>
      <c r="C76" s="22"/>
      <c r="D76" s="22"/>
      <c r="E76" s="22"/>
      <c r="F76" s="22"/>
    </row>
    <row r="77" spans="1:6" ht="15.75" customHeight="1">
      <c r="A77" s="21"/>
      <c r="B77" s="22"/>
      <c r="C77" s="22"/>
      <c r="D77" s="22"/>
      <c r="E77" s="22"/>
      <c r="F77" s="22"/>
    </row>
    <row r="78" spans="1:6" ht="15.75" customHeight="1">
      <c r="A78" s="21"/>
      <c r="B78" s="22"/>
      <c r="C78" s="22"/>
      <c r="D78" s="22"/>
      <c r="E78" s="22"/>
      <c r="F78" s="22"/>
    </row>
    <row r="79" spans="1:6" ht="15.75" customHeight="1">
      <c r="A79" s="21"/>
      <c r="B79" s="22"/>
      <c r="C79" s="22"/>
      <c r="D79" s="22"/>
      <c r="E79" s="22"/>
      <c r="F79" s="22"/>
    </row>
    <row r="80" spans="1:6" ht="15.75" customHeight="1">
      <c r="A80" s="21"/>
      <c r="B80" s="22"/>
      <c r="C80" s="22"/>
      <c r="D80" s="22"/>
      <c r="E80" s="22"/>
      <c r="F80" s="22"/>
    </row>
    <row r="81" spans="1:6" ht="15.75" customHeight="1">
      <c r="A81" s="21"/>
      <c r="B81" s="22"/>
      <c r="C81" s="22"/>
      <c r="D81" s="22"/>
      <c r="E81" s="22"/>
      <c r="F81" s="22"/>
    </row>
    <row r="82" spans="1:6" ht="15.75" customHeight="1">
      <c r="A82" s="21"/>
      <c r="B82" s="22"/>
      <c r="C82" s="22"/>
      <c r="D82" s="22"/>
      <c r="E82" s="22"/>
      <c r="F82" s="22"/>
    </row>
    <row r="83" spans="1:6" ht="15.75" customHeight="1">
      <c r="A83" s="21"/>
      <c r="B83" s="22"/>
      <c r="C83" s="22"/>
      <c r="D83" s="22"/>
      <c r="E83" s="22"/>
      <c r="F83" s="22"/>
    </row>
    <row r="84" spans="1:6" ht="15.75" customHeight="1">
      <c r="A84" s="21"/>
      <c r="B84" s="22"/>
      <c r="C84" s="22"/>
      <c r="D84" s="22"/>
      <c r="E84" s="22"/>
      <c r="F84" s="22"/>
    </row>
    <row r="85" spans="1:6" ht="15.75" customHeight="1">
      <c r="A85" s="21"/>
      <c r="B85" s="22"/>
      <c r="C85" s="22"/>
      <c r="D85" s="22"/>
      <c r="E85" s="22"/>
      <c r="F85" s="22"/>
    </row>
    <row r="86" spans="1:6" ht="15.75" customHeight="1">
      <c r="A86" s="21"/>
      <c r="B86" s="22"/>
      <c r="C86" s="22"/>
      <c r="D86" s="22"/>
      <c r="E86" s="22"/>
      <c r="F86" s="22"/>
    </row>
    <row r="87" spans="1:6" ht="15.75" customHeight="1">
      <c r="A87" s="21"/>
      <c r="B87" s="22"/>
      <c r="C87" s="22"/>
      <c r="D87" s="22"/>
      <c r="E87" s="22"/>
      <c r="F87" s="22"/>
    </row>
    <row r="88" spans="1:6" ht="15.75" customHeight="1">
      <c r="A88" s="21"/>
      <c r="B88" s="22"/>
      <c r="C88" s="22"/>
      <c r="D88" s="22"/>
      <c r="E88" s="22"/>
      <c r="F88" s="22"/>
    </row>
    <row r="89" spans="1:6" ht="15.75" customHeight="1">
      <c r="A89" s="21"/>
      <c r="B89" s="22"/>
      <c r="C89" s="22"/>
      <c r="D89" s="22"/>
      <c r="E89" s="22"/>
      <c r="F89" s="22"/>
    </row>
    <row r="90" spans="1:6" ht="15.75" customHeight="1">
      <c r="A90" s="21"/>
      <c r="B90" s="22"/>
      <c r="C90" s="22"/>
      <c r="D90" s="22"/>
      <c r="E90" s="22"/>
      <c r="F90" s="22"/>
    </row>
    <row r="91" spans="1:6" ht="15.75" customHeight="1">
      <c r="A91" s="21"/>
      <c r="B91" s="22"/>
      <c r="C91" s="22"/>
      <c r="D91" s="22"/>
      <c r="E91" s="22"/>
      <c r="F91" s="22"/>
    </row>
    <row r="92" spans="1:6" ht="15.75" customHeight="1">
      <c r="A92" s="21"/>
      <c r="B92" s="22"/>
      <c r="C92" s="22"/>
      <c r="D92" s="22"/>
      <c r="E92" s="22"/>
      <c r="F92" s="22"/>
    </row>
    <row r="93" spans="1:6" ht="15.75" customHeight="1">
      <c r="A93" s="21"/>
      <c r="B93" s="22"/>
      <c r="C93" s="22"/>
      <c r="D93" s="22"/>
      <c r="E93" s="22"/>
      <c r="F93" s="22"/>
    </row>
    <row r="94" spans="1:6" ht="15.75" customHeight="1">
      <c r="A94" s="21"/>
      <c r="B94" s="22"/>
      <c r="C94" s="22"/>
      <c r="D94" s="22"/>
      <c r="E94" s="22"/>
      <c r="F94" s="22"/>
    </row>
    <row r="95" spans="1:6" ht="15.75" customHeight="1">
      <c r="A95" s="21"/>
      <c r="B95" s="22"/>
      <c r="C95" s="22"/>
      <c r="D95" s="22"/>
      <c r="E95" s="22"/>
      <c r="F95" s="22"/>
    </row>
    <row r="96" spans="1:6" ht="15.75" customHeight="1">
      <c r="A96" s="21"/>
      <c r="B96" s="22"/>
      <c r="C96" s="22"/>
      <c r="D96" s="22"/>
      <c r="E96" s="22"/>
      <c r="F96" s="22"/>
    </row>
    <row r="97" spans="1:6" ht="15.75" customHeight="1">
      <c r="A97" s="21"/>
      <c r="B97" s="22"/>
      <c r="C97" s="22"/>
      <c r="D97" s="22"/>
      <c r="E97" s="22"/>
      <c r="F97" s="22"/>
    </row>
    <row r="98" spans="1:6" ht="15.75" customHeight="1">
      <c r="A98" s="21"/>
      <c r="B98" s="22"/>
      <c r="C98" s="22"/>
      <c r="D98" s="22"/>
      <c r="E98" s="22"/>
      <c r="F98" s="22"/>
    </row>
    <row r="99" spans="1:6" ht="15.75" customHeight="1">
      <c r="A99" s="21"/>
      <c r="B99" s="22"/>
      <c r="C99" s="22"/>
      <c r="D99" s="22"/>
      <c r="E99" s="22"/>
      <c r="F99" s="22"/>
    </row>
    <row r="100" spans="1:6" ht="15.75" customHeight="1">
      <c r="A100" s="21"/>
      <c r="B100" s="22"/>
      <c r="C100" s="22"/>
      <c r="D100" s="22"/>
      <c r="E100" s="22"/>
      <c r="F100" s="22"/>
    </row>
    <row r="101" spans="1:6" ht="15.75" customHeight="1">
      <c r="A101" s="21"/>
      <c r="B101" s="22"/>
      <c r="C101" s="22"/>
      <c r="D101" s="22"/>
      <c r="E101" s="22"/>
      <c r="F101" s="22"/>
    </row>
    <row r="102" spans="1:6" ht="15.75" customHeight="1">
      <c r="A102" s="21"/>
      <c r="B102" s="22"/>
      <c r="C102" s="22"/>
      <c r="D102" s="22"/>
      <c r="E102" s="22"/>
      <c r="F102" s="22"/>
    </row>
    <row r="103" spans="1:6" ht="15.75" customHeight="1">
      <c r="A103" s="21"/>
      <c r="B103" s="22"/>
      <c r="C103" s="22"/>
      <c r="D103" s="22"/>
      <c r="E103" s="22"/>
      <c r="F103" s="22"/>
    </row>
    <row r="104" spans="1:6" ht="15.75" customHeight="1">
      <c r="A104" s="21"/>
      <c r="B104" s="22"/>
      <c r="C104" s="22"/>
      <c r="D104" s="22"/>
      <c r="E104" s="22"/>
      <c r="F104" s="22"/>
    </row>
    <row r="105" spans="1:6" ht="15.75" customHeight="1">
      <c r="A105" s="21"/>
      <c r="B105" s="22"/>
      <c r="C105" s="22"/>
      <c r="D105" s="22"/>
      <c r="E105" s="22"/>
      <c r="F105" s="22"/>
    </row>
    <row r="106" spans="1:6" ht="15.75" customHeight="1">
      <c r="A106" s="21"/>
      <c r="B106" s="22"/>
      <c r="C106" s="22"/>
      <c r="D106" s="22"/>
      <c r="E106" s="22"/>
      <c r="F106" s="22"/>
    </row>
    <row r="107" spans="1:6" ht="15.75" customHeight="1">
      <c r="A107" s="21"/>
      <c r="B107" s="22"/>
      <c r="C107" s="22"/>
      <c r="D107" s="22"/>
      <c r="E107" s="22"/>
      <c r="F107" s="22"/>
    </row>
    <row r="108" spans="1:6" ht="15.75" customHeight="1">
      <c r="A108" s="21"/>
      <c r="B108" s="22"/>
      <c r="C108" s="22"/>
      <c r="D108" s="22"/>
      <c r="E108" s="22"/>
      <c r="F108" s="22"/>
    </row>
    <row r="109" spans="1:6" ht="15.75" customHeight="1">
      <c r="A109" s="21"/>
      <c r="B109" s="22"/>
      <c r="C109" s="22"/>
      <c r="D109" s="22"/>
      <c r="E109" s="22"/>
      <c r="F109" s="22"/>
    </row>
    <row r="110" spans="1:6" ht="15.75" customHeight="1">
      <c r="A110" s="21"/>
      <c r="B110" s="22"/>
      <c r="C110" s="22"/>
      <c r="D110" s="22"/>
      <c r="E110" s="22"/>
      <c r="F110" s="22"/>
    </row>
    <row r="111" spans="1:6" ht="15.75" customHeight="1">
      <c r="A111" s="21"/>
      <c r="B111" s="22"/>
      <c r="C111" s="22"/>
      <c r="D111" s="22"/>
      <c r="E111" s="22"/>
      <c r="F111" s="22"/>
    </row>
    <row r="112" spans="1:6" ht="15.75" customHeight="1">
      <c r="A112" s="21"/>
      <c r="B112" s="22"/>
      <c r="C112" s="22"/>
      <c r="D112" s="22"/>
      <c r="E112" s="22"/>
      <c r="F112" s="22"/>
    </row>
    <row r="113" spans="1:6" ht="15.75" customHeight="1">
      <c r="A113" s="21"/>
      <c r="B113" s="22"/>
      <c r="C113" s="22"/>
      <c r="D113" s="22"/>
      <c r="E113" s="22"/>
      <c r="F113" s="22"/>
    </row>
    <row r="114" spans="1:6" ht="15.75" customHeight="1">
      <c r="A114" s="21"/>
      <c r="B114" s="22"/>
      <c r="C114" s="22"/>
      <c r="D114" s="22"/>
      <c r="E114" s="22"/>
      <c r="F114" s="22"/>
    </row>
    <row r="115" spans="1:6" ht="15.75" customHeight="1">
      <c r="A115" s="21"/>
      <c r="B115" s="22"/>
      <c r="C115" s="22"/>
      <c r="D115" s="22"/>
      <c r="E115" s="22"/>
      <c r="F115" s="22"/>
    </row>
    <row r="116" spans="1:6" ht="15.75" customHeight="1">
      <c r="A116" s="21"/>
      <c r="B116" s="22"/>
      <c r="C116" s="22"/>
      <c r="D116" s="22"/>
      <c r="E116" s="22"/>
      <c r="F116" s="22"/>
    </row>
    <row r="117" spans="1:6" ht="15.75" customHeight="1">
      <c r="A117" s="21"/>
      <c r="B117" s="22"/>
      <c r="C117" s="22"/>
      <c r="D117" s="22"/>
      <c r="E117" s="22"/>
      <c r="F117" s="22"/>
    </row>
    <row r="118" spans="1:6" ht="15.75" customHeight="1">
      <c r="A118" s="21"/>
      <c r="B118" s="22"/>
      <c r="C118" s="22"/>
      <c r="D118" s="22"/>
      <c r="E118" s="22"/>
      <c r="F118" s="22"/>
    </row>
    <row r="119" spans="1:6" ht="15.75" customHeight="1">
      <c r="A119" s="21"/>
      <c r="B119" s="22"/>
      <c r="C119" s="22"/>
      <c r="D119" s="22"/>
      <c r="E119" s="22"/>
      <c r="F119" s="22"/>
    </row>
    <row r="120" spans="1:6" ht="15.75" customHeight="1">
      <c r="A120" s="21"/>
      <c r="B120" s="22"/>
      <c r="C120" s="22"/>
      <c r="D120" s="22"/>
      <c r="E120" s="22"/>
      <c r="F120" s="22"/>
    </row>
    <row r="121" spans="1:6" ht="15.75" customHeight="1">
      <c r="A121" s="21"/>
      <c r="B121" s="22"/>
      <c r="C121" s="22"/>
      <c r="D121" s="22"/>
      <c r="E121" s="22"/>
      <c r="F121" s="22"/>
    </row>
    <row r="122" spans="1:6" ht="15.75" customHeight="1">
      <c r="A122" s="21"/>
      <c r="B122" s="22"/>
      <c r="C122" s="22"/>
      <c r="D122" s="22"/>
      <c r="E122" s="22"/>
      <c r="F122" s="22"/>
    </row>
    <row r="123" spans="1:6" ht="15.75" customHeight="1">
      <c r="A123" s="21"/>
      <c r="B123" s="22"/>
      <c r="C123" s="22"/>
      <c r="D123" s="22"/>
      <c r="E123" s="22"/>
      <c r="F123" s="22"/>
    </row>
    <row r="124" spans="1:6" ht="15.75" customHeight="1">
      <c r="A124" s="21"/>
      <c r="B124" s="22"/>
      <c r="C124" s="22"/>
      <c r="D124" s="22"/>
      <c r="E124" s="22"/>
      <c r="F124" s="22"/>
    </row>
    <row r="125" spans="1:6" ht="15.75" customHeight="1">
      <c r="A125" s="21"/>
      <c r="B125" s="22"/>
      <c r="C125" s="22"/>
      <c r="D125" s="22"/>
      <c r="E125" s="22"/>
      <c r="F125" s="22"/>
    </row>
    <row r="126" spans="1:6" ht="15.75" customHeight="1">
      <c r="A126" s="21"/>
      <c r="B126" s="22"/>
      <c r="C126" s="22"/>
      <c r="D126" s="22"/>
      <c r="E126" s="22"/>
      <c r="F126" s="22"/>
    </row>
    <row r="127" spans="1:6" ht="15.75" customHeight="1">
      <c r="A127" s="21"/>
      <c r="B127" s="22"/>
      <c r="C127" s="22"/>
      <c r="D127" s="22"/>
      <c r="E127" s="22"/>
      <c r="F127" s="22"/>
    </row>
    <row r="128" spans="1:6" ht="15.75" customHeight="1">
      <c r="A128" s="21"/>
      <c r="B128" s="22"/>
      <c r="C128" s="22"/>
      <c r="D128" s="22"/>
      <c r="E128" s="22"/>
      <c r="F128" s="22"/>
    </row>
    <row r="129" spans="1:6" ht="15.75" customHeight="1">
      <c r="A129" s="21"/>
      <c r="B129" s="22"/>
      <c r="C129" s="22"/>
      <c r="D129" s="22"/>
      <c r="E129" s="22"/>
      <c r="F129" s="22"/>
    </row>
    <row r="130" spans="1:6" ht="15.75" customHeight="1">
      <c r="A130" s="21"/>
      <c r="B130" s="22"/>
      <c r="C130" s="22"/>
      <c r="D130" s="22"/>
      <c r="E130" s="22"/>
      <c r="F130" s="22"/>
    </row>
    <row r="131" spans="1:6" ht="15.75" customHeight="1">
      <c r="A131" s="21"/>
      <c r="B131" s="22"/>
      <c r="C131" s="22"/>
      <c r="D131" s="22"/>
      <c r="E131" s="22"/>
      <c r="F131" s="22"/>
    </row>
    <row r="132" spans="1:6" ht="15.75" customHeight="1">
      <c r="A132" s="21"/>
      <c r="B132" s="22"/>
      <c r="C132" s="22"/>
      <c r="D132" s="22"/>
      <c r="E132" s="22"/>
      <c r="F132" s="22"/>
    </row>
    <row r="133" spans="1:6" ht="15.75" customHeight="1">
      <c r="A133" s="21"/>
      <c r="B133" s="22"/>
      <c r="C133" s="22"/>
      <c r="D133" s="22"/>
      <c r="E133" s="22"/>
      <c r="F133" s="22"/>
    </row>
    <row r="134" spans="1:6" ht="15.75" customHeight="1">
      <c r="A134" s="21"/>
      <c r="B134" s="22"/>
      <c r="C134" s="22"/>
      <c r="D134" s="22"/>
      <c r="E134" s="22"/>
      <c r="F134" s="22"/>
    </row>
    <row r="135" spans="1:6" ht="15.75" customHeight="1">
      <c r="A135" s="21"/>
      <c r="B135" s="22"/>
      <c r="C135" s="22"/>
      <c r="D135" s="22"/>
      <c r="E135" s="22"/>
      <c r="F135" s="22"/>
    </row>
    <row r="136" spans="1:6" ht="15.75" customHeight="1">
      <c r="A136" s="21"/>
      <c r="B136" s="22"/>
      <c r="C136" s="22"/>
      <c r="D136" s="22"/>
      <c r="E136" s="22"/>
      <c r="F136" s="22"/>
    </row>
    <row r="137" spans="1:6" ht="15.75" customHeight="1">
      <c r="A137" s="21"/>
      <c r="B137" s="22"/>
      <c r="C137" s="22"/>
      <c r="D137" s="22"/>
      <c r="E137" s="22"/>
      <c r="F137" s="22"/>
    </row>
    <row r="138" spans="1:6" ht="15.75" customHeight="1">
      <c r="A138" s="21"/>
      <c r="B138" s="22"/>
      <c r="C138" s="22"/>
      <c r="D138" s="22"/>
      <c r="E138" s="22"/>
      <c r="F138" s="22"/>
    </row>
    <row r="139" spans="1:6" ht="15.75" customHeight="1">
      <c r="A139" s="21"/>
      <c r="B139" s="22"/>
      <c r="C139" s="22"/>
      <c r="D139" s="22"/>
      <c r="E139" s="22"/>
      <c r="F139" s="22"/>
    </row>
    <row r="140" spans="1:6" ht="15.75" customHeight="1">
      <c r="A140" s="21"/>
      <c r="B140" s="22"/>
      <c r="C140" s="22"/>
      <c r="D140" s="22"/>
      <c r="E140" s="22"/>
      <c r="F140" s="22"/>
    </row>
    <row r="141" spans="1:6" ht="15.75" customHeight="1">
      <c r="A141" s="21"/>
      <c r="B141" s="22"/>
      <c r="C141" s="22"/>
      <c r="D141" s="22"/>
      <c r="E141" s="22"/>
      <c r="F141" s="22"/>
    </row>
    <row r="142" spans="1:6" ht="15.75" customHeight="1">
      <c r="A142" s="21"/>
      <c r="B142" s="22"/>
      <c r="C142" s="22"/>
      <c r="D142" s="22"/>
      <c r="E142" s="22"/>
      <c r="F142" s="22"/>
    </row>
    <row r="143" spans="1:6" ht="15.75" customHeight="1">
      <c r="A143" s="21"/>
      <c r="B143" s="22"/>
      <c r="C143" s="22"/>
      <c r="D143" s="22"/>
      <c r="E143" s="22"/>
      <c r="F143" s="22"/>
    </row>
    <row r="144" spans="1:6" ht="15.75" customHeight="1">
      <c r="A144" s="21"/>
      <c r="B144" s="22"/>
      <c r="C144" s="22"/>
      <c r="D144" s="22"/>
      <c r="E144" s="22"/>
      <c r="F144" s="22"/>
    </row>
    <row r="145" spans="1:6" ht="15.75" customHeight="1">
      <c r="A145" s="21"/>
      <c r="B145" s="22"/>
      <c r="C145" s="22"/>
      <c r="D145" s="22"/>
      <c r="E145" s="22"/>
      <c r="F145" s="22"/>
    </row>
    <row r="146" spans="1:6" ht="15.75" customHeight="1">
      <c r="A146" s="21"/>
      <c r="B146" s="22"/>
      <c r="C146" s="22"/>
      <c r="D146" s="22"/>
      <c r="E146" s="22"/>
      <c r="F146" s="22"/>
    </row>
    <row r="147" spans="1:6" ht="15.75" customHeight="1">
      <c r="A147" s="21"/>
      <c r="B147" s="22"/>
      <c r="C147" s="22"/>
      <c r="D147" s="22"/>
      <c r="E147" s="22"/>
      <c r="F147" s="22"/>
    </row>
    <row r="148" spans="1:6" ht="15.75" customHeight="1">
      <c r="A148" s="21"/>
      <c r="B148" s="22"/>
      <c r="C148" s="22"/>
      <c r="D148" s="22"/>
      <c r="E148" s="22"/>
      <c r="F148" s="22"/>
    </row>
    <row r="149" spans="1:6" ht="15.75" customHeight="1">
      <c r="A149" s="21"/>
      <c r="B149" s="22"/>
      <c r="C149" s="22"/>
      <c r="D149" s="22"/>
      <c r="E149" s="22"/>
      <c r="F149" s="22"/>
    </row>
    <row r="150" spans="1:6" ht="15.75" customHeight="1">
      <c r="A150" s="21"/>
      <c r="B150" s="22"/>
      <c r="C150" s="22"/>
      <c r="D150" s="22"/>
      <c r="E150" s="22"/>
      <c r="F150" s="22"/>
    </row>
    <row r="151" spans="1:6" ht="15.75" customHeight="1">
      <c r="A151" s="21"/>
      <c r="B151" s="22"/>
      <c r="C151" s="22"/>
      <c r="D151" s="22"/>
      <c r="E151" s="22"/>
      <c r="F151" s="22"/>
    </row>
    <row r="152" spans="1:6" ht="15.75" customHeight="1">
      <c r="A152" s="21"/>
      <c r="B152" s="22"/>
      <c r="C152" s="22"/>
      <c r="D152" s="22"/>
      <c r="E152" s="22"/>
      <c r="F152" s="22"/>
    </row>
    <row r="153" spans="1:6" ht="15.75" customHeight="1">
      <c r="A153" s="21"/>
      <c r="B153" s="22"/>
      <c r="C153" s="22"/>
      <c r="D153" s="22"/>
      <c r="E153" s="22"/>
      <c r="F153" s="22"/>
    </row>
    <row r="154" spans="1:6" ht="15.75" customHeight="1">
      <c r="A154" s="21"/>
      <c r="B154" s="22"/>
      <c r="C154" s="22"/>
      <c r="D154" s="22"/>
      <c r="E154" s="22"/>
      <c r="F154" s="22"/>
    </row>
    <row r="155" spans="1:6" ht="15.75" customHeight="1">
      <c r="A155" s="21"/>
      <c r="B155" s="22"/>
      <c r="C155" s="22"/>
      <c r="D155" s="22"/>
      <c r="E155" s="22"/>
      <c r="F155" s="22"/>
    </row>
    <row r="156" spans="1:6" ht="15.75" customHeight="1">
      <c r="A156" s="21"/>
      <c r="B156" s="22"/>
      <c r="C156" s="22"/>
      <c r="D156" s="22"/>
      <c r="E156" s="22"/>
      <c r="F156" s="22"/>
    </row>
    <row r="157" spans="1:6" ht="15.75" customHeight="1">
      <c r="A157" s="21"/>
      <c r="B157" s="22"/>
      <c r="C157" s="22"/>
      <c r="D157" s="22"/>
      <c r="E157" s="22"/>
      <c r="F157" s="22"/>
    </row>
    <row r="158" spans="1:6" ht="15.75" customHeight="1">
      <c r="A158" s="21"/>
      <c r="B158" s="22"/>
      <c r="C158" s="22"/>
      <c r="D158" s="22"/>
      <c r="E158" s="22"/>
      <c r="F158" s="22"/>
    </row>
    <row r="159" spans="1:6" ht="15.75" customHeight="1">
      <c r="A159" s="21"/>
      <c r="B159" s="22"/>
      <c r="C159" s="22"/>
      <c r="D159" s="22"/>
      <c r="E159" s="22"/>
      <c r="F159" s="22"/>
    </row>
    <row r="160" spans="1:6" ht="15.75" customHeight="1">
      <c r="A160" s="21"/>
      <c r="B160" s="22"/>
      <c r="C160" s="22"/>
      <c r="D160" s="22"/>
      <c r="E160" s="22"/>
      <c r="F160" s="22"/>
    </row>
    <row r="161" spans="1:6" ht="15.75" customHeight="1">
      <c r="A161" s="21"/>
      <c r="B161" s="22"/>
      <c r="C161" s="22"/>
      <c r="D161" s="22"/>
      <c r="E161" s="22"/>
      <c r="F161" s="22"/>
    </row>
    <row r="162" spans="1:6" ht="15.75" customHeight="1">
      <c r="A162" s="21"/>
      <c r="B162" s="22"/>
      <c r="C162" s="22"/>
      <c r="D162" s="22"/>
      <c r="E162" s="22"/>
      <c r="F162" s="22"/>
    </row>
    <row r="163" spans="1:6" ht="15.75" customHeight="1">
      <c r="A163" s="21"/>
      <c r="B163" s="22"/>
      <c r="C163" s="22"/>
      <c r="D163" s="22"/>
      <c r="E163" s="22"/>
      <c r="F163" s="22"/>
    </row>
    <row r="164" spans="1:6" ht="15.75" customHeight="1">
      <c r="A164" s="21"/>
      <c r="B164" s="22"/>
      <c r="C164" s="22"/>
      <c r="D164" s="22"/>
      <c r="E164" s="22"/>
      <c r="F164" s="22"/>
    </row>
    <row r="165" spans="1:6" ht="15.75" customHeight="1">
      <c r="A165" s="21"/>
      <c r="B165" s="22"/>
      <c r="C165" s="22"/>
      <c r="D165" s="22"/>
      <c r="E165" s="22"/>
      <c r="F165" s="22"/>
    </row>
    <row r="166" spans="1:6" ht="15.75" customHeight="1">
      <c r="A166" s="21"/>
      <c r="B166" s="22"/>
      <c r="C166" s="22"/>
      <c r="D166" s="22"/>
      <c r="E166" s="22"/>
      <c r="F166" s="22"/>
    </row>
    <row r="167" spans="1:6" ht="15.75" customHeight="1">
      <c r="A167" s="21"/>
      <c r="B167" s="22"/>
      <c r="C167" s="22"/>
      <c r="D167" s="22"/>
      <c r="E167" s="22"/>
      <c r="F167" s="22"/>
    </row>
    <row r="168" spans="1:6" ht="15.75" customHeight="1">
      <c r="A168" s="21"/>
      <c r="B168" s="22"/>
      <c r="C168" s="22"/>
      <c r="D168" s="22"/>
      <c r="E168" s="22"/>
      <c r="F168" s="22"/>
    </row>
    <row r="169" spans="1:6" ht="15.75" customHeight="1">
      <c r="A169" s="21"/>
      <c r="B169" s="22"/>
      <c r="C169" s="22"/>
      <c r="D169" s="22"/>
      <c r="E169" s="22"/>
      <c r="F169" s="22"/>
    </row>
    <row r="170" spans="1:6" ht="15.75" customHeight="1">
      <c r="A170" s="21"/>
      <c r="B170" s="22"/>
      <c r="C170" s="22"/>
      <c r="D170" s="22"/>
      <c r="E170" s="22"/>
      <c r="F170" s="22"/>
    </row>
    <row r="171" spans="1:6" ht="15.75" customHeight="1">
      <c r="A171" s="21"/>
      <c r="B171" s="22"/>
      <c r="C171" s="22"/>
      <c r="D171" s="22"/>
      <c r="E171" s="22"/>
      <c r="F171" s="22"/>
    </row>
    <row r="172" spans="1:6" ht="15.75" customHeight="1">
      <c r="A172" s="21"/>
      <c r="B172" s="22"/>
      <c r="C172" s="22"/>
      <c r="D172" s="22"/>
      <c r="E172" s="22"/>
      <c r="F172" s="22"/>
    </row>
    <row r="173" spans="1:6" ht="15.75" customHeight="1">
      <c r="A173" s="21"/>
      <c r="B173" s="22"/>
      <c r="C173" s="22"/>
      <c r="D173" s="22"/>
      <c r="E173" s="22"/>
      <c r="F173" s="22"/>
    </row>
    <row r="174" spans="1:6" ht="15.75" customHeight="1">
      <c r="A174" s="21"/>
      <c r="B174" s="22"/>
      <c r="C174" s="22"/>
      <c r="D174" s="22"/>
      <c r="E174" s="22"/>
      <c r="F174" s="22"/>
    </row>
    <row r="175" spans="1:6" ht="15.75" customHeight="1">
      <c r="A175" s="21"/>
      <c r="B175" s="22"/>
      <c r="C175" s="22"/>
      <c r="D175" s="22"/>
      <c r="E175" s="22"/>
      <c r="F175" s="22"/>
    </row>
    <row r="176" spans="1:6" ht="15.75" customHeight="1">
      <c r="A176" s="21"/>
      <c r="B176" s="22"/>
      <c r="C176" s="22"/>
      <c r="D176" s="22"/>
      <c r="E176" s="22"/>
      <c r="F176" s="22"/>
    </row>
    <row r="177" spans="1:6" ht="15.75" customHeight="1">
      <c r="A177" s="21"/>
      <c r="B177" s="22"/>
      <c r="C177" s="22"/>
      <c r="D177" s="22"/>
      <c r="E177" s="22"/>
      <c r="F177" s="22"/>
    </row>
    <row r="178" spans="1:6" ht="15.75" customHeight="1">
      <c r="A178" s="21"/>
      <c r="B178" s="22"/>
      <c r="C178" s="22"/>
      <c r="D178" s="22"/>
      <c r="E178" s="22"/>
      <c r="F178" s="22"/>
    </row>
    <row r="179" spans="1:6" ht="15.75" customHeight="1">
      <c r="A179" s="21"/>
      <c r="B179" s="22"/>
      <c r="C179" s="22"/>
      <c r="D179" s="22"/>
      <c r="E179" s="22"/>
      <c r="F179" s="22"/>
    </row>
    <row r="180" spans="1:6" ht="15.75" customHeight="1">
      <c r="A180" s="21"/>
      <c r="B180" s="22"/>
      <c r="C180" s="22"/>
      <c r="D180" s="22"/>
      <c r="E180" s="22"/>
      <c r="F180" s="22"/>
    </row>
    <row r="181" spans="1:6" ht="15.75" customHeight="1">
      <c r="A181" s="21"/>
      <c r="B181" s="22"/>
      <c r="C181" s="22"/>
      <c r="D181" s="22"/>
      <c r="E181" s="22"/>
      <c r="F181" s="22"/>
    </row>
    <row r="182" spans="1:6" ht="15.75" customHeight="1">
      <c r="A182" s="21"/>
      <c r="B182" s="22"/>
      <c r="C182" s="22"/>
      <c r="D182" s="22"/>
      <c r="E182" s="22"/>
      <c r="F182" s="22"/>
    </row>
    <row r="183" spans="1:6" ht="15.75" customHeight="1">
      <c r="A183" s="21"/>
      <c r="B183" s="22"/>
      <c r="C183" s="22"/>
      <c r="D183" s="22"/>
      <c r="E183" s="22"/>
      <c r="F183" s="22"/>
    </row>
    <row r="184" spans="1:6" ht="15.75" customHeight="1">
      <c r="A184" s="21"/>
      <c r="B184" s="22"/>
      <c r="C184" s="22"/>
      <c r="D184" s="22"/>
      <c r="E184" s="22"/>
      <c r="F184" s="22"/>
    </row>
    <row r="185" spans="1:6" ht="15.75" customHeight="1">
      <c r="A185" s="21"/>
      <c r="B185" s="22"/>
      <c r="C185" s="22"/>
      <c r="D185" s="22"/>
      <c r="E185" s="22"/>
      <c r="F185" s="22"/>
    </row>
    <row r="186" spans="1:6" ht="15.75" customHeight="1">
      <c r="A186" s="21"/>
      <c r="B186" s="22"/>
      <c r="C186" s="22"/>
      <c r="D186" s="22"/>
      <c r="E186" s="22"/>
      <c r="F186" s="22"/>
    </row>
    <row r="187" spans="1:6" ht="15.75" customHeight="1">
      <c r="A187" s="21"/>
      <c r="B187" s="22"/>
      <c r="C187" s="22"/>
      <c r="D187" s="22"/>
      <c r="E187" s="22"/>
      <c r="F187" s="22"/>
    </row>
    <row r="188" spans="1:6" ht="15.75" customHeight="1">
      <c r="A188" s="21"/>
      <c r="B188" s="22"/>
      <c r="C188" s="22"/>
      <c r="D188" s="22"/>
      <c r="E188" s="22"/>
      <c r="F188" s="22"/>
    </row>
    <row r="189" spans="1:6" ht="15.75" customHeight="1">
      <c r="A189" s="21"/>
      <c r="B189" s="22"/>
      <c r="C189" s="22"/>
      <c r="D189" s="22"/>
      <c r="E189" s="22"/>
      <c r="F189" s="22"/>
    </row>
    <row r="190" spans="1:6" ht="15.75" customHeight="1">
      <c r="A190" s="21"/>
      <c r="B190" s="22"/>
      <c r="C190" s="22"/>
      <c r="D190" s="22"/>
      <c r="E190" s="22"/>
      <c r="F190" s="22"/>
    </row>
    <row r="191" spans="1:6" ht="15.75" customHeight="1">
      <c r="A191" s="21"/>
      <c r="B191" s="22"/>
      <c r="C191" s="22"/>
      <c r="D191" s="22"/>
      <c r="E191" s="22"/>
      <c r="F191" s="22"/>
    </row>
    <row r="192" spans="1:6" ht="15.75" customHeight="1">
      <c r="A192" s="21"/>
      <c r="B192" s="22"/>
      <c r="C192" s="22"/>
      <c r="D192" s="22"/>
      <c r="E192" s="22"/>
      <c r="F192" s="22"/>
    </row>
    <row r="193" spans="1:6" ht="15.75" customHeight="1">
      <c r="A193" s="21"/>
      <c r="B193" s="22"/>
      <c r="C193" s="22"/>
      <c r="D193" s="22"/>
      <c r="E193" s="22"/>
      <c r="F193" s="22"/>
    </row>
    <row r="194" spans="1:6" ht="15.75" customHeight="1">
      <c r="A194" s="21"/>
      <c r="B194" s="22"/>
      <c r="C194" s="22"/>
      <c r="D194" s="22"/>
      <c r="E194" s="22"/>
      <c r="F194" s="22"/>
    </row>
    <row r="195" spans="1:6" ht="15.75" customHeight="1">
      <c r="A195" s="21"/>
      <c r="B195" s="22"/>
      <c r="C195" s="22"/>
      <c r="D195" s="22"/>
      <c r="E195" s="22"/>
      <c r="F195" s="22"/>
    </row>
    <row r="196" spans="1:6" ht="15.75" customHeight="1">
      <c r="A196" s="21"/>
      <c r="B196" s="22"/>
      <c r="C196" s="22"/>
      <c r="D196" s="22"/>
      <c r="E196" s="22"/>
      <c r="F196" s="22"/>
    </row>
    <row r="197" spans="1:6" ht="15.75" customHeight="1">
      <c r="A197" s="21"/>
      <c r="B197" s="22"/>
      <c r="C197" s="22"/>
      <c r="D197" s="22"/>
      <c r="E197" s="22"/>
      <c r="F197" s="22"/>
    </row>
    <row r="198" spans="1:6" ht="15.75" customHeight="1">
      <c r="A198" s="21"/>
      <c r="B198" s="22"/>
      <c r="C198" s="22"/>
      <c r="D198" s="22"/>
      <c r="E198" s="22"/>
      <c r="F198" s="22"/>
    </row>
    <row r="199" spans="1:6" ht="15.75" customHeight="1">
      <c r="A199" s="21"/>
      <c r="B199" s="22"/>
      <c r="C199" s="22"/>
      <c r="D199" s="22"/>
      <c r="E199" s="22"/>
      <c r="F199" s="22"/>
    </row>
    <row r="200" spans="1:6" ht="15.75" customHeight="1">
      <c r="A200" s="21"/>
      <c r="B200" s="22"/>
      <c r="C200" s="22"/>
      <c r="D200" s="22"/>
      <c r="E200" s="22"/>
      <c r="F200" s="22"/>
    </row>
    <row r="201" spans="1:6" ht="15.75" customHeight="1">
      <c r="A201" s="21"/>
      <c r="B201" s="22"/>
      <c r="C201" s="22"/>
      <c r="D201" s="22"/>
      <c r="E201" s="22"/>
      <c r="F201" s="22"/>
    </row>
    <row r="202" spans="1:6" ht="15.75" customHeight="1">
      <c r="A202" s="21"/>
      <c r="B202" s="22"/>
      <c r="C202" s="22"/>
      <c r="D202" s="22"/>
      <c r="E202" s="22"/>
      <c r="F202" s="22"/>
    </row>
    <row r="203" spans="1:6" ht="15.75" customHeight="1">
      <c r="A203" s="21"/>
      <c r="B203" s="22"/>
      <c r="C203" s="22"/>
      <c r="D203" s="22"/>
      <c r="E203" s="22"/>
      <c r="F203" s="22"/>
    </row>
    <row r="204" spans="1:6" ht="15.75" customHeight="1">
      <c r="A204" s="21"/>
      <c r="B204" s="22"/>
      <c r="C204" s="22"/>
      <c r="D204" s="22"/>
      <c r="E204" s="22"/>
      <c r="F204" s="22"/>
    </row>
    <row r="205" spans="1:6" ht="15.75" customHeight="1">
      <c r="A205" s="21"/>
      <c r="B205" s="22"/>
      <c r="C205" s="22"/>
      <c r="D205" s="22"/>
      <c r="E205" s="22"/>
      <c r="F205" s="22"/>
    </row>
    <row r="206" spans="1:6" ht="15.75" customHeight="1">
      <c r="A206" s="21"/>
      <c r="B206" s="22"/>
      <c r="C206" s="22"/>
      <c r="D206" s="22"/>
      <c r="E206" s="22"/>
      <c r="F206" s="22"/>
    </row>
    <row r="207" spans="1:6" ht="15.75" customHeight="1">
      <c r="A207" s="21"/>
      <c r="B207" s="22"/>
      <c r="C207" s="22"/>
      <c r="D207" s="22"/>
      <c r="E207" s="22"/>
      <c r="F207" s="22"/>
    </row>
    <row r="208" spans="1:6" ht="15.75" customHeight="1">
      <c r="A208" s="21"/>
      <c r="B208" s="22"/>
      <c r="C208" s="22"/>
      <c r="D208" s="22"/>
      <c r="E208" s="22"/>
      <c r="F208" s="22"/>
    </row>
    <row r="209" spans="1:6" ht="15.75" customHeight="1">
      <c r="A209" s="21"/>
      <c r="B209" s="22"/>
      <c r="C209" s="22"/>
      <c r="D209" s="22"/>
      <c r="E209" s="22"/>
      <c r="F209" s="22"/>
    </row>
    <row r="210" spans="1:6" ht="15.75" customHeight="1">
      <c r="A210" s="21"/>
      <c r="B210" s="22"/>
      <c r="C210" s="22"/>
      <c r="D210" s="22"/>
      <c r="E210" s="22"/>
      <c r="F210" s="22"/>
    </row>
    <row r="211" spans="1:6" ht="15.75" customHeight="1">
      <c r="A211" s="21"/>
      <c r="B211" s="22"/>
      <c r="C211" s="22"/>
      <c r="D211" s="22"/>
      <c r="E211" s="22"/>
      <c r="F211" s="22"/>
    </row>
    <row r="212" spans="1:6" ht="15.75" customHeight="1">
      <c r="A212" s="21"/>
      <c r="B212" s="22"/>
      <c r="C212" s="22"/>
      <c r="D212" s="22"/>
      <c r="E212" s="22"/>
      <c r="F212" s="22"/>
    </row>
    <row r="213" spans="1:6" ht="15.75" customHeight="1">
      <c r="A213" s="21"/>
      <c r="B213" s="22"/>
      <c r="C213" s="22"/>
      <c r="D213" s="22"/>
      <c r="E213" s="22"/>
      <c r="F213" s="22"/>
    </row>
    <row r="214" spans="1:6" ht="15.75" customHeight="1">
      <c r="A214" s="21"/>
      <c r="B214" s="22"/>
      <c r="C214" s="22"/>
      <c r="D214" s="22"/>
      <c r="E214" s="22"/>
      <c r="F214" s="22"/>
    </row>
    <row r="215" spans="1:6" ht="15.75" customHeight="1">
      <c r="A215" s="21"/>
      <c r="B215" s="22"/>
      <c r="C215" s="22"/>
      <c r="D215" s="22"/>
      <c r="E215" s="22"/>
      <c r="F215" s="22"/>
    </row>
    <row r="216" spans="1:6" ht="15.75" customHeight="1">
      <c r="A216" s="21"/>
      <c r="B216" s="22"/>
      <c r="C216" s="22"/>
      <c r="D216" s="22"/>
      <c r="E216" s="22"/>
      <c r="F216" s="22"/>
    </row>
    <row r="217" spans="1:6" ht="15.75" customHeight="1">
      <c r="A217" s="21"/>
      <c r="B217" s="22"/>
      <c r="C217" s="22"/>
      <c r="D217" s="22"/>
      <c r="E217" s="22"/>
      <c r="F217" s="22"/>
    </row>
    <row r="218" spans="1:6" ht="15.75" customHeight="1">
      <c r="A218" s="21"/>
      <c r="B218" s="22"/>
      <c r="C218" s="22"/>
      <c r="D218" s="22"/>
      <c r="E218" s="22"/>
      <c r="F218" s="22"/>
    </row>
    <row r="219" spans="1:6" ht="15.75" customHeight="1">
      <c r="A219" s="21"/>
      <c r="B219" s="22"/>
      <c r="C219" s="22"/>
      <c r="D219" s="22"/>
      <c r="E219" s="22"/>
      <c r="F219" s="22"/>
    </row>
    <row r="220" spans="1:6" ht="15.75" customHeight="1">
      <c r="A220" s="21"/>
      <c r="B220" s="22"/>
      <c r="C220" s="22"/>
      <c r="D220" s="22"/>
      <c r="E220" s="22"/>
      <c r="F220" s="22"/>
    </row>
    <row r="221" spans="1:6" ht="15.75" customHeight="1">
      <c r="A221" s="21"/>
      <c r="B221" s="22"/>
      <c r="C221" s="22"/>
      <c r="D221" s="22"/>
      <c r="E221" s="22"/>
      <c r="F221" s="22"/>
    </row>
    <row r="222" spans="1:6" ht="15.75" customHeight="1">
      <c r="A222" s="21"/>
      <c r="B222" s="22"/>
      <c r="C222" s="22"/>
      <c r="D222" s="22"/>
      <c r="E222" s="22"/>
      <c r="F222" s="22"/>
    </row>
    <row r="223" spans="1:6" ht="15.75" customHeight="1">
      <c r="A223" s="21"/>
      <c r="B223" s="22"/>
      <c r="C223" s="22"/>
      <c r="D223" s="22"/>
      <c r="E223" s="22"/>
      <c r="F223" s="22"/>
    </row>
    <row r="224" spans="1:6" ht="15.75" customHeight="1">
      <c r="A224" s="21"/>
      <c r="B224" s="22"/>
      <c r="C224" s="22"/>
      <c r="D224" s="22"/>
      <c r="E224" s="22"/>
      <c r="F224" s="22"/>
    </row>
    <row r="225" spans="1:6" ht="15.75" customHeight="1">
      <c r="A225" s="21"/>
      <c r="B225" s="22"/>
      <c r="C225" s="22"/>
      <c r="D225" s="22"/>
      <c r="E225" s="22"/>
      <c r="F225" s="22"/>
    </row>
    <row r="226" spans="1:6" ht="15.75" customHeight="1">
      <c r="A226" s="21"/>
      <c r="B226" s="22"/>
      <c r="C226" s="22"/>
      <c r="D226" s="22"/>
      <c r="E226" s="22"/>
      <c r="F226" s="22"/>
    </row>
    <row r="227" spans="1:6" ht="15.75" customHeight="1">
      <c r="A227" s="21"/>
      <c r="B227" s="22"/>
      <c r="C227" s="22"/>
      <c r="D227" s="22"/>
      <c r="E227" s="22"/>
      <c r="F227" s="22"/>
    </row>
    <row r="228" spans="1:6" ht="15.75" customHeight="1">
      <c r="A228" s="21"/>
      <c r="B228" s="22"/>
      <c r="C228" s="22"/>
      <c r="D228" s="22"/>
      <c r="E228" s="22"/>
      <c r="F228" s="22"/>
    </row>
    <row r="229" spans="1:6" ht="15.75" customHeight="1">
      <c r="A229" s="21"/>
      <c r="B229" s="22"/>
      <c r="C229" s="22"/>
      <c r="D229" s="22"/>
      <c r="E229" s="22"/>
      <c r="F229" s="22"/>
    </row>
    <row r="230" spans="1:6" ht="15.75" customHeight="1">
      <c r="A230" s="21"/>
      <c r="B230" s="22"/>
      <c r="C230" s="22"/>
      <c r="D230" s="22"/>
      <c r="E230" s="22"/>
      <c r="F230" s="22"/>
    </row>
    <row r="231" spans="1:6" ht="15.75" customHeight="1">
      <c r="A231" s="21"/>
      <c r="B231" s="22"/>
      <c r="C231" s="22"/>
      <c r="D231" s="22"/>
      <c r="E231" s="22"/>
      <c r="F231" s="22"/>
    </row>
    <row r="232" spans="1:6" ht="15.75" customHeight="1">
      <c r="A232" s="21"/>
      <c r="B232" s="22"/>
      <c r="C232" s="22"/>
      <c r="D232" s="22"/>
      <c r="E232" s="22"/>
      <c r="F232" s="22"/>
    </row>
    <row r="233" spans="1:6" ht="15.75" customHeight="1">
      <c r="A233" s="21"/>
      <c r="B233" s="22"/>
      <c r="C233" s="22"/>
      <c r="D233" s="22"/>
      <c r="E233" s="22"/>
      <c r="F233" s="22"/>
    </row>
    <row r="234" spans="1:6" ht="15.75" customHeight="1">
      <c r="A234" s="21"/>
      <c r="B234" s="22"/>
      <c r="C234" s="22"/>
      <c r="D234" s="22"/>
      <c r="E234" s="22"/>
      <c r="F234" s="22"/>
    </row>
    <row r="235" spans="1:6" ht="15.75" customHeight="1">
      <c r="A235" s="21"/>
      <c r="B235" s="22"/>
      <c r="C235" s="22"/>
      <c r="D235" s="22"/>
      <c r="E235" s="22"/>
      <c r="F235" s="22"/>
    </row>
    <row r="236" spans="1:6" ht="15.75" customHeight="1">
      <c r="A236" s="21"/>
      <c r="B236" s="22"/>
      <c r="C236" s="22"/>
      <c r="D236" s="22"/>
      <c r="E236" s="22"/>
      <c r="F236" s="22"/>
    </row>
    <row r="237" spans="1:6" ht="15.75" customHeight="1">
      <c r="A237" s="21"/>
      <c r="B237" s="22"/>
      <c r="C237" s="22"/>
      <c r="D237" s="22"/>
      <c r="E237" s="22"/>
      <c r="F237" s="22"/>
    </row>
    <row r="238" spans="1:6" ht="15.75" customHeight="1">
      <c r="A238" s="21"/>
      <c r="B238" s="22"/>
      <c r="C238" s="22"/>
      <c r="D238" s="22"/>
      <c r="E238" s="22"/>
      <c r="F238" s="22"/>
    </row>
    <row r="239" spans="1:6" ht="15.75" customHeight="1">
      <c r="A239" s="21"/>
      <c r="B239" s="22"/>
      <c r="C239" s="22"/>
      <c r="D239" s="22"/>
      <c r="E239" s="22"/>
      <c r="F239" s="22"/>
    </row>
    <row r="240" spans="1:6" ht="15.75" customHeight="1">
      <c r="A240" s="21"/>
      <c r="B240" s="22"/>
      <c r="C240" s="22"/>
      <c r="D240" s="22"/>
      <c r="E240" s="22"/>
      <c r="F240" s="22"/>
    </row>
    <row r="241" spans="1:6" ht="15.75" customHeight="1">
      <c r="A241" s="21"/>
      <c r="B241" s="22"/>
      <c r="C241" s="22"/>
      <c r="D241" s="22"/>
      <c r="E241" s="22"/>
      <c r="F241" s="22"/>
    </row>
    <row r="242" spans="1:6" ht="15.75" customHeight="1">
      <c r="A242" s="21"/>
      <c r="B242" s="22"/>
      <c r="C242" s="22"/>
      <c r="D242" s="22"/>
      <c r="E242" s="22"/>
      <c r="F242" s="22"/>
    </row>
    <row r="243" spans="1:6" ht="15.75" customHeight="1">
      <c r="A243" s="21"/>
      <c r="B243" s="22"/>
      <c r="C243" s="22"/>
      <c r="D243" s="22"/>
      <c r="E243" s="22"/>
      <c r="F243" s="22"/>
    </row>
    <row r="244" spans="1:6" ht="15.75" customHeight="1">
      <c r="A244" s="21"/>
      <c r="B244" s="22"/>
      <c r="C244" s="22"/>
      <c r="D244" s="22"/>
      <c r="E244" s="22"/>
      <c r="F244" s="22"/>
    </row>
    <row r="245" spans="1:6" ht="15.75" customHeight="1">
      <c r="A245" s="21"/>
      <c r="B245" s="22"/>
      <c r="C245" s="22"/>
      <c r="D245" s="22"/>
      <c r="E245" s="22"/>
      <c r="F245" s="22"/>
    </row>
    <row r="246" spans="1:6" ht="15.75" customHeight="1">
      <c r="A246" s="21"/>
      <c r="B246" s="22"/>
      <c r="C246" s="22"/>
      <c r="D246" s="22"/>
      <c r="E246" s="22"/>
      <c r="F246" s="22"/>
    </row>
    <row r="247" spans="1:6" ht="15.75" customHeight="1">
      <c r="A247" s="21"/>
      <c r="B247" s="22"/>
      <c r="C247" s="22"/>
      <c r="D247" s="22"/>
      <c r="E247" s="22"/>
      <c r="F247" s="22"/>
    </row>
    <row r="248" spans="1:6" ht="15.75" customHeight="1">
      <c r="A248" s="21"/>
      <c r="B248" s="22"/>
      <c r="C248" s="22"/>
      <c r="D248" s="22"/>
      <c r="E248" s="22"/>
      <c r="F248" s="22"/>
    </row>
    <row r="249" spans="1:6" ht="15.75" customHeight="1">
      <c r="A249" s="21"/>
      <c r="B249" s="22"/>
      <c r="C249" s="22"/>
      <c r="D249" s="22"/>
      <c r="E249" s="22"/>
      <c r="F249" s="22"/>
    </row>
    <row r="250" spans="1:6" ht="15.75" customHeight="1">
      <c r="A250" s="21"/>
      <c r="B250" s="22"/>
      <c r="C250" s="22"/>
      <c r="D250" s="22"/>
      <c r="E250" s="22"/>
      <c r="F250" s="22"/>
    </row>
    <row r="251" spans="1:6" ht="15.75" customHeight="1">
      <c r="A251" s="21"/>
      <c r="B251" s="22"/>
      <c r="C251" s="22"/>
      <c r="D251" s="22"/>
      <c r="E251" s="22"/>
      <c r="F251" s="22"/>
    </row>
    <row r="252" spans="1:6" ht="15.75" customHeight="1">
      <c r="A252" s="21"/>
      <c r="B252" s="22"/>
      <c r="C252" s="22"/>
      <c r="D252" s="22"/>
      <c r="E252" s="22"/>
      <c r="F252" s="22"/>
    </row>
    <row r="253" spans="1:6" ht="15.75" customHeight="1">
      <c r="A253" s="21"/>
      <c r="B253" s="22"/>
      <c r="C253" s="22"/>
      <c r="D253" s="22"/>
      <c r="E253" s="22"/>
      <c r="F253" s="22"/>
    </row>
    <row r="254" spans="1:6" ht="15.75" customHeight="1">
      <c r="A254" s="21"/>
      <c r="B254" s="22"/>
      <c r="C254" s="22"/>
      <c r="D254" s="22"/>
      <c r="E254" s="22"/>
      <c r="F254" s="22"/>
    </row>
    <row r="255" spans="1:6" ht="15.75" customHeight="1">
      <c r="A255" s="21"/>
      <c r="B255" s="22"/>
      <c r="C255" s="22"/>
      <c r="D255" s="22"/>
      <c r="E255" s="22"/>
      <c r="F255" s="22"/>
    </row>
    <row r="256" spans="1:6" ht="15.75" customHeight="1">
      <c r="A256" s="21"/>
      <c r="B256" s="22"/>
      <c r="C256" s="22"/>
      <c r="D256" s="22"/>
      <c r="E256" s="22"/>
      <c r="F256" s="22"/>
    </row>
    <row r="257" spans="1:6" ht="15.75" customHeight="1">
      <c r="A257" s="21"/>
      <c r="B257" s="22"/>
      <c r="C257" s="22"/>
      <c r="D257" s="22"/>
      <c r="E257" s="22"/>
      <c r="F257" s="22"/>
    </row>
    <row r="258" spans="1:6" ht="15.75" customHeight="1">
      <c r="A258" s="21"/>
      <c r="B258" s="22"/>
      <c r="C258" s="22"/>
      <c r="D258" s="22"/>
      <c r="E258" s="22"/>
      <c r="F258" s="22"/>
    </row>
    <row r="259" spans="1:6" ht="15.75" customHeight="1">
      <c r="A259" s="21"/>
      <c r="B259" s="22"/>
      <c r="C259" s="22"/>
      <c r="D259" s="22"/>
      <c r="E259" s="22"/>
      <c r="F259" s="22"/>
    </row>
    <row r="260" spans="1:6" ht="15.75" customHeight="1">
      <c r="A260" s="21"/>
      <c r="B260" s="22"/>
      <c r="C260" s="22"/>
      <c r="D260" s="22"/>
      <c r="E260" s="22"/>
      <c r="F260" s="22"/>
    </row>
    <row r="261" spans="1:6" ht="15.75" customHeight="1">
      <c r="A261" s="21"/>
      <c r="B261" s="22"/>
      <c r="C261" s="22"/>
      <c r="D261" s="22"/>
      <c r="E261" s="22"/>
      <c r="F261" s="22"/>
    </row>
    <row r="262" spans="1:6" ht="15.75" customHeight="1">
      <c r="A262" s="21"/>
      <c r="B262" s="22"/>
      <c r="C262" s="22"/>
      <c r="D262" s="22"/>
      <c r="E262" s="22"/>
      <c r="F262" s="22"/>
    </row>
    <row r="263" spans="1:6" ht="15.75" customHeight="1">
      <c r="A263" s="21"/>
      <c r="B263" s="22"/>
      <c r="C263" s="22"/>
      <c r="D263" s="22"/>
      <c r="E263" s="22"/>
      <c r="F263" s="22"/>
    </row>
    <row r="264" spans="1:6" ht="15.75" customHeight="1">
      <c r="A264" s="21"/>
      <c r="B264" s="22"/>
      <c r="C264" s="22"/>
      <c r="D264" s="22"/>
      <c r="E264" s="22"/>
      <c r="F264" s="22"/>
    </row>
    <row r="265" spans="1:6" ht="15.75" customHeight="1">
      <c r="A265" s="21"/>
      <c r="B265" s="22"/>
      <c r="C265" s="22"/>
      <c r="D265" s="22"/>
      <c r="E265" s="22"/>
      <c r="F265" s="22"/>
    </row>
    <row r="266" spans="1:6" ht="15.75" customHeight="1">
      <c r="A266" s="21"/>
      <c r="B266" s="22"/>
      <c r="C266" s="22"/>
      <c r="D266" s="22"/>
      <c r="E266" s="22"/>
      <c r="F266" s="22"/>
    </row>
    <row r="267" spans="1:6" ht="15.75" customHeight="1">
      <c r="A267" s="21"/>
      <c r="B267" s="22"/>
      <c r="C267" s="22"/>
      <c r="D267" s="22"/>
      <c r="E267" s="22"/>
      <c r="F267" s="22"/>
    </row>
    <row r="268" spans="1:6" ht="15.75" customHeight="1">
      <c r="A268" s="21"/>
      <c r="B268" s="22"/>
      <c r="C268" s="22"/>
      <c r="D268" s="22"/>
      <c r="E268" s="22"/>
      <c r="F268" s="22"/>
    </row>
    <row r="269" spans="1:6" ht="15.75" customHeight="1">
      <c r="A269" s="21"/>
      <c r="B269" s="22"/>
      <c r="C269" s="22"/>
      <c r="D269" s="22"/>
      <c r="E269" s="22"/>
      <c r="F269" s="22"/>
    </row>
    <row r="270" spans="1:6" ht="15.75" customHeight="1">
      <c r="A270" s="21"/>
      <c r="B270" s="22"/>
      <c r="C270" s="22"/>
      <c r="D270" s="22"/>
      <c r="E270" s="22"/>
      <c r="F270" s="22"/>
    </row>
    <row r="271" spans="1:6" ht="15.75" customHeight="1">
      <c r="A271" s="21"/>
      <c r="B271" s="22"/>
      <c r="C271" s="22"/>
      <c r="D271" s="22"/>
      <c r="E271" s="22"/>
      <c r="F271" s="22"/>
    </row>
    <row r="272" spans="1:6" ht="15.75" customHeight="1">
      <c r="A272" s="21"/>
      <c r="B272" s="22"/>
      <c r="C272" s="22"/>
      <c r="D272" s="22"/>
      <c r="E272" s="22"/>
      <c r="F272" s="22"/>
    </row>
    <row r="273" spans="1:6" ht="15.75" customHeight="1">
      <c r="A273" s="21"/>
      <c r="B273" s="22"/>
      <c r="C273" s="22"/>
      <c r="D273" s="22"/>
      <c r="E273" s="22"/>
      <c r="F273" s="22"/>
    </row>
    <row r="274" spans="1:6" ht="15.75" customHeight="1">
      <c r="A274" s="21"/>
      <c r="B274" s="22"/>
      <c r="C274" s="22"/>
      <c r="D274" s="22"/>
      <c r="E274" s="22"/>
      <c r="F274" s="22"/>
    </row>
    <row r="275" spans="1:6" ht="15.75" customHeight="1">
      <c r="A275" s="21"/>
      <c r="B275" s="22"/>
      <c r="C275" s="22"/>
      <c r="D275" s="22"/>
      <c r="E275" s="22"/>
      <c r="F275" s="22"/>
    </row>
    <row r="276" spans="1:6" ht="15.75" customHeight="1">
      <c r="A276" s="21"/>
      <c r="B276" s="22"/>
      <c r="C276" s="22"/>
      <c r="D276" s="22"/>
      <c r="E276" s="22"/>
      <c r="F276" s="22"/>
    </row>
    <row r="277" spans="1:6" ht="15.75" customHeight="1">
      <c r="A277" s="21"/>
      <c r="B277" s="22"/>
      <c r="C277" s="22"/>
      <c r="D277" s="22"/>
      <c r="E277" s="22"/>
      <c r="F277" s="22"/>
    </row>
    <row r="278" spans="1:6" ht="15.75" customHeight="1">
      <c r="A278" s="21"/>
      <c r="B278" s="22"/>
      <c r="C278" s="22"/>
      <c r="D278" s="22"/>
      <c r="E278" s="22"/>
      <c r="F278" s="22"/>
    </row>
    <row r="279" spans="1:6" ht="15.75" customHeight="1">
      <c r="A279" s="21"/>
      <c r="B279" s="22"/>
      <c r="C279" s="22"/>
      <c r="D279" s="22"/>
      <c r="E279" s="22"/>
      <c r="F279" s="22"/>
    </row>
    <row r="280" spans="1:6" ht="15.75" customHeight="1">
      <c r="A280" s="21"/>
      <c r="B280" s="22"/>
      <c r="C280" s="22"/>
      <c r="D280" s="22"/>
      <c r="E280" s="22"/>
      <c r="F280" s="22"/>
    </row>
    <row r="281" spans="1:6" ht="15.75" customHeight="1">
      <c r="A281" s="21"/>
      <c r="B281" s="22"/>
      <c r="C281" s="22"/>
      <c r="D281" s="22"/>
      <c r="E281" s="22"/>
      <c r="F281" s="22"/>
    </row>
    <row r="282" spans="1:6" ht="15.75" customHeight="1">
      <c r="A282" s="21"/>
      <c r="B282" s="22"/>
      <c r="C282" s="22"/>
      <c r="D282" s="22"/>
      <c r="E282" s="22"/>
      <c r="F282" s="22"/>
    </row>
    <row r="283" spans="1:6" ht="15.75" customHeight="1">
      <c r="A283" s="21"/>
      <c r="B283" s="22"/>
      <c r="C283" s="22"/>
      <c r="D283" s="22"/>
      <c r="E283" s="22"/>
      <c r="F283" s="22"/>
    </row>
    <row r="284" spans="1:6" ht="15.75" customHeight="1">
      <c r="A284" s="21"/>
      <c r="B284" s="22"/>
      <c r="C284" s="22"/>
      <c r="D284" s="22"/>
      <c r="E284" s="22"/>
      <c r="F284" s="22"/>
    </row>
    <row r="285" spans="1:6" ht="15.75" customHeight="1">
      <c r="A285" s="21"/>
      <c r="B285" s="22"/>
      <c r="C285" s="22"/>
      <c r="D285" s="22"/>
      <c r="E285" s="22"/>
      <c r="F285" s="22"/>
    </row>
    <row r="286" spans="1:6" ht="15.75" customHeight="1">
      <c r="A286" s="21"/>
      <c r="B286" s="22"/>
      <c r="C286" s="22"/>
      <c r="D286" s="22"/>
      <c r="E286" s="22"/>
      <c r="F286" s="22"/>
    </row>
    <row r="287" spans="1:6" ht="15.75" customHeight="1">
      <c r="A287" s="21"/>
      <c r="B287" s="22"/>
      <c r="C287" s="22"/>
      <c r="D287" s="22"/>
      <c r="E287" s="22"/>
      <c r="F287" s="22"/>
    </row>
    <row r="288" spans="1:6" ht="15.75" customHeight="1">
      <c r="A288" s="21"/>
      <c r="B288" s="22"/>
      <c r="C288" s="22"/>
      <c r="D288" s="22"/>
      <c r="E288" s="22"/>
      <c r="F288" s="22"/>
    </row>
    <row r="289" spans="1:6" ht="15.75" customHeight="1">
      <c r="A289" s="21"/>
      <c r="B289" s="22"/>
      <c r="C289" s="22"/>
      <c r="D289" s="22"/>
      <c r="E289" s="22"/>
      <c r="F289" s="22"/>
    </row>
    <row r="290" spans="1:6" ht="15.75" customHeight="1">
      <c r="A290" s="21"/>
      <c r="B290" s="22"/>
      <c r="C290" s="22"/>
      <c r="D290" s="22"/>
      <c r="E290" s="22"/>
      <c r="F290" s="22"/>
    </row>
    <row r="291" spans="1:6" ht="15.75" customHeight="1">
      <c r="A291" s="21"/>
      <c r="B291" s="22"/>
      <c r="C291" s="22"/>
      <c r="D291" s="22"/>
      <c r="E291" s="22"/>
      <c r="F291" s="22"/>
    </row>
    <row r="292" spans="1:6" ht="15.75" customHeight="1">
      <c r="A292" s="21"/>
      <c r="B292" s="22"/>
      <c r="C292" s="22"/>
      <c r="D292" s="22"/>
      <c r="E292" s="22"/>
      <c r="F292" s="22"/>
    </row>
    <row r="293" spans="1:6" ht="15.75" customHeight="1">
      <c r="A293" s="21"/>
      <c r="B293" s="22"/>
      <c r="C293" s="22"/>
      <c r="D293" s="22"/>
      <c r="E293" s="22"/>
      <c r="F293" s="22"/>
    </row>
    <row r="294" spans="1:6" ht="15.75" customHeight="1">
      <c r="A294" s="21"/>
      <c r="B294" s="22"/>
      <c r="C294" s="22"/>
      <c r="D294" s="22"/>
      <c r="E294" s="22"/>
      <c r="F294" s="22"/>
    </row>
    <row r="295" spans="1:6" ht="15.75" customHeight="1">
      <c r="A295" s="21"/>
      <c r="B295" s="22"/>
      <c r="C295" s="22"/>
      <c r="D295" s="22"/>
      <c r="E295" s="22"/>
      <c r="F295" s="22"/>
    </row>
    <row r="296" spans="1:6" ht="15.75" customHeight="1">
      <c r="A296" s="21"/>
      <c r="B296" s="22"/>
      <c r="C296" s="22"/>
      <c r="D296" s="22"/>
      <c r="E296" s="22"/>
      <c r="F296" s="22"/>
    </row>
    <row r="297" spans="1:6" ht="15.75" customHeight="1">
      <c r="A297" s="21"/>
      <c r="B297" s="22"/>
      <c r="C297" s="22"/>
      <c r="D297" s="22"/>
      <c r="E297" s="22"/>
      <c r="F297" s="22"/>
    </row>
    <row r="298" spans="1:6" ht="15.75" customHeight="1">
      <c r="A298" s="21"/>
      <c r="B298" s="22"/>
      <c r="C298" s="22"/>
      <c r="D298" s="22"/>
      <c r="E298" s="22"/>
      <c r="F298" s="22"/>
    </row>
    <row r="299" spans="1:6" ht="15.75" customHeight="1">
      <c r="A299" s="21"/>
      <c r="B299" s="22"/>
      <c r="C299" s="22"/>
      <c r="D299" s="22"/>
      <c r="E299" s="22"/>
      <c r="F299" s="22"/>
    </row>
    <row r="300" spans="1:6" ht="15.75" customHeight="1">
      <c r="A300" s="21"/>
      <c r="B300" s="22"/>
      <c r="C300" s="22"/>
      <c r="D300" s="22"/>
      <c r="E300" s="22"/>
      <c r="F300" s="22"/>
    </row>
    <row r="301" spans="1:6" ht="15.75" customHeight="1">
      <c r="A301" s="21"/>
      <c r="B301" s="22"/>
      <c r="C301" s="22"/>
      <c r="D301" s="22"/>
      <c r="E301" s="22"/>
      <c r="F301" s="22"/>
    </row>
    <row r="302" spans="1:6" ht="15.75" customHeight="1">
      <c r="A302" s="21"/>
      <c r="B302" s="22"/>
      <c r="C302" s="22"/>
      <c r="D302" s="22"/>
      <c r="E302" s="22"/>
      <c r="F302" s="22"/>
    </row>
    <row r="303" spans="1:6" ht="15.75" customHeight="1">
      <c r="A303" s="21"/>
      <c r="B303" s="22"/>
      <c r="C303" s="22"/>
      <c r="D303" s="22"/>
      <c r="E303" s="22"/>
      <c r="F303" s="22"/>
    </row>
    <row r="304" spans="1:6" ht="15.75" customHeight="1">
      <c r="A304" s="21"/>
      <c r="B304" s="22"/>
      <c r="C304" s="22"/>
      <c r="D304" s="22"/>
      <c r="E304" s="22"/>
      <c r="F304" s="22"/>
    </row>
    <row r="305" spans="1:6" ht="15.75" customHeight="1">
      <c r="A305" s="21"/>
      <c r="B305" s="22"/>
      <c r="C305" s="22"/>
      <c r="D305" s="22"/>
      <c r="E305" s="22"/>
      <c r="F305" s="22"/>
    </row>
    <row r="306" spans="1:6" ht="15.75" customHeight="1">
      <c r="A306" s="21"/>
      <c r="B306" s="22"/>
      <c r="C306" s="22"/>
      <c r="D306" s="22"/>
      <c r="E306" s="22"/>
      <c r="F306" s="22"/>
    </row>
    <row r="307" spans="1:6" ht="15.75" customHeight="1">
      <c r="A307" s="21"/>
      <c r="B307" s="22"/>
      <c r="C307" s="22"/>
      <c r="D307" s="22"/>
      <c r="E307" s="22"/>
      <c r="F307" s="22"/>
    </row>
    <row r="308" spans="1:6" ht="15.75" customHeight="1">
      <c r="A308" s="21"/>
      <c r="B308" s="22"/>
      <c r="C308" s="22"/>
      <c r="D308" s="22"/>
      <c r="E308" s="22"/>
      <c r="F308" s="22"/>
    </row>
    <row r="309" spans="1:6" ht="15.75" customHeight="1">
      <c r="A309" s="21"/>
      <c r="B309" s="22"/>
      <c r="C309" s="22"/>
      <c r="D309" s="22"/>
      <c r="E309" s="22"/>
      <c r="F309" s="22"/>
    </row>
    <row r="310" spans="1:6" ht="15.75" customHeight="1">
      <c r="A310" s="21"/>
      <c r="B310" s="22"/>
      <c r="C310" s="22"/>
      <c r="D310" s="22"/>
      <c r="E310" s="22"/>
      <c r="F310" s="22"/>
    </row>
    <row r="311" spans="1:6" ht="15.75" customHeight="1">
      <c r="A311" s="21"/>
      <c r="B311" s="22"/>
      <c r="C311" s="22"/>
      <c r="D311" s="22"/>
      <c r="E311" s="22"/>
      <c r="F311" s="22"/>
    </row>
    <row r="312" spans="1:6" ht="15.75" customHeight="1">
      <c r="A312" s="21"/>
      <c r="B312" s="22"/>
      <c r="C312" s="22"/>
      <c r="D312" s="22"/>
      <c r="E312" s="22"/>
      <c r="F312" s="22"/>
    </row>
    <row r="313" spans="1:6" ht="15.75" customHeight="1">
      <c r="A313" s="21"/>
      <c r="B313" s="22"/>
      <c r="C313" s="22"/>
      <c r="D313" s="22"/>
      <c r="E313" s="22"/>
      <c r="F313" s="22"/>
    </row>
    <row r="314" spans="1:6" ht="15.75" customHeight="1">
      <c r="A314" s="21"/>
      <c r="B314" s="22"/>
      <c r="C314" s="22"/>
      <c r="D314" s="22"/>
      <c r="E314" s="22"/>
      <c r="F314" s="22"/>
    </row>
    <row r="315" spans="1:6" ht="15.75" customHeight="1">
      <c r="A315" s="21"/>
      <c r="B315" s="22"/>
      <c r="C315" s="22"/>
      <c r="D315" s="22"/>
      <c r="E315" s="22"/>
      <c r="F315" s="22"/>
    </row>
    <row r="316" spans="1:6" ht="15.75" customHeight="1">
      <c r="A316" s="21"/>
      <c r="B316" s="22"/>
      <c r="C316" s="22"/>
      <c r="D316" s="22"/>
      <c r="E316" s="22"/>
      <c r="F316" s="22"/>
    </row>
    <row r="317" spans="1:6" ht="15.75" customHeight="1">
      <c r="A317" s="21"/>
      <c r="B317" s="22"/>
      <c r="C317" s="22"/>
      <c r="D317" s="22"/>
      <c r="E317" s="22"/>
      <c r="F317" s="22"/>
    </row>
    <row r="318" spans="1:6" ht="15.75" customHeight="1">
      <c r="A318" s="21"/>
      <c r="B318" s="22"/>
      <c r="C318" s="22"/>
      <c r="D318" s="22"/>
      <c r="E318" s="22"/>
      <c r="F318" s="22"/>
    </row>
    <row r="319" spans="1:6" ht="15.75" customHeight="1">
      <c r="A319" s="21"/>
      <c r="B319" s="22"/>
      <c r="C319" s="22"/>
      <c r="D319" s="22"/>
      <c r="E319" s="22"/>
      <c r="F319" s="22"/>
    </row>
    <row r="320" spans="1:6" ht="15.75" customHeight="1">
      <c r="A320" s="21"/>
      <c r="B320" s="22"/>
      <c r="C320" s="22"/>
      <c r="D320" s="22"/>
      <c r="E320" s="22"/>
      <c r="F320" s="22"/>
    </row>
    <row r="321" spans="1:6" ht="15.75" customHeight="1">
      <c r="A321" s="21"/>
      <c r="B321" s="22"/>
      <c r="C321" s="22"/>
      <c r="D321" s="22"/>
      <c r="E321" s="22"/>
      <c r="F321" s="22"/>
    </row>
    <row r="322" spans="1:6" ht="15.75" customHeight="1">
      <c r="A322" s="21"/>
      <c r="B322" s="22"/>
      <c r="C322" s="22"/>
      <c r="D322" s="22"/>
      <c r="E322" s="22"/>
      <c r="F322" s="22"/>
    </row>
    <row r="323" spans="1:6" ht="15.75" customHeight="1">
      <c r="A323" s="21"/>
      <c r="B323" s="22"/>
      <c r="C323" s="22"/>
      <c r="D323" s="22"/>
      <c r="E323" s="22"/>
      <c r="F323" s="22"/>
    </row>
    <row r="324" spans="1:6" ht="15.75" customHeight="1">
      <c r="A324" s="21"/>
      <c r="B324" s="22"/>
      <c r="C324" s="22"/>
      <c r="D324" s="22"/>
      <c r="E324" s="22"/>
      <c r="F324" s="22"/>
    </row>
    <row r="325" spans="1:6" ht="15.75" customHeight="1">
      <c r="A325" s="21"/>
      <c r="B325" s="22"/>
      <c r="C325" s="22"/>
      <c r="D325" s="22"/>
      <c r="E325" s="22"/>
      <c r="F325" s="22"/>
    </row>
    <row r="326" spans="1:6" ht="15.75" customHeight="1">
      <c r="A326" s="21"/>
      <c r="B326" s="22"/>
      <c r="C326" s="22"/>
      <c r="D326" s="22"/>
      <c r="E326" s="22"/>
      <c r="F326" s="22"/>
    </row>
    <row r="327" spans="1:6" ht="15.75" customHeight="1">
      <c r="A327" s="21"/>
      <c r="B327" s="22"/>
      <c r="C327" s="22"/>
      <c r="D327" s="22"/>
      <c r="E327" s="22"/>
      <c r="F327" s="22"/>
    </row>
    <row r="328" spans="1:6" ht="15.75" customHeight="1">
      <c r="A328" s="21"/>
      <c r="B328" s="22"/>
      <c r="C328" s="22"/>
      <c r="D328" s="22"/>
      <c r="E328" s="22"/>
      <c r="F328" s="22"/>
    </row>
    <row r="329" spans="1:6" ht="15.75" customHeight="1">
      <c r="A329" s="21"/>
      <c r="B329" s="22"/>
      <c r="C329" s="22"/>
      <c r="D329" s="22"/>
      <c r="E329" s="22"/>
      <c r="F329" s="22"/>
    </row>
    <row r="330" spans="1:6" ht="15.75" customHeight="1">
      <c r="A330" s="21"/>
      <c r="B330" s="22"/>
      <c r="C330" s="22"/>
      <c r="D330" s="22"/>
      <c r="E330" s="22"/>
      <c r="F330" s="22"/>
    </row>
    <row r="331" spans="1:6" ht="15.75" customHeight="1">
      <c r="A331" s="21"/>
      <c r="B331" s="22"/>
      <c r="C331" s="22"/>
      <c r="D331" s="22"/>
      <c r="E331" s="22"/>
      <c r="F331" s="22"/>
    </row>
    <row r="332" spans="1:6" ht="15.75" customHeight="1">
      <c r="A332" s="21"/>
      <c r="B332" s="22"/>
      <c r="C332" s="22"/>
      <c r="D332" s="22"/>
      <c r="E332" s="22"/>
      <c r="F332" s="22"/>
    </row>
    <row r="333" spans="1:6" ht="15.75" customHeight="1">
      <c r="A333" s="21"/>
      <c r="B333" s="22"/>
      <c r="C333" s="22"/>
      <c r="D333" s="22"/>
      <c r="E333" s="22"/>
      <c r="F333" s="22"/>
    </row>
    <row r="334" spans="1:6" ht="15.75" customHeight="1">
      <c r="A334" s="21"/>
      <c r="B334" s="22"/>
      <c r="C334" s="22"/>
      <c r="D334" s="22"/>
      <c r="E334" s="22"/>
      <c r="F334" s="22"/>
    </row>
    <row r="335" spans="1:6" ht="15.75" customHeight="1">
      <c r="A335" s="21"/>
      <c r="B335" s="22"/>
      <c r="C335" s="22"/>
      <c r="D335" s="22"/>
      <c r="E335" s="22"/>
      <c r="F335" s="22"/>
    </row>
    <row r="336" spans="1:6" ht="15.75" customHeight="1">
      <c r="A336" s="21"/>
      <c r="B336" s="22"/>
      <c r="C336" s="22"/>
      <c r="D336" s="22"/>
      <c r="E336" s="22"/>
      <c r="F336" s="22"/>
    </row>
    <row r="337" spans="1:6" ht="15.75" customHeight="1">
      <c r="A337" s="21"/>
      <c r="B337" s="22"/>
      <c r="C337" s="22"/>
      <c r="D337" s="22"/>
      <c r="E337" s="22"/>
      <c r="F337" s="22"/>
    </row>
    <row r="338" spans="1:6" ht="15.75" customHeight="1">
      <c r="A338" s="21"/>
      <c r="B338" s="22"/>
      <c r="C338" s="22"/>
      <c r="D338" s="22"/>
      <c r="E338" s="22"/>
      <c r="F338" s="22"/>
    </row>
    <row r="339" spans="1:6" ht="15.75" customHeight="1">
      <c r="A339" s="21"/>
      <c r="B339" s="22"/>
      <c r="C339" s="22"/>
      <c r="D339" s="22"/>
      <c r="E339" s="22"/>
      <c r="F339" s="22"/>
    </row>
    <row r="340" spans="1:6" ht="15.75" customHeight="1">
      <c r="A340" s="21"/>
      <c r="B340" s="22"/>
      <c r="C340" s="22"/>
      <c r="D340" s="22"/>
      <c r="E340" s="22"/>
      <c r="F340" s="22"/>
    </row>
    <row r="341" spans="1:6" ht="15.75" customHeight="1">
      <c r="A341" s="21"/>
      <c r="B341" s="22"/>
      <c r="C341" s="22"/>
      <c r="D341" s="22"/>
      <c r="E341" s="22"/>
      <c r="F341" s="22"/>
    </row>
    <row r="342" spans="1:6" ht="15.75" customHeight="1">
      <c r="A342" s="21"/>
      <c r="B342" s="22"/>
      <c r="C342" s="22"/>
      <c r="D342" s="22"/>
      <c r="E342" s="22"/>
      <c r="F342" s="22"/>
    </row>
    <row r="343" spans="1:6" ht="15.75" customHeight="1">
      <c r="A343" s="21"/>
      <c r="B343" s="22"/>
      <c r="C343" s="22"/>
      <c r="D343" s="22"/>
      <c r="E343" s="22"/>
      <c r="F343" s="22"/>
    </row>
    <row r="344" spans="1:6" ht="15.75" customHeight="1">
      <c r="A344" s="21"/>
      <c r="B344" s="22"/>
      <c r="C344" s="22"/>
      <c r="D344" s="22"/>
      <c r="E344" s="22"/>
      <c r="F344" s="22"/>
    </row>
    <row r="345" spans="1:6" ht="15.75" customHeight="1">
      <c r="A345" s="21"/>
      <c r="B345" s="22"/>
      <c r="C345" s="22"/>
      <c r="D345" s="22"/>
      <c r="E345" s="22"/>
      <c r="F345" s="22"/>
    </row>
    <row r="346" spans="1:6" ht="15.75" customHeight="1">
      <c r="A346" s="21"/>
      <c r="B346" s="22"/>
      <c r="C346" s="22"/>
      <c r="D346" s="22"/>
      <c r="E346" s="22"/>
      <c r="F346" s="22"/>
    </row>
    <row r="347" spans="1:6" ht="15.75" customHeight="1">
      <c r="A347" s="21"/>
      <c r="B347" s="22"/>
      <c r="C347" s="22"/>
      <c r="D347" s="22"/>
      <c r="E347" s="22"/>
      <c r="F347" s="22"/>
    </row>
    <row r="348" spans="1:6" ht="15.75" customHeight="1">
      <c r="A348" s="21"/>
      <c r="B348" s="22"/>
      <c r="C348" s="22"/>
      <c r="D348" s="22"/>
      <c r="E348" s="22"/>
      <c r="F348" s="22"/>
    </row>
    <row r="349" spans="1:6" ht="15.75" customHeight="1">
      <c r="A349" s="21"/>
      <c r="B349" s="22"/>
      <c r="C349" s="22"/>
      <c r="D349" s="22"/>
      <c r="E349" s="22"/>
      <c r="F349" s="22"/>
    </row>
    <row r="350" spans="1:6" ht="15.75" customHeight="1">
      <c r="A350" s="21"/>
      <c r="B350" s="22"/>
      <c r="C350" s="22"/>
      <c r="D350" s="22"/>
      <c r="E350" s="22"/>
      <c r="F350" s="22"/>
    </row>
    <row r="351" spans="1:6" ht="15.75" customHeight="1">
      <c r="A351" s="21"/>
      <c r="B351" s="22"/>
      <c r="C351" s="22"/>
      <c r="D351" s="22"/>
      <c r="E351" s="22"/>
      <c r="F351" s="22"/>
    </row>
    <row r="352" spans="1:6" ht="15.75" customHeight="1">
      <c r="A352" s="21"/>
      <c r="B352" s="22"/>
      <c r="C352" s="22"/>
      <c r="D352" s="22"/>
      <c r="E352" s="22"/>
      <c r="F352" s="22"/>
    </row>
    <row r="353" spans="1:6" ht="15.75" customHeight="1">
      <c r="A353" s="21"/>
      <c r="B353" s="22"/>
      <c r="C353" s="22"/>
      <c r="D353" s="22"/>
      <c r="E353" s="22"/>
      <c r="F353" s="22"/>
    </row>
    <row r="354" spans="1:6" ht="15.75" customHeight="1">
      <c r="A354" s="21"/>
      <c r="B354" s="22"/>
      <c r="C354" s="22"/>
      <c r="D354" s="22"/>
      <c r="E354" s="22"/>
      <c r="F354" s="22"/>
    </row>
    <row r="355" spans="1:6" ht="15.75" customHeight="1">
      <c r="A355" s="21"/>
      <c r="B355" s="22"/>
      <c r="C355" s="22"/>
      <c r="D355" s="22"/>
      <c r="E355" s="22"/>
      <c r="F355" s="22"/>
    </row>
    <row r="356" spans="1:6" ht="15.75" customHeight="1">
      <c r="A356" s="21"/>
      <c r="B356" s="22"/>
      <c r="C356" s="22"/>
      <c r="D356" s="22"/>
      <c r="E356" s="22"/>
      <c r="F356" s="22"/>
    </row>
    <row r="357" spans="1:6" ht="15.75" customHeight="1">
      <c r="A357" s="21"/>
      <c r="B357" s="22"/>
      <c r="C357" s="22"/>
      <c r="D357" s="22"/>
      <c r="E357" s="22"/>
      <c r="F357" s="22"/>
    </row>
    <row r="358" spans="1:6" ht="15.75" customHeight="1">
      <c r="A358" s="21"/>
      <c r="B358" s="22"/>
      <c r="C358" s="22"/>
      <c r="D358" s="22"/>
      <c r="E358" s="22"/>
      <c r="F358" s="22"/>
    </row>
    <row r="359" spans="1:6" ht="15.75" customHeight="1">
      <c r="A359" s="21"/>
      <c r="B359" s="22"/>
      <c r="C359" s="22"/>
      <c r="D359" s="22"/>
      <c r="E359" s="22"/>
      <c r="F359" s="22"/>
    </row>
    <row r="360" spans="1:6" ht="15.75" customHeight="1">
      <c r="A360" s="21"/>
      <c r="B360" s="22"/>
      <c r="C360" s="22"/>
      <c r="D360" s="22"/>
      <c r="E360" s="22"/>
      <c r="F360" s="22"/>
    </row>
    <row r="361" spans="1:6" ht="15.75" customHeight="1">
      <c r="A361" s="21"/>
      <c r="B361" s="22"/>
      <c r="C361" s="22"/>
      <c r="D361" s="22"/>
      <c r="E361" s="22"/>
      <c r="F361" s="22"/>
    </row>
    <row r="362" spans="1:6" ht="15.75" customHeight="1">
      <c r="A362" s="21"/>
      <c r="B362" s="22"/>
      <c r="C362" s="22"/>
      <c r="D362" s="22"/>
      <c r="E362" s="22"/>
      <c r="F362" s="22"/>
    </row>
    <row r="363" spans="1:6" ht="15.75" customHeight="1">
      <c r="A363" s="21"/>
      <c r="B363" s="22"/>
      <c r="C363" s="22"/>
      <c r="D363" s="22"/>
      <c r="E363" s="22"/>
      <c r="F363" s="22"/>
    </row>
    <row r="364" spans="1:6" ht="15.75" customHeight="1">
      <c r="A364" s="21"/>
      <c r="B364" s="22"/>
      <c r="C364" s="22"/>
      <c r="D364" s="22"/>
      <c r="E364" s="22"/>
      <c r="F364" s="22"/>
    </row>
    <row r="365" spans="1:6" ht="15.75" customHeight="1">
      <c r="A365" s="21"/>
      <c r="B365" s="22"/>
      <c r="C365" s="22"/>
      <c r="D365" s="22"/>
      <c r="E365" s="22"/>
      <c r="F365" s="22"/>
    </row>
    <row r="366" spans="1:6" ht="15.75" customHeight="1">
      <c r="A366" s="21"/>
      <c r="B366" s="22"/>
      <c r="C366" s="22"/>
      <c r="D366" s="22"/>
      <c r="E366" s="22"/>
      <c r="F366" s="22"/>
    </row>
    <row r="367" spans="1:6" ht="15.75" customHeight="1">
      <c r="A367" s="21"/>
      <c r="B367" s="22"/>
      <c r="C367" s="22"/>
      <c r="D367" s="22"/>
      <c r="E367" s="22"/>
      <c r="F367" s="22"/>
    </row>
    <row r="368" spans="1:6" ht="15.75" customHeight="1">
      <c r="A368" s="21"/>
      <c r="B368" s="22"/>
      <c r="C368" s="22"/>
      <c r="D368" s="22"/>
      <c r="E368" s="22"/>
      <c r="F368" s="22"/>
    </row>
    <row r="369" spans="1:6" ht="15.75" customHeight="1">
      <c r="A369" s="21"/>
      <c r="B369" s="22"/>
      <c r="C369" s="22"/>
      <c r="D369" s="22"/>
      <c r="E369" s="22"/>
      <c r="F369" s="22"/>
    </row>
    <row r="370" spans="1:6" ht="15.75" customHeight="1">
      <c r="A370" s="21"/>
      <c r="B370" s="22"/>
      <c r="C370" s="22"/>
      <c r="D370" s="22"/>
      <c r="E370" s="22"/>
      <c r="F370" s="22"/>
    </row>
    <row r="371" spans="1:6" ht="15.75" customHeight="1">
      <c r="A371" s="21"/>
      <c r="B371" s="22"/>
      <c r="C371" s="22"/>
      <c r="D371" s="22"/>
      <c r="E371" s="22"/>
      <c r="F371" s="22"/>
    </row>
    <row r="372" spans="1:6" ht="15.75" customHeight="1">
      <c r="A372" s="21"/>
      <c r="B372" s="22"/>
      <c r="C372" s="22"/>
      <c r="D372" s="22"/>
      <c r="E372" s="22"/>
      <c r="F372" s="22"/>
    </row>
    <row r="373" spans="1:6" ht="15.75" customHeight="1">
      <c r="A373" s="21"/>
      <c r="B373" s="22"/>
      <c r="C373" s="22"/>
      <c r="D373" s="22"/>
      <c r="E373" s="22"/>
      <c r="F373" s="22"/>
    </row>
    <row r="374" spans="1:6" ht="15.75" customHeight="1">
      <c r="A374" s="21"/>
      <c r="B374" s="22"/>
      <c r="C374" s="22"/>
      <c r="D374" s="22"/>
      <c r="E374" s="22"/>
      <c r="F374" s="22"/>
    </row>
    <row r="375" spans="1:6" ht="15.75" customHeight="1">
      <c r="A375" s="21"/>
      <c r="B375" s="22"/>
      <c r="C375" s="22"/>
      <c r="D375" s="22"/>
      <c r="E375" s="22"/>
      <c r="F375" s="22"/>
    </row>
    <row r="376" spans="1:6" ht="15.75" customHeight="1">
      <c r="A376" s="21"/>
      <c r="B376" s="22"/>
      <c r="C376" s="22"/>
      <c r="D376" s="22"/>
      <c r="E376" s="22"/>
      <c r="F376" s="22"/>
    </row>
    <row r="377" spans="1:6" ht="15.75" customHeight="1">
      <c r="A377" s="21"/>
      <c r="B377" s="22"/>
      <c r="C377" s="22"/>
      <c r="D377" s="22"/>
      <c r="E377" s="22"/>
      <c r="F377" s="22"/>
    </row>
    <row r="378" spans="1:6" ht="15.75" customHeight="1">
      <c r="A378" s="21"/>
      <c r="B378" s="22"/>
      <c r="C378" s="22"/>
      <c r="D378" s="22"/>
      <c r="E378" s="22"/>
      <c r="F378" s="22"/>
    </row>
    <row r="379" spans="1:6" ht="15.75" customHeight="1">
      <c r="A379" s="21"/>
      <c r="B379" s="22"/>
      <c r="C379" s="22"/>
      <c r="D379" s="22"/>
      <c r="E379" s="22"/>
      <c r="F379" s="22"/>
    </row>
    <row r="380" spans="1:6" ht="15.75" customHeight="1">
      <c r="A380" s="21"/>
      <c r="B380" s="22"/>
      <c r="C380" s="22"/>
      <c r="D380" s="22"/>
      <c r="E380" s="22"/>
      <c r="F380" s="22"/>
    </row>
    <row r="381" spans="1:6" ht="15.75" customHeight="1">
      <c r="A381" s="21"/>
      <c r="B381" s="22"/>
      <c r="C381" s="22"/>
      <c r="D381" s="22"/>
      <c r="E381" s="22"/>
      <c r="F381" s="22"/>
    </row>
    <row r="382" spans="1:6" ht="15.75" customHeight="1">
      <c r="A382" s="21"/>
      <c r="B382" s="22"/>
      <c r="C382" s="22"/>
      <c r="D382" s="22"/>
      <c r="E382" s="22"/>
      <c r="F382" s="22"/>
    </row>
    <row r="383" spans="1:6" ht="15.75" customHeight="1">
      <c r="A383" s="21"/>
      <c r="B383" s="22"/>
      <c r="C383" s="22"/>
      <c r="D383" s="22"/>
      <c r="E383" s="22"/>
      <c r="F383" s="22"/>
    </row>
    <row r="384" spans="1:6" ht="15.75" customHeight="1">
      <c r="A384" s="21"/>
      <c r="B384" s="22"/>
      <c r="C384" s="22"/>
      <c r="D384" s="22"/>
      <c r="E384" s="22"/>
      <c r="F384" s="22"/>
    </row>
    <row r="385" spans="1:6" ht="15.75" customHeight="1">
      <c r="A385" s="21"/>
      <c r="B385" s="22"/>
      <c r="C385" s="22"/>
      <c r="D385" s="22"/>
      <c r="E385" s="22"/>
      <c r="F385" s="22"/>
    </row>
    <row r="386" spans="1:6" ht="15.75" customHeight="1">
      <c r="A386" s="21"/>
      <c r="B386" s="22"/>
      <c r="C386" s="22"/>
      <c r="D386" s="22"/>
      <c r="E386" s="22"/>
      <c r="F386" s="22"/>
    </row>
    <row r="387" spans="1:6" ht="15.75" customHeight="1">
      <c r="A387" s="21"/>
      <c r="B387" s="22"/>
      <c r="C387" s="22"/>
      <c r="D387" s="22"/>
      <c r="E387" s="22"/>
      <c r="F387" s="22"/>
    </row>
    <row r="388" spans="1:6" ht="15.75" customHeight="1">
      <c r="A388" s="21"/>
      <c r="B388" s="22"/>
      <c r="C388" s="22"/>
      <c r="D388" s="22"/>
      <c r="E388" s="22"/>
      <c r="F388" s="22"/>
    </row>
    <row r="389" spans="1:6" ht="15.75" customHeight="1">
      <c r="A389" s="21"/>
      <c r="B389" s="22"/>
      <c r="C389" s="22"/>
      <c r="D389" s="22"/>
      <c r="E389" s="22"/>
      <c r="F389" s="22"/>
    </row>
    <row r="390" spans="1:6" ht="15.75" customHeight="1">
      <c r="A390" s="21"/>
      <c r="B390" s="22"/>
      <c r="C390" s="22"/>
      <c r="D390" s="22"/>
      <c r="E390" s="22"/>
      <c r="F390" s="22"/>
    </row>
    <row r="391" spans="1:6" ht="15.75" customHeight="1">
      <c r="A391" s="21"/>
      <c r="B391" s="22"/>
      <c r="C391" s="22"/>
      <c r="D391" s="22"/>
      <c r="E391" s="22"/>
      <c r="F391" s="22"/>
    </row>
    <row r="392" spans="1:6" ht="15.75" customHeight="1">
      <c r="A392" s="21"/>
      <c r="B392" s="22"/>
      <c r="C392" s="22"/>
      <c r="D392" s="22"/>
      <c r="E392" s="22"/>
      <c r="F392" s="22"/>
    </row>
    <row r="393" spans="1:6" ht="15.75" customHeight="1">
      <c r="A393" s="21"/>
      <c r="B393" s="22"/>
      <c r="C393" s="22"/>
      <c r="D393" s="22"/>
      <c r="E393" s="22"/>
      <c r="F393" s="22"/>
    </row>
    <row r="394" spans="1:6" ht="15.75" customHeight="1">
      <c r="A394" s="21"/>
      <c r="B394" s="22"/>
      <c r="C394" s="22"/>
      <c r="D394" s="22"/>
      <c r="E394" s="22"/>
      <c r="F394" s="22"/>
    </row>
    <row r="395" spans="1:6" ht="15.75" customHeight="1">
      <c r="A395" s="21"/>
      <c r="B395" s="22"/>
      <c r="C395" s="22"/>
      <c r="D395" s="22"/>
      <c r="E395" s="22"/>
      <c r="F395" s="22"/>
    </row>
    <row r="396" spans="1:6" ht="15.75" customHeight="1">
      <c r="A396" s="21"/>
      <c r="B396" s="22"/>
      <c r="C396" s="22"/>
      <c r="D396" s="22"/>
      <c r="E396" s="22"/>
      <c r="F396" s="22"/>
    </row>
    <row r="397" spans="1:6" ht="15.75" customHeight="1">
      <c r="A397" s="21"/>
      <c r="B397" s="22"/>
      <c r="C397" s="22"/>
      <c r="D397" s="22"/>
      <c r="E397" s="22"/>
      <c r="F397" s="22"/>
    </row>
    <row r="398" spans="1:6" ht="15.75" customHeight="1">
      <c r="A398" s="21"/>
      <c r="B398" s="22"/>
      <c r="C398" s="22"/>
      <c r="D398" s="22"/>
      <c r="E398" s="22"/>
      <c r="F398" s="22"/>
    </row>
    <row r="399" spans="1:6" ht="15.75" customHeight="1">
      <c r="A399" s="21"/>
      <c r="B399" s="22"/>
      <c r="C399" s="22"/>
      <c r="D399" s="22"/>
      <c r="E399" s="22"/>
      <c r="F399" s="22"/>
    </row>
    <row r="400" spans="1:6" ht="15.75" customHeight="1">
      <c r="A400" s="21"/>
      <c r="B400" s="22"/>
      <c r="C400" s="22"/>
      <c r="D400" s="22"/>
      <c r="E400" s="22"/>
      <c r="F400" s="22"/>
    </row>
    <row r="401" spans="1:6" ht="15.75" customHeight="1">
      <c r="A401" s="21"/>
      <c r="B401" s="22"/>
      <c r="C401" s="22"/>
      <c r="D401" s="22"/>
      <c r="E401" s="22"/>
      <c r="F401" s="22"/>
    </row>
    <row r="402" spans="1:6" ht="15.75" customHeight="1">
      <c r="A402" s="21"/>
      <c r="B402" s="22"/>
      <c r="C402" s="22"/>
      <c r="D402" s="22"/>
      <c r="E402" s="22"/>
      <c r="F402" s="22"/>
    </row>
    <row r="403" spans="1:6" ht="15.75" customHeight="1">
      <c r="A403" s="21"/>
      <c r="B403" s="22"/>
      <c r="C403" s="22"/>
      <c r="D403" s="22"/>
      <c r="E403" s="22"/>
      <c r="F403" s="22"/>
    </row>
    <row r="404" spans="1:6" ht="15.75" customHeight="1">
      <c r="A404" s="21"/>
      <c r="B404" s="22"/>
      <c r="C404" s="22"/>
      <c r="D404" s="22"/>
      <c r="E404" s="22"/>
      <c r="F404" s="22"/>
    </row>
    <row r="405" spans="1:6" ht="15.75" customHeight="1">
      <c r="A405" s="21"/>
      <c r="B405" s="22"/>
      <c r="C405" s="22"/>
      <c r="D405" s="22"/>
      <c r="E405" s="22"/>
      <c r="F405" s="22"/>
    </row>
    <row r="406" spans="1:6" ht="15.75" customHeight="1">
      <c r="A406" s="21"/>
      <c r="B406" s="22"/>
      <c r="C406" s="22"/>
      <c r="D406" s="22"/>
      <c r="E406" s="22"/>
      <c r="F406" s="22"/>
    </row>
    <row r="407" spans="1:6" ht="15.75" customHeight="1">
      <c r="A407" s="21"/>
      <c r="B407" s="22"/>
      <c r="C407" s="22"/>
      <c r="D407" s="22"/>
      <c r="E407" s="22"/>
      <c r="F407" s="22"/>
    </row>
    <row r="408" spans="1:6" ht="15.75" customHeight="1">
      <c r="A408" s="21"/>
      <c r="B408" s="22"/>
      <c r="C408" s="22"/>
      <c r="D408" s="22"/>
      <c r="E408" s="22"/>
      <c r="F408" s="22"/>
    </row>
    <row r="409" spans="1:6" ht="15.75" customHeight="1">
      <c r="A409" s="21"/>
      <c r="B409" s="22"/>
      <c r="C409" s="22"/>
      <c r="D409" s="22"/>
      <c r="E409" s="22"/>
      <c r="F409" s="22"/>
    </row>
    <row r="410" spans="1:6" ht="15.75" customHeight="1">
      <c r="A410" s="21"/>
      <c r="B410" s="22"/>
      <c r="C410" s="22"/>
      <c r="D410" s="22"/>
      <c r="E410" s="22"/>
      <c r="F410" s="22"/>
    </row>
    <row r="411" spans="1:6" ht="15.75" customHeight="1">
      <c r="A411" s="21"/>
      <c r="B411" s="22"/>
      <c r="C411" s="22"/>
      <c r="D411" s="22"/>
      <c r="E411" s="22"/>
      <c r="F411" s="22"/>
    </row>
    <row r="412" spans="1:6" ht="15.75" customHeight="1">
      <c r="A412" s="21"/>
      <c r="B412" s="22"/>
      <c r="C412" s="22"/>
      <c r="D412" s="22"/>
      <c r="E412" s="22"/>
      <c r="F412" s="22"/>
    </row>
    <row r="413" spans="1:6" ht="15.75" customHeight="1">
      <c r="A413" s="21"/>
      <c r="B413" s="22"/>
      <c r="C413" s="22"/>
      <c r="D413" s="22"/>
      <c r="E413" s="22"/>
      <c r="F413" s="22"/>
    </row>
    <row r="414" spans="1:6" ht="15.75" customHeight="1">
      <c r="A414" s="21"/>
      <c r="B414" s="22"/>
      <c r="C414" s="22"/>
      <c r="D414" s="22"/>
      <c r="E414" s="22"/>
      <c r="F414" s="22"/>
    </row>
    <row r="415" spans="1:6" ht="15.75" customHeight="1">
      <c r="A415" s="21"/>
      <c r="B415" s="22"/>
      <c r="C415" s="22"/>
      <c r="D415" s="22"/>
      <c r="E415" s="22"/>
      <c r="F415" s="22"/>
    </row>
    <row r="416" spans="1:6" ht="15.75" customHeight="1">
      <c r="A416" s="21"/>
      <c r="B416" s="22"/>
      <c r="C416" s="22"/>
      <c r="D416" s="22"/>
      <c r="E416" s="22"/>
      <c r="F416" s="22"/>
    </row>
    <row r="417" spans="1:6" ht="15.75" customHeight="1">
      <c r="A417" s="21"/>
      <c r="B417" s="22"/>
      <c r="C417" s="22"/>
      <c r="D417" s="22"/>
      <c r="E417" s="22"/>
      <c r="F417" s="22"/>
    </row>
    <row r="418" spans="1:6" ht="15.75" customHeight="1">
      <c r="A418" s="21"/>
      <c r="B418" s="22"/>
      <c r="C418" s="22"/>
      <c r="D418" s="22"/>
      <c r="E418" s="22"/>
      <c r="F418" s="22"/>
    </row>
    <row r="419" spans="1:6" ht="15.75" customHeight="1">
      <c r="A419" s="21"/>
      <c r="B419" s="22"/>
      <c r="C419" s="22"/>
      <c r="D419" s="22"/>
      <c r="E419" s="22"/>
      <c r="F419" s="22"/>
    </row>
    <row r="420" spans="1:6" ht="15.75" customHeight="1">
      <c r="A420" s="21"/>
      <c r="B420" s="22"/>
      <c r="C420" s="22"/>
      <c r="D420" s="22"/>
      <c r="E420" s="22"/>
      <c r="F420" s="22"/>
    </row>
    <row r="421" spans="1:6" ht="15.75" customHeight="1">
      <c r="A421" s="21"/>
      <c r="B421" s="22"/>
      <c r="C421" s="22"/>
      <c r="D421" s="22"/>
      <c r="E421" s="22"/>
      <c r="F421" s="22"/>
    </row>
    <row r="422" spans="1:6" ht="15.75" customHeight="1">
      <c r="A422" s="21"/>
      <c r="B422" s="22"/>
      <c r="C422" s="22"/>
      <c r="D422" s="22"/>
      <c r="E422" s="22"/>
      <c r="F422" s="22"/>
    </row>
    <row r="423" spans="1:6" ht="15.75" customHeight="1">
      <c r="A423" s="21"/>
      <c r="B423" s="22"/>
      <c r="C423" s="22"/>
      <c r="D423" s="22"/>
      <c r="E423" s="22"/>
      <c r="F423" s="22"/>
    </row>
    <row r="424" spans="1:6" ht="15.75" customHeight="1">
      <c r="A424" s="21"/>
      <c r="B424" s="22"/>
      <c r="C424" s="22"/>
      <c r="D424" s="22"/>
      <c r="E424" s="22"/>
      <c r="F424" s="22"/>
    </row>
    <row r="425" spans="1:6" ht="15.75" customHeight="1">
      <c r="A425" s="21"/>
      <c r="B425" s="22"/>
      <c r="C425" s="22"/>
      <c r="D425" s="22"/>
      <c r="E425" s="22"/>
      <c r="F425" s="22"/>
    </row>
    <row r="426" spans="1:6" ht="15.75" customHeight="1">
      <c r="A426" s="21"/>
      <c r="B426" s="22"/>
      <c r="C426" s="22"/>
      <c r="D426" s="22"/>
      <c r="E426" s="22"/>
      <c r="F426" s="22"/>
    </row>
    <row r="427" spans="1:6" ht="15.75" customHeight="1">
      <c r="A427" s="21"/>
      <c r="B427" s="22"/>
      <c r="C427" s="22"/>
      <c r="D427" s="22"/>
      <c r="E427" s="22"/>
      <c r="F427" s="22"/>
    </row>
    <row r="428" spans="1:6" ht="15.75" customHeight="1">
      <c r="A428" s="21"/>
      <c r="B428" s="22"/>
      <c r="C428" s="22"/>
      <c r="D428" s="22"/>
      <c r="E428" s="22"/>
      <c r="F428" s="22"/>
    </row>
    <row r="429" spans="1:6" ht="15.75" customHeight="1">
      <c r="A429" s="21"/>
      <c r="B429" s="22"/>
      <c r="C429" s="22"/>
      <c r="D429" s="22"/>
      <c r="E429" s="22"/>
      <c r="F429" s="22"/>
    </row>
    <row r="430" spans="1:6" ht="15.75" customHeight="1">
      <c r="A430" s="21"/>
      <c r="B430" s="22"/>
      <c r="C430" s="22"/>
      <c r="D430" s="22"/>
      <c r="E430" s="22"/>
      <c r="F430" s="22"/>
    </row>
    <row r="431" spans="1:6" ht="15.75" customHeight="1">
      <c r="A431" s="21"/>
      <c r="B431" s="22"/>
      <c r="C431" s="22"/>
      <c r="D431" s="22"/>
      <c r="E431" s="22"/>
      <c r="F431" s="22"/>
    </row>
    <row r="432" spans="1:6" ht="15.75" customHeight="1">
      <c r="A432" s="21"/>
      <c r="B432" s="22"/>
      <c r="C432" s="22"/>
      <c r="D432" s="22"/>
      <c r="E432" s="22"/>
      <c r="F432" s="22"/>
    </row>
    <row r="433" spans="1:6" ht="15.75" customHeight="1">
      <c r="A433" s="21"/>
      <c r="B433" s="22"/>
      <c r="C433" s="22"/>
      <c r="D433" s="22"/>
      <c r="E433" s="22"/>
      <c r="F433" s="22"/>
    </row>
    <row r="434" spans="1:6" ht="15.75" customHeight="1">
      <c r="A434" s="21"/>
      <c r="B434" s="22"/>
      <c r="C434" s="22"/>
      <c r="D434" s="22"/>
      <c r="E434" s="22"/>
      <c r="F434" s="22"/>
    </row>
    <row r="435" spans="1:6" ht="15.75" customHeight="1">
      <c r="A435" s="21"/>
      <c r="B435" s="22"/>
      <c r="C435" s="22"/>
      <c r="D435" s="22"/>
      <c r="E435" s="22"/>
      <c r="F435" s="22"/>
    </row>
    <row r="436" spans="1:6" ht="15.75" customHeight="1">
      <c r="A436" s="21"/>
      <c r="B436" s="22"/>
      <c r="C436" s="22"/>
      <c r="D436" s="22"/>
      <c r="E436" s="22"/>
      <c r="F436" s="22"/>
    </row>
    <row r="437" spans="1:6" ht="15.75" customHeight="1">
      <c r="A437" s="21"/>
      <c r="B437" s="22"/>
      <c r="C437" s="22"/>
      <c r="D437" s="22"/>
      <c r="E437" s="22"/>
      <c r="F437" s="22"/>
    </row>
    <row r="438" spans="1:6" ht="15.75" customHeight="1">
      <c r="A438" s="21"/>
      <c r="B438" s="22"/>
      <c r="C438" s="22"/>
      <c r="D438" s="22"/>
      <c r="E438" s="22"/>
      <c r="F438" s="22"/>
    </row>
    <row r="439" spans="1:6" ht="15.75" customHeight="1">
      <c r="A439" s="21"/>
      <c r="B439" s="22"/>
      <c r="C439" s="22"/>
      <c r="D439" s="22"/>
      <c r="E439" s="22"/>
      <c r="F439" s="22"/>
    </row>
    <row r="440" spans="1:6" ht="15.75" customHeight="1">
      <c r="A440" s="21"/>
      <c r="B440" s="22"/>
      <c r="C440" s="22"/>
      <c r="D440" s="22"/>
      <c r="E440" s="22"/>
      <c r="F440" s="22"/>
    </row>
    <row r="441" spans="1:6" ht="15.75" customHeight="1">
      <c r="A441" s="21"/>
      <c r="B441" s="22"/>
      <c r="C441" s="22"/>
      <c r="D441" s="22"/>
      <c r="E441" s="22"/>
      <c r="F441" s="22"/>
    </row>
    <row r="442" spans="1:6" ht="15.75" customHeight="1">
      <c r="A442" s="21"/>
      <c r="B442" s="22"/>
      <c r="C442" s="22"/>
      <c r="D442" s="22"/>
      <c r="E442" s="22"/>
      <c r="F442" s="22"/>
    </row>
    <row r="443" spans="1:6" ht="15.75" customHeight="1">
      <c r="A443" s="21"/>
      <c r="B443" s="22"/>
      <c r="C443" s="22"/>
      <c r="D443" s="22"/>
      <c r="E443" s="22"/>
      <c r="F443" s="22"/>
    </row>
    <row r="444" spans="1:6" ht="15.75" customHeight="1">
      <c r="A444" s="21"/>
      <c r="B444" s="22"/>
      <c r="C444" s="22"/>
      <c r="D444" s="22"/>
      <c r="E444" s="22"/>
      <c r="F444" s="22"/>
    </row>
    <row r="445" spans="1:6" ht="15.75" customHeight="1">
      <c r="A445" s="21"/>
      <c r="B445" s="22"/>
      <c r="C445" s="22"/>
      <c r="D445" s="22"/>
      <c r="E445" s="22"/>
      <c r="F445" s="22"/>
    </row>
    <row r="446" spans="1:6" ht="15.75" customHeight="1">
      <c r="A446" s="21"/>
      <c r="B446" s="22"/>
      <c r="C446" s="22"/>
      <c r="D446" s="22"/>
      <c r="E446" s="22"/>
      <c r="F446" s="22"/>
    </row>
    <row r="447" spans="1:6" ht="15.75" customHeight="1">
      <c r="A447" s="21"/>
      <c r="B447" s="22"/>
      <c r="C447" s="22"/>
      <c r="D447" s="22"/>
      <c r="E447" s="22"/>
      <c r="F447" s="22"/>
    </row>
    <row r="448" spans="1:6" ht="15.75" customHeight="1">
      <c r="A448" s="21"/>
      <c r="B448" s="22"/>
      <c r="C448" s="22"/>
      <c r="D448" s="22"/>
      <c r="E448" s="22"/>
      <c r="F448" s="22"/>
    </row>
    <row r="449" spans="1:6" ht="15.75" customHeight="1">
      <c r="A449" s="21"/>
      <c r="B449" s="22"/>
      <c r="C449" s="22"/>
      <c r="D449" s="22"/>
      <c r="E449" s="22"/>
      <c r="F449" s="22"/>
    </row>
    <row r="450" spans="1:6" ht="15.75" customHeight="1">
      <c r="A450" s="21"/>
      <c r="B450" s="22"/>
      <c r="C450" s="22"/>
      <c r="D450" s="22"/>
      <c r="E450" s="22"/>
      <c r="F450" s="22"/>
    </row>
    <row r="451" spans="1:6" ht="15.75" customHeight="1">
      <c r="A451" s="21"/>
      <c r="B451" s="22"/>
      <c r="C451" s="22"/>
      <c r="D451" s="22"/>
      <c r="E451" s="22"/>
      <c r="F451" s="22"/>
    </row>
    <row r="452" spans="1:6" ht="15.75" customHeight="1">
      <c r="A452" s="21"/>
      <c r="B452" s="22"/>
      <c r="C452" s="22"/>
      <c r="D452" s="22"/>
      <c r="E452" s="22"/>
      <c r="F452" s="22"/>
    </row>
    <row r="453" spans="1:6" ht="15.75" customHeight="1">
      <c r="A453" s="21"/>
      <c r="B453" s="22"/>
      <c r="C453" s="22"/>
      <c r="D453" s="22"/>
      <c r="E453" s="22"/>
      <c r="F453" s="22"/>
    </row>
    <row r="454" spans="1:6" ht="15.75" customHeight="1">
      <c r="A454" s="21"/>
      <c r="B454" s="22"/>
      <c r="C454" s="22"/>
      <c r="D454" s="22"/>
      <c r="E454" s="22"/>
      <c r="F454" s="22"/>
    </row>
    <row r="455" spans="1:6" ht="15.75" customHeight="1">
      <c r="A455" s="21"/>
      <c r="B455" s="22"/>
      <c r="C455" s="22"/>
      <c r="D455" s="22"/>
      <c r="E455" s="22"/>
      <c r="F455" s="22"/>
    </row>
    <row r="456" spans="1:6" ht="15.75" customHeight="1">
      <c r="A456" s="21"/>
      <c r="B456" s="22"/>
      <c r="C456" s="22"/>
      <c r="D456" s="22"/>
      <c r="E456" s="22"/>
      <c r="F456" s="22"/>
    </row>
    <row r="457" spans="1:6" ht="15.75" customHeight="1">
      <c r="A457" s="21"/>
      <c r="B457" s="22"/>
      <c r="C457" s="22"/>
      <c r="D457" s="22"/>
      <c r="E457" s="22"/>
      <c r="F457" s="22"/>
    </row>
    <row r="458" spans="1:6" ht="15.75" customHeight="1">
      <c r="A458" s="21"/>
      <c r="B458" s="22"/>
      <c r="C458" s="22"/>
      <c r="D458" s="22"/>
      <c r="E458" s="22"/>
      <c r="F458" s="22"/>
    </row>
    <row r="459" spans="1:6" ht="15.75" customHeight="1">
      <c r="A459" s="21"/>
      <c r="B459" s="22"/>
      <c r="C459" s="22"/>
      <c r="D459" s="22"/>
      <c r="E459" s="22"/>
      <c r="F459" s="22"/>
    </row>
    <row r="460" spans="1:6" ht="15.75" customHeight="1">
      <c r="A460" s="21"/>
      <c r="B460" s="22"/>
      <c r="C460" s="22"/>
      <c r="D460" s="22"/>
      <c r="E460" s="22"/>
      <c r="F460" s="22"/>
    </row>
    <row r="461" spans="1:6" ht="15.75" customHeight="1">
      <c r="A461" s="21"/>
      <c r="B461" s="22"/>
      <c r="C461" s="22"/>
      <c r="D461" s="22"/>
      <c r="E461" s="22"/>
      <c r="F461" s="22"/>
    </row>
    <row r="462" spans="1:6" ht="15.75" customHeight="1">
      <c r="A462" s="21"/>
      <c r="B462" s="22"/>
      <c r="C462" s="22"/>
      <c r="D462" s="22"/>
      <c r="E462" s="22"/>
      <c r="F462" s="22"/>
    </row>
    <row r="463" spans="1:6" ht="15.75" customHeight="1">
      <c r="A463" s="21"/>
      <c r="B463" s="22"/>
      <c r="C463" s="22"/>
      <c r="D463" s="22"/>
      <c r="E463" s="22"/>
      <c r="F463" s="22"/>
    </row>
    <row r="464" spans="1:6" ht="15.75" customHeight="1">
      <c r="A464" s="21"/>
      <c r="B464" s="22"/>
      <c r="C464" s="22"/>
      <c r="D464" s="22"/>
      <c r="E464" s="22"/>
      <c r="F464" s="22"/>
    </row>
    <row r="465" spans="1:6" ht="15.75" customHeight="1">
      <c r="A465" s="21"/>
      <c r="B465" s="22"/>
      <c r="C465" s="22"/>
      <c r="D465" s="22"/>
      <c r="E465" s="22"/>
      <c r="F465" s="22"/>
    </row>
    <row r="466" spans="1:6" ht="15.75" customHeight="1">
      <c r="A466" s="21"/>
      <c r="B466" s="22"/>
      <c r="C466" s="22"/>
      <c r="D466" s="22"/>
      <c r="E466" s="22"/>
      <c r="F466" s="22"/>
    </row>
    <row r="467" spans="1:6" ht="15.75" customHeight="1">
      <c r="A467" s="21"/>
      <c r="B467" s="22"/>
      <c r="C467" s="22"/>
      <c r="D467" s="22"/>
      <c r="E467" s="22"/>
      <c r="F467" s="22"/>
    </row>
    <row r="468" spans="1:6" ht="15.75" customHeight="1">
      <c r="A468" s="21"/>
      <c r="B468" s="22"/>
      <c r="C468" s="22"/>
      <c r="D468" s="22"/>
      <c r="E468" s="22"/>
      <c r="F468" s="22"/>
    </row>
    <row r="469" spans="1:6" ht="15.75" customHeight="1">
      <c r="A469" s="21"/>
      <c r="B469" s="22"/>
      <c r="C469" s="22"/>
      <c r="D469" s="22"/>
      <c r="E469" s="22"/>
      <c r="F469" s="22"/>
    </row>
    <row r="470" spans="1:6" ht="15.75" customHeight="1">
      <c r="A470" s="21"/>
      <c r="B470" s="22"/>
      <c r="C470" s="22"/>
      <c r="D470" s="22"/>
      <c r="E470" s="22"/>
      <c r="F470" s="22"/>
    </row>
    <row r="471" spans="1:6" ht="15.75" customHeight="1">
      <c r="A471" s="21"/>
      <c r="B471" s="22"/>
      <c r="C471" s="22"/>
      <c r="D471" s="22"/>
      <c r="E471" s="22"/>
      <c r="F471" s="22"/>
    </row>
    <row r="472" spans="1:6" ht="15.75" customHeight="1">
      <c r="A472" s="21"/>
      <c r="B472" s="22"/>
      <c r="C472" s="22"/>
      <c r="D472" s="22"/>
      <c r="E472" s="22"/>
      <c r="F472" s="22"/>
    </row>
    <row r="473" spans="1:6" ht="15.75" customHeight="1">
      <c r="A473" s="21"/>
      <c r="B473" s="22"/>
      <c r="C473" s="22"/>
      <c r="D473" s="22"/>
      <c r="E473" s="22"/>
      <c r="F473" s="22"/>
    </row>
    <row r="474" spans="1:6" ht="15.75" customHeight="1">
      <c r="A474" s="21"/>
      <c r="B474" s="22"/>
      <c r="C474" s="22"/>
      <c r="D474" s="22"/>
      <c r="E474" s="22"/>
      <c r="F474" s="22"/>
    </row>
    <row r="475" spans="1:6" ht="15.75" customHeight="1">
      <c r="A475" s="21"/>
      <c r="B475" s="22"/>
      <c r="C475" s="22"/>
      <c r="D475" s="22"/>
      <c r="E475" s="22"/>
      <c r="F475" s="22"/>
    </row>
    <row r="476" spans="1:6" ht="15.75" customHeight="1">
      <c r="A476" s="21"/>
      <c r="B476" s="22"/>
      <c r="C476" s="22"/>
      <c r="D476" s="22"/>
      <c r="E476" s="22"/>
      <c r="F476" s="22"/>
    </row>
    <row r="477" spans="1:6" ht="15.75" customHeight="1">
      <c r="A477" s="21"/>
      <c r="B477" s="22"/>
      <c r="C477" s="22"/>
      <c r="D477" s="22"/>
      <c r="E477" s="22"/>
      <c r="F477" s="22"/>
    </row>
    <row r="478" spans="1:6" ht="15.75" customHeight="1">
      <c r="A478" s="21"/>
      <c r="B478" s="22"/>
      <c r="C478" s="22"/>
      <c r="D478" s="22"/>
      <c r="E478" s="22"/>
      <c r="F478" s="22"/>
    </row>
    <row r="479" spans="1:6" ht="15.75" customHeight="1">
      <c r="A479" s="21"/>
      <c r="B479" s="22"/>
      <c r="C479" s="22"/>
      <c r="D479" s="22"/>
      <c r="E479" s="22"/>
      <c r="F479" s="22"/>
    </row>
    <row r="480" spans="1:6" ht="15.75" customHeight="1">
      <c r="A480" s="21"/>
      <c r="B480" s="22"/>
      <c r="C480" s="22"/>
      <c r="D480" s="22"/>
      <c r="E480" s="22"/>
      <c r="F480" s="22"/>
    </row>
    <row r="481" spans="1:6" ht="15.75" customHeight="1">
      <c r="A481" s="21"/>
      <c r="B481" s="22"/>
      <c r="C481" s="22"/>
      <c r="D481" s="22"/>
      <c r="E481" s="22"/>
      <c r="F481" s="22"/>
    </row>
    <row r="482" spans="1:6" ht="15.75" customHeight="1">
      <c r="A482" s="21"/>
      <c r="B482" s="22"/>
      <c r="C482" s="22"/>
      <c r="D482" s="22"/>
      <c r="E482" s="22"/>
      <c r="F482" s="22"/>
    </row>
    <row r="483" spans="1:6" ht="15.75" customHeight="1">
      <c r="A483" s="21"/>
      <c r="B483" s="22"/>
      <c r="C483" s="22"/>
      <c r="D483" s="22"/>
      <c r="E483" s="22"/>
      <c r="F483" s="22"/>
    </row>
    <row r="484" spans="1:6" ht="15.75" customHeight="1">
      <c r="A484" s="21"/>
      <c r="B484" s="22"/>
      <c r="C484" s="22"/>
      <c r="D484" s="22"/>
      <c r="E484" s="22"/>
      <c r="F484" s="22"/>
    </row>
    <row r="485" spans="1:6" ht="15.75" customHeight="1">
      <c r="A485" s="21"/>
      <c r="B485" s="22"/>
      <c r="C485" s="22"/>
      <c r="D485" s="22"/>
      <c r="E485" s="22"/>
      <c r="F485" s="22"/>
    </row>
    <row r="486" spans="1:6" ht="15.75" customHeight="1">
      <c r="A486" s="21"/>
      <c r="B486" s="22"/>
      <c r="C486" s="22"/>
      <c r="D486" s="22"/>
      <c r="E486" s="22"/>
      <c r="F486" s="22"/>
    </row>
    <row r="487" spans="1:6" ht="15.75" customHeight="1">
      <c r="A487" s="21"/>
      <c r="B487" s="22"/>
      <c r="C487" s="22"/>
      <c r="D487" s="22"/>
      <c r="E487" s="22"/>
      <c r="F487" s="22"/>
    </row>
    <row r="488" spans="1:6" ht="15.75" customHeight="1">
      <c r="A488" s="21"/>
      <c r="B488" s="22"/>
      <c r="C488" s="22"/>
      <c r="D488" s="22"/>
      <c r="E488" s="22"/>
      <c r="F488" s="22"/>
    </row>
    <row r="489" spans="1:6" ht="15.75" customHeight="1">
      <c r="A489" s="21"/>
      <c r="B489" s="22"/>
      <c r="C489" s="22"/>
      <c r="D489" s="22"/>
      <c r="E489" s="22"/>
      <c r="F489" s="22"/>
    </row>
    <row r="490" spans="1:6" ht="15.75" customHeight="1">
      <c r="A490" s="21"/>
      <c r="B490" s="22"/>
      <c r="C490" s="22"/>
      <c r="D490" s="22"/>
      <c r="E490" s="22"/>
      <c r="F490" s="22"/>
    </row>
    <row r="491" spans="1:6" ht="15.75" customHeight="1">
      <c r="A491" s="21"/>
      <c r="B491" s="22"/>
      <c r="C491" s="22"/>
      <c r="D491" s="22"/>
      <c r="E491" s="22"/>
      <c r="F491" s="22"/>
    </row>
    <row r="492" spans="1:6" ht="15.75" customHeight="1">
      <c r="A492" s="21"/>
      <c r="B492" s="22"/>
      <c r="C492" s="22"/>
      <c r="D492" s="22"/>
      <c r="E492" s="22"/>
      <c r="F492" s="22"/>
    </row>
    <row r="493" spans="1:6" ht="15.75" customHeight="1">
      <c r="A493" s="21"/>
      <c r="B493" s="22"/>
      <c r="C493" s="22"/>
      <c r="D493" s="22"/>
      <c r="E493" s="22"/>
      <c r="F493" s="22"/>
    </row>
    <row r="494" spans="1:6" ht="15.75" customHeight="1">
      <c r="A494" s="21"/>
      <c r="B494" s="22"/>
      <c r="C494" s="22"/>
      <c r="D494" s="22"/>
      <c r="E494" s="22"/>
      <c r="F494" s="22"/>
    </row>
    <row r="495" spans="1:6" ht="15.75" customHeight="1">
      <c r="A495" s="21"/>
      <c r="B495" s="22"/>
      <c r="C495" s="22"/>
      <c r="D495" s="22"/>
      <c r="E495" s="22"/>
      <c r="F495" s="22"/>
    </row>
    <row r="496" spans="1:6" ht="15.75" customHeight="1">
      <c r="A496" s="21"/>
      <c r="B496" s="22"/>
      <c r="C496" s="22"/>
      <c r="D496" s="22"/>
      <c r="E496" s="22"/>
      <c r="F496" s="22"/>
    </row>
    <row r="497" spans="1:6" ht="15.75" customHeight="1">
      <c r="A497" s="21"/>
      <c r="B497" s="22"/>
      <c r="C497" s="22"/>
      <c r="D497" s="22"/>
      <c r="E497" s="22"/>
      <c r="F497" s="22"/>
    </row>
    <row r="498" spans="1:6" ht="15.75" customHeight="1">
      <c r="A498" s="21"/>
      <c r="B498" s="22"/>
      <c r="C498" s="22"/>
      <c r="D498" s="22"/>
      <c r="E498" s="22"/>
      <c r="F498" s="22"/>
    </row>
    <row r="499" spans="1:6" ht="15.75" customHeight="1">
      <c r="A499" s="21"/>
      <c r="B499" s="22"/>
      <c r="C499" s="22"/>
      <c r="D499" s="22"/>
      <c r="E499" s="22"/>
      <c r="F499" s="22"/>
    </row>
    <row r="500" spans="1:6" ht="15.75" customHeight="1">
      <c r="A500" s="21"/>
      <c r="B500" s="22"/>
      <c r="C500" s="22"/>
      <c r="D500" s="22"/>
      <c r="E500" s="22"/>
      <c r="F500" s="22"/>
    </row>
    <row r="501" spans="1:6" ht="15.75" customHeight="1">
      <c r="A501" s="21"/>
      <c r="B501" s="22"/>
      <c r="C501" s="22"/>
      <c r="D501" s="22"/>
      <c r="E501" s="22"/>
      <c r="F501" s="22"/>
    </row>
    <row r="502" spans="1:6" ht="15.75" customHeight="1">
      <c r="A502" s="21"/>
      <c r="B502" s="22"/>
      <c r="C502" s="22"/>
      <c r="D502" s="22"/>
      <c r="E502" s="22"/>
      <c r="F502" s="22"/>
    </row>
    <row r="503" spans="1:6" ht="15.75" customHeight="1">
      <c r="A503" s="21"/>
      <c r="B503" s="22"/>
      <c r="C503" s="22"/>
      <c r="D503" s="22"/>
      <c r="E503" s="22"/>
      <c r="F503" s="22"/>
    </row>
    <row r="504" spans="1:6" ht="15.75" customHeight="1">
      <c r="A504" s="21"/>
      <c r="B504" s="22"/>
      <c r="C504" s="22"/>
      <c r="D504" s="22"/>
      <c r="E504" s="22"/>
      <c r="F504" s="22"/>
    </row>
    <row r="505" spans="1:6" ht="15.75" customHeight="1">
      <c r="A505" s="21"/>
      <c r="B505" s="22"/>
      <c r="C505" s="22"/>
      <c r="D505" s="22"/>
      <c r="E505" s="22"/>
      <c r="F505" s="22"/>
    </row>
    <row r="506" spans="1:6" ht="15.75" customHeight="1">
      <c r="A506" s="21"/>
      <c r="B506" s="22"/>
      <c r="C506" s="22"/>
      <c r="D506" s="22"/>
      <c r="E506" s="22"/>
      <c r="F506" s="22"/>
    </row>
    <row r="507" spans="1:6" ht="15.75" customHeight="1">
      <c r="A507" s="21"/>
      <c r="B507" s="22"/>
      <c r="C507" s="22"/>
      <c r="D507" s="22"/>
      <c r="E507" s="22"/>
      <c r="F507" s="22"/>
    </row>
    <row r="508" spans="1:6" ht="15.75" customHeight="1">
      <c r="A508" s="21"/>
      <c r="B508" s="22"/>
      <c r="C508" s="22"/>
      <c r="D508" s="22"/>
      <c r="E508" s="22"/>
      <c r="F508" s="22"/>
    </row>
    <row r="509" spans="1:6" ht="15.75" customHeight="1">
      <c r="A509" s="21"/>
      <c r="B509" s="22"/>
      <c r="C509" s="22"/>
      <c r="D509" s="22"/>
      <c r="E509" s="22"/>
      <c r="F509" s="22"/>
    </row>
    <row r="510" spans="1:6" ht="15.75" customHeight="1">
      <c r="A510" s="21"/>
      <c r="B510" s="22"/>
      <c r="C510" s="22"/>
      <c r="D510" s="22"/>
      <c r="E510" s="22"/>
      <c r="F510" s="22"/>
    </row>
    <row r="511" spans="1:6" ht="15.75" customHeight="1">
      <c r="A511" s="21"/>
      <c r="B511" s="22"/>
      <c r="C511" s="22"/>
      <c r="D511" s="22"/>
      <c r="E511" s="22"/>
      <c r="F511" s="22"/>
    </row>
    <row r="512" spans="1:6" ht="15.75" customHeight="1">
      <c r="A512" s="21"/>
      <c r="B512" s="22"/>
      <c r="C512" s="22"/>
      <c r="D512" s="22"/>
      <c r="E512" s="22"/>
      <c r="F512" s="22"/>
    </row>
    <row r="513" spans="1:6" ht="15.75" customHeight="1">
      <c r="A513" s="21"/>
      <c r="B513" s="22"/>
      <c r="C513" s="22"/>
      <c r="D513" s="22"/>
      <c r="E513" s="22"/>
      <c r="F513" s="22"/>
    </row>
    <row r="514" spans="1:6" ht="15.75" customHeight="1">
      <c r="A514" s="21"/>
      <c r="B514" s="22"/>
      <c r="C514" s="22"/>
      <c r="D514" s="22"/>
      <c r="E514" s="22"/>
      <c r="F514" s="22"/>
    </row>
    <row r="515" spans="1:6" ht="15.75" customHeight="1">
      <c r="A515" s="21"/>
      <c r="B515" s="22"/>
      <c r="C515" s="22"/>
      <c r="D515" s="22"/>
      <c r="E515" s="22"/>
      <c r="F515" s="22"/>
    </row>
    <row r="516" spans="1:6" ht="15.75" customHeight="1">
      <c r="A516" s="21"/>
      <c r="B516" s="22"/>
      <c r="C516" s="22"/>
      <c r="D516" s="22"/>
      <c r="E516" s="22"/>
      <c r="F516" s="22"/>
    </row>
    <row r="517" spans="1:6" ht="15.75" customHeight="1">
      <c r="A517" s="21"/>
      <c r="B517" s="22"/>
      <c r="C517" s="22"/>
      <c r="D517" s="22"/>
      <c r="E517" s="22"/>
      <c r="F517" s="22"/>
    </row>
    <row r="518" spans="1:6" ht="15.75" customHeight="1">
      <c r="A518" s="21"/>
      <c r="B518" s="22"/>
      <c r="C518" s="22"/>
      <c r="D518" s="22"/>
      <c r="E518" s="22"/>
      <c r="F518" s="22"/>
    </row>
    <row r="519" spans="1:6" ht="15.75" customHeight="1">
      <c r="A519" s="21"/>
      <c r="B519" s="22"/>
      <c r="C519" s="22"/>
      <c r="D519" s="22"/>
      <c r="E519" s="22"/>
      <c r="F519" s="22"/>
    </row>
    <row r="520" spans="1:6" ht="15.75" customHeight="1">
      <c r="A520" s="21"/>
      <c r="B520" s="22"/>
      <c r="C520" s="22"/>
      <c r="D520" s="22"/>
      <c r="E520" s="22"/>
      <c r="F520" s="22"/>
    </row>
    <row r="521" spans="1:6" ht="15.75" customHeight="1">
      <c r="A521" s="21"/>
      <c r="B521" s="22"/>
      <c r="C521" s="22"/>
      <c r="D521" s="22"/>
      <c r="E521" s="22"/>
      <c r="F521" s="22"/>
    </row>
    <row r="522" spans="1:6" ht="15.75" customHeight="1">
      <c r="A522" s="21"/>
      <c r="B522" s="22"/>
      <c r="C522" s="22"/>
      <c r="D522" s="22"/>
      <c r="E522" s="22"/>
      <c r="F522" s="22"/>
    </row>
    <row r="523" spans="1:6" ht="15.75" customHeight="1">
      <c r="A523" s="21"/>
      <c r="B523" s="22"/>
      <c r="C523" s="22"/>
      <c r="D523" s="22"/>
      <c r="E523" s="22"/>
      <c r="F523" s="22"/>
    </row>
    <row r="524" spans="1:6" ht="15.75" customHeight="1">
      <c r="A524" s="21"/>
      <c r="B524" s="22"/>
      <c r="C524" s="22"/>
      <c r="D524" s="22"/>
      <c r="E524" s="22"/>
      <c r="F524" s="22"/>
    </row>
    <row r="525" spans="1:6" ht="15.75" customHeight="1">
      <c r="A525" s="21"/>
      <c r="B525" s="22"/>
      <c r="C525" s="22"/>
      <c r="D525" s="22"/>
      <c r="E525" s="22"/>
      <c r="F525" s="22"/>
    </row>
    <row r="526" spans="1:6" ht="15.75" customHeight="1">
      <c r="A526" s="21"/>
      <c r="B526" s="22"/>
      <c r="C526" s="22"/>
      <c r="D526" s="22"/>
      <c r="E526" s="22"/>
      <c r="F526" s="22"/>
    </row>
    <row r="527" spans="1:6" ht="15.75" customHeight="1">
      <c r="A527" s="21"/>
      <c r="B527" s="22"/>
      <c r="C527" s="22"/>
      <c r="D527" s="22"/>
      <c r="E527" s="22"/>
      <c r="F527" s="22"/>
    </row>
    <row r="528" spans="1:6" ht="15.75" customHeight="1">
      <c r="A528" s="21"/>
      <c r="B528" s="22"/>
      <c r="C528" s="22"/>
      <c r="D528" s="22"/>
      <c r="E528" s="22"/>
      <c r="F528" s="22"/>
    </row>
    <row r="529" spans="1:6" ht="15.75" customHeight="1">
      <c r="A529" s="21"/>
      <c r="B529" s="22"/>
      <c r="C529" s="22"/>
      <c r="D529" s="22"/>
      <c r="E529" s="22"/>
      <c r="F529" s="22"/>
    </row>
    <row r="530" spans="1:6" ht="15.75" customHeight="1">
      <c r="A530" s="21"/>
      <c r="B530" s="22"/>
      <c r="C530" s="22"/>
      <c r="D530" s="22"/>
      <c r="E530" s="22"/>
      <c r="F530" s="22"/>
    </row>
    <row r="531" spans="1:6" ht="15.75" customHeight="1">
      <c r="A531" s="21"/>
      <c r="B531" s="22"/>
      <c r="C531" s="22"/>
      <c r="D531" s="22"/>
      <c r="E531" s="22"/>
      <c r="F531" s="22"/>
    </row>
    <row r="532" spans="1:6" ht="15.75" customHeight="1">
      <c r="A532" s="21"/>
      <c r="B532" s="22"/>
      <c r="C532" s="22"/>
      <c r="D532" s="22"/>
      <c r="E532" s="22"/>
      <c r="F532" s="22"/>
    </row>
    <row r="533" spans="1:6" ht="15.75" customHeight="1">
      <c r="A533" s="21"/>
      <c r="B533" s="22"/>
      <c r="C533" s="22"/>
      <c r="D533" s="22"/>
      <c r="E533" s="22"/>
      <c r="F533" s="22"/>
    </row>
    <row r="534" spans="1:6" ht="15.75" customHeight="1">
      <c r="A534" s="21"/>
      <c r="B534" s="22"/>
      <c r="C534" s="22"/>
      <c r="D534" s="22"/>
      <c r="E534" s="22"/>
      <c r="F534" s="22"/>
    </row>
    <row r="535" spans="1:6" ht="15.75" customHeight="1">
      <c r="A535" s="21"/>
      <c r="B535" s="22"/>
      <c r="C535" s="22"/>
      <c r="D535" s="22"/>
      <c r="E535" s="22"/>
      <c r="F535" s="22"/>
    </row>
    <row r="536" spans="1:6" ht="15.75" customHeight="1">
      <c r="A536" s="21"/>
      <c r="B536" s="22"/>
      <c r="C536" s="22"/>
      <c r="D536" s="22"/>
      <c r="E536" s="22"/>
      <c r="F536" s="22"/>
    </row>
    <row r="537" spans="1:6" ht="15.75" customHeight="1">
      <c r="A537" s="21"/>
      <c r="B537" s="22"/>
      <c r="C537" s="22"/>
      <c r="D537" s="22"/>
      <c r="E537" s="22"/>
      <c r="F537" s="22"/>
    </row>
    <row r="538" spans="1:6" ht="15.75" customHeight="1">
      <c r="A538" s="21"/>
      <c r="B538" s="22"/>
      <c r="C538" s="22"/>
      <c r="D538" s="22"/>
      <c r="E538" s="22"/>
      <c r="F538" s="22"/>
    </row>
    <row r="539" spans="1:6" ht="15.75" customHeight="1">
      <c r="A539" s="21"/>
      <c r="B539" s="22"/>
      <c r="C539" s="22"/>
      <c r="D539" s="22"/>
      <c r="E539" s="22"/>
      <c r="F539" s="22"/>
    </row>
    <row r="540" spans="1:6" ht="15.75" customHeight="1">
      <c r="A540" s="21"/>
      <c r="B540" s="22"/>
      <c r="C540" s="22"/>
      <c r="D540" s="22"/>
      <c r="E540" s="22"/>
      <c r="F540" s="22"/>
    </row>
    <row r="541" spans="1:6" ht="15.75" customHeight="1">
      <c r="A541" s="21"/>
      <c r="B541" s="22"/>
      <c r="C541" s="22"/>
      <c r="D541" s="22"/>
      <c r="E541" s="22"/>
      <c r="F541" s="22"/>
    </row>
    <row r="542" spans="1:6" ht="15.75" customHeight="1">
      <c r="A542" s="21"/>
      <c r="B542" s="22"/>
      <c r="C542" s="22"/>
      <c r="D542" s="22"/>
      <c r="E542" s="22"/>
      <c r="F542" s="22"/>
    </row>
    <row r="543" spans="1:6" ht="15.75" customHeight="1">
      <c r="A543" s="21"/>
      <c r="B543" s="22"/>
      <c r="C543" s="22"/>
      <c r="D543" s="22"/>
      <c r="E543" s="22"/>
      <c r="F543" s="22"/>
    </row>
    <row r="544" spans="1:6" ht="15.75" customHeight="1">
      <c r="A544" s="21"/>
      <c r="B544" s="22"/>
      <c r="C544" s="22"/>
      <c r="D544" s="22"/>
      <c r="E544" s="22"/>
      <c r="F544" s="22"/>
    </row>
    <row r="545" spans="1:6" ht="15.75" customHeight="1">
      <c r="A545" s="21"/>
      <c r="B545" s="22"/>
      <c r="C545" s="22"/>
      <c r="D545" s="22"/>
      <c r="E545" s="22"/>
      <c r="F545" s="22"/>
    </row>
    <row r="546" spans="1:6" ht="15.75" customHeight="1">
      <c r="A546" s="21"/>
      <c r="B546" s="22"/>
      <c r="C546" s="22"/>
      <c r="D546" s="22"/>
      <c r="E546" s="22"/>
      <c r="F546" s="22"/>
    </row>
    <row r="547" spans="1:6" ht="15.75" customHeight="1">
      <c r="A547" s="21"/>
      <c r="B547" s="22"/>
      <c r="C547" s="22"/>
      <c r="D547" s="22"/>
      <c r="E547" s="22"/>
      <c r="F547" s="22"/>
    </row>
    <row r="548" spans="1:6" ht="15.75" customHeight="1">
      <c r="A548" s="21"/>
      <c r="B548" s="22"/>
      <c r="C548" s="22"/>
      <c r="D548" s="22"/>
      <c r="E548" s="22"/>
      <c r="F548" s="22"/>
    </row>
    <row r="549" spans="1:6" ht="15.75" customHeight="1">
      <c r="A549" s="21"/>
      <c r="B549" s="22"/>
      <c r="C549" s="22"/>
      <c r="D549" s="22"/>
      <c r="E549" s="22"/>
      <c r="F549" s="22"/>
    </row>
    <row r="550" spans="1:6" ht="15.75" customHeight="1">
      <c r="A550" s="21"/>
      <c r="B550" s="22"/>
      <c r="C550" s="22"/>
      <c r="D550" s="22"/>
      <c r="E550" s="22"/>
      <c r="F550" s="22"/>
    </row>
    <row r="551" spans="1:6" ht="15.75" customHeight="1">
      <c r="A551" s="21"/>
      <c r="B551" s="22"/>
      <c r="C551" s="22"/>
      <c r="D551" s="22"/>
      <c r="E551" s="22"/>
      <c r="F551" s="22"/>
    </row>
    <row r="552" spans="1:6" ht="15.75" customHeight="1">
      <c r="A552" s="21"/>
      <c r="B552" s="22"/>
      <c r="C552" s="22"/>
      <c r="D552" s="22"/>
      <c r="E552" s="22"/>
      <c r="F552" s="22"/>
    </row>
    <row r="553" spans="1:6" ht="15.75" customHeight="1">
      <c r="A553" s="21"/>
      <c r="B553" s="22"/>
      <c r="C553" s="22"/>
      <c r="D553" s="22"/>
      <c r="E553" s="22"/>
      <c r="F553" s="22"/>
    </row>
    <row r="554" spans="1:6" ht="15.75" customHeight="1">
      <c r="A554" s="21"/>
      <c r="B554" s="22"/>
      <c r="C554" s="22"/>
      <c r="D554" s="22"/>
      <c r="E554" s="22"/>
      <c r="F554" s="22"/>
    </row>
    <row r="555" spans="1:6" ht="15.75" customHeight="1">
      <c r="A555" s="21"/>
      <c r="B555" s="22"/>
      <c r="C555" s="22"/>
      <c r="D555" s="22"/>
      <c r="E555" s="22"/>
      <c r="F555" s="22"/>
    </row>
    <row r="556" spans="1:6" ht="15.75" customHeight="1">
      <c r="A556" s="21"/>
      <c r="B556" s="22"/>
      <c r="C556" s="22"/>
      <c r="D556" s="22"/>
      <c r="E556" s="22"/>
      <c r="F556" s="22"/>
    </row>
    <row r="557" spans="1:6" ht="15.75" customHeight="1">
      <c r="A557" s="21"/>
      <c r="B557" s="22"/>
      <c r="C557" s="22"/>
      <c r="D557" s="22"/>
      <c r="E557" s="22"/>
      <c r="F557" s="22"/>
    </row>
    <row r="558" spans="1:6" ht="15.75" customHeight="1">
      <c r="A558" s="21"/>
      <c r="B558" s="22"/>
      <c r="C558" s="22"/>
      <c r="D558" s="22"/>
      <c r="E558" s="22"/>
      <c r="F558" s="22"/>
    </row>
    <row r="559" spans="1:6" ht="15.75" customHeight="1">
      <c r="A559" s="21"/>
      <c r="B559" s="22"/>
      <c r="C559" s="22"/>
      <c r="D559" s="22"/>
      <c r="E559" s="22"/>
      <c r="F559" s="22"/>
    </row>
    <row r="560" spans="1:6" ht="15.75" customHeight="1">
      <c r="A560" s="21"/>
      <c r="B560" s="22"/>
      <c r="C560" s="22"/>
      <c r="D560" s="22"/>
      <c r="E560" s="22"/>
      <c r="F560" s="22"/>
    </row>
    <row r="561" spans="1:6" ht="15.75" customHeight="1">
      <c r="A561" s="21"/>
      <c r="B561" s="22"/>
      <c r="C561" s="22"/>
      <c r="D561" s="22"/>
      <c r="E561" s="22"/>
      <c r="F561" s="22"/>
    </row>
    <row r="562" spans="1:6" ht="15.75" customHeight="1">
      <c r="A562" s="21"/>
      <c r="B562" s="22"/>
      <c r="C562" s="22"/>
      <c r="D562" s="22"/>
      <c r="E562" s="22"/>
      <c r="F562" s="22"/>
    </row>
    <row r="563" spans="1:6" ht="15.75" customHeight="1">
      <c r="A563" s="21"/>
      <c r="B563" s="22"/>
      <c r="C563" s="22"/>
      <c r="D563" s="22"/>
      <c r="E563" s="22"/>
      <c r="F563" s="22"/>
    </row>
    <row r="564" spans="1:6" ht="15.75" customHeight="1">
      <c r="A564" s="21"/>
      <c r="B564" s="22"/>
      <c r="C564" s="22"/>
      <c r="D564" s="22"/>
      <c r="E564" s="22"/>
      <c r="F564" s="22"/>
    </row>
    <row r="565" spans="1:6" ht="15.75" customHeight="1">
      <c r="A565" s="21"/>
      <c r="B565" s="22"/>
      <c r="C565" s="22"/>
      <c r="D565" s="22"/>
      <c r="E565" s="22"/>
      <c r="F565" s="22"/>
    </row>
    <row r="566" spans="1:6" ht="15.75" customHeight="1">
      <c r="A566" s="21"/>
      <c r="B566" s="22"/>
      <c r="C566" s="22"/>
      <c r="D566" s="22"/>
      <c r="E566" s="22"/>
      <c r="F566" s="22"/>
    </row>
    <row r="567" spans="1:6" ht="15.75" customHeight="1">
      <c r="A567" s="21"/>
      <c r="B567" s="22"/>
      <c r="C567" s="22"/>
      <c r="D567" s="22"/>
      <c r="E567" s="22"/>
      <c r="F567" s="22"/>
    </row>
    <row r="568" spans="1:6" ht="15.75" customHeight="1">
      <c r="A568" s="21"/>
      <c r="B568" s="22"/>
      <c r="C568" s="22"/>
      <c r="D568" s="22"/>
      <c r="E568" s="22"/>
      <c r="F568" s="22"/>
    </row>
    <row r="569" spans="1:6" ht="15.75" customHeight="1">
      <c r="A569" s="21"/>
      <c r="B569" s="22"/>
      <c r="C569" s="22"/>
      <c r="D569" s="22"/>
      <c r="E569" s="22"/>
      <c r="F569" s="22"/>
    </row>
    <row r="570" spans="1:6" ht="15.75" customHeight="1">
      <c r="A570" s="21"/>
      <c r="B570" s="22"/>
      <c r="C570" s="22"/>
      <c r="D570" s="22"/>
      <c r="E570" s="22"/>
      <c r="F570" s="22"/>
    </row>
    <row r="571" spans="1:6" ht="15.75" customHeight="1">
      <c r="A571" s="21"/>
      <c r="B571" s="22"/>
      <c r="C571" s="22"/>
      <c r="D571" s="22"/>
      <c r="E571" s="22"/>
      <c r="F571" s="22"/>
    </row>
    <row r="572" spans="1:6" ht="15.75" customHeight="1">
      <c r="A572" s="21"/>
      <c r="B572" s="22"/>
      <c r="C572" s="22"/>
      <c r="D572" s="22"/>
      <c r="E572" s="22"/>
      <c r="F572" s="22"/>
    </row>
    <row r="573" spans="1:6" ht="15.75" customHeight="1">
      <c r="A573" s="21"/>
      <c r="B573" s="22"/>
      <c r="C573" s="22"/>
      <c r="D573" s="22"/>
      <c r="E573" s="22"/>
      <c r="F573" s="22"/>
    </row>
    <row r="574" spans="1:6" ht="15.75" customHeight="1">
      <c r="A574" s="21"/>
      <c r="B574" s="22"/>
      <c r="C574" s="22"/>
      <c r="D574" s="22"/>
      <c r="E574" s="22"/>
      <c r="F574" s="22"/>
    </row>
    <row r="575" spans="1:6" ht="15.75" customHeight="1">
      <c r="A575" s="21"/>
      <c r="B575" s="22"/>
      <c r="C575" s="22"/>
      <c r="D575" s="22"/>
      <c r="E575" s="22"/>
      <c r="F575" s="22"/>
    </row>
    <row r="576" spans="1:6" ht="15.75" customHeight="1">
      <c r="A576" s="21"/>
      <c r="B576" s="22"/>
      <c r="C576" s="22"/>
      <c r="D576" s="22"/>
      <c r="E576" s="22"/>
      <c r="F576" s="22"/>
    </row>
    <row r="577" spans="1:6" ht="15.75" customHeight="1">
      <c r="A577" s="21"/>
      <c r="B577" s="22"/>
      <c r="C577" s="22"/>
      <c r="D577" s="22"/>
      <c r="E577" s="22"/>
      <c r="F577" s="22"/>
    </row>
    <row r="578" spans="1:6" ht="15.75" customHeight="1">
      <c r="A578" s="21"/>
      <c r="B578" s="22"/>
      <c r="C578" s="22"/>
      <c r="D578" s="22"/>
      <c r="E578" s="22"/>
      <c r="F578" s="22"/>
    </row>
    <row r="579" spans="1:6" ht="15.75" customHeight="1">
      <c r="A579" s="21"/>
      <c r="B579" s="22"/>
      <c r="C579" s="22"/>
      <c r="D579" s="22"/>
      <c r="E579" s="22"/>
      <c r="F579" s="22"/>
    </row>
    <row r="580" spans="1:6" ht="15.75" customHeight="1">
      <c r="A580" s="21"/>
      <c r="B580" s="22"/>
      <c r="C580" s="22"/>
      <c r="D580" s="22"/>
      <c r="E580" s="22"/>
      <c r="F580" s="22"/>
    </row>
    <row r="581" spans="1:6" ht="15.75" customHeight="1">
      <c r="A581" s="21"/>
      <c r="B581" s="22"/>
      <c r="C581" s="22"/>
      <c r="D581" s="22"/>
      <c r="E581" s="22"/>
      <c r="F581" s="22"/>
    </row>
    <row r="582" spans="1:6" ht="15.75" customHeight="1">
      <c r="A582" s="21"/>
      <c r="B582" s="22"/>
      <c r="C582" s="22"/>
      <c r="D582" s="22"/>
      <c r="E582" s="22"/>
      <c r="F582" s="22"/>
    </row>
    <row r="583" spans="1:6" ht="15.75" customHeight="1">
      <c r="A583" s="21"/>
      <c r="B583" s="22"/>
      <c r="C583" s="22"/>
      <c r="D583" s="22"/>
      <c r="E583" s="22"/>
      <c r="F583" s="22"/>
    </row>
    <row r="584" spans="1:6" ht="15.75" customHeight="1">
      <c r="A584" s="21"/>
      <c r="B584" s="22"/>
      <c r="C584" s="22"/>
      <c r="D584" s="22"/>
      <c r="E584" s="22"/>
      <c r="F584" s="22"/>
    </row>
    <row r="585" spans="1:6" ht="15.75" customHeight="1">
      <c r="A585" s="21"/>
      <c r="B585" s="22"/>
      <c r="C585" s="22"/>
      <c r="D585" s="22"/>
      <c r="E585" s="22"/>
      <c r="F585" s="22"/>
    </row>
    <row r="586" spans="1:6" ht="15.75" customHeight="1">
      <c r="A586" s="21"/>
      <c r="B586" s="22"/>
      <c r="C586" s="22"/>
      <c r="D586" s="22"/>
      <c r="E586" s="22"/>
      <c r="F586" s="22"/>
    </row>
    <row r="587" spans="1:6" ht="15.75" customHeight="1">
      <c r="A587" s="21"/>
      <c r="B587" s="22"/>
      <c r="C587" s="22"/>
      <c r="D587" s="22"/>
      <c r="E587" s="22"/>
      <c r="F587" s="22"/>
    </row>
    <row r="588" spans="1:6" ht="15.75" customHeight="1">
      <c r="A588" s="21"/>
      <c r="B588" s="22"/>
      <c r="C588" s="22"/>
      <c r="D588" s="22"/>
      <c r="E588" s="22"/>
      <c r="F588" s="22"/>
    </row>
    <row r="589" spans="1:6" ht="15.75" customHeight="1">
      <c r="A589" s="21"/>
      <c r="B589" s="22"/>
      <c r="C589" s="22"/>
      <c r="D589" s="22"/>
      <c r="E589" s="22"/>
      <c r="F589" s="22"/>
    </row>
    <row r="590" spans="1:6" ht="15.75" customHeight="1">
      <c r="A590" s="21"/>
      <c r="B590" s="22"/>
      <c r="C590" s="22"/>
      <c r="D590" s="22"/>
      <c r="E590" s="22"/>
      <c r="F590" s="22"/>
    </row>
    <row r="591" spans="1:6" ht="15.75" customHeight="1">
      <c r="A591" s="21"/>
      <c r="B591" s="22"/>
      <c r="C591" s="22"/>
      <c r="D591" s="22"/>
      <c r="E591" s="22"/>
      <c r="F591" s="22"/>
    </row>
    <row r="592" spans="1:6" ht="15.75" customHeight="1">
      <c r="A592" s="21"/>
      <c r="B592" s="22"/>
      <c r="C592" s="22"/>
      <c r="D592" s="22"/>
      <c r="E592" s="22"/>
      <c r="F592" s="22"/>
    </row>
    <row r="593" spans="1:6" ht="15.75" customHeight="1">
      <c r="A593" s="21"/>
      <c r="B593" s="22"/>
      <c r="C593" s="22"/>
      <c r="D593" s="22"/>
      <c r="E593" s="22"/>
      <c r="F593" s="22"/>
    </row>
    <row r="594" spans="1:6" ht="15.75" customHeight="1">
      <c r="A594" s="21"/>
      <c r="B594" s="22"/>
      <c r="C594" s="22"/>
      <c r="D594" s="22"/>
      <c r="E594" s="22"/>
      <c r="F594" s="22"/>
    </row>
    <row r="595" spans="1:6" ht="15.75" customHeight="1">
      <c r="A595" s="21"/>
      <c r="B595" s="22"/>
      <c r="C595" s="22"/>
      <c r="D595" s="22"/>
      <c r="E595" s="22"/>
      <c r="F595" s="22"/>
    </row>
    <row r="596" spans="1:6" ht="15.75" customHeight="1">
      <c r="A596" s="21"/>
      <c r="B596" s="22"/>
      <c r="C596" s="22"/>
      <c r="D596" s="22"/>
      <c r="E596" s="22"/>
      <c r="F596" s="22"/>
    </row>
    <row r="597" spans="1:6" ht="15.75" customHeight="1">
      <c r="A597" s="21"/>
      <c r="B597" s="22"/>
      <c r="C597" s="22"/>
      <c r="D597" s="22"/>
      <c r="E597" s="22"/>
      <c r="F597" s="22"/>
    </row>
    <row r="598" spans="1:6" ht="15.75" customHeight="1">
      <c r="A598" s="21"/>
      <c r="B598" s="22"/>
      <c r="C598" s="22"/>
      <c r="D598" s="22"/>
      <c r="E598" s="22"/>
      <c r="F598" s="22"/>
    </row>
    <row r="599" spans="1:6" ht="15.75" customHeight="1">
      <c r="A599" s="21"/>
      <c r="B599" s="22"/>
      <c r="C599" s="22"/>
      <c r="D599" s="22"/>
      <c r="E599" s="22"/>
      <c r="F599" s="22"/>
    </row>
    <row r="600" spans="1:6" ht="15.75" customHeight="1">
      <c r="A600" s="21"/>
      <c r="B600" s="22"/>
      <c r="C600" s="22"/>
      <c r="D600" s="22"/>
      <c r="E600" s="22"/>
      <c r="F600" s="22"/>
    </row>
    <row r="601" spans="1:6" ht="15.75" customHeight="1">
      <c r="A601" s="21"/>
      <c r="B601" s="22"/>
      <c r="C601" s="22"/>
      <c r="D601" s="22"/>
      <c r="E601" s="22"/>
      <c r="F601" s="22"/>
    </row>
    <row r="602" spans="1:6" ht="15.75" customHeight="1">
      <c r="A602" s="21"/>
      <c r="B602" s="22"/>
      <c r="C602" s="22"/>
      <c r="D602" s="22"/>
      <c r="E602" s="22"/>
      <c r="F602" s="22"/>
    </row>
    <row r="603" spans="1:6" ht="15.75" customHeight="1">
      <c r="A603" s="21"/>
      <c r="B603" s="22"/>
      <c r="C603" s="22"/>
      <c r="D603" s="22"/>
      <c r="E603" s="22"/>
      <c r="F603" s="22"/>
    </row>
    <row r="604" spans="1:6" ht="15.75" customHeight="1">
      <c r="A604" s="21"/>
      <c r="B604" s="22"/>
      <c r="C604" s="22"/>
      <c r="D604" s="22"/>
      <c r="E604" s="22"/>
      <c r="F604" s="22"/>
    </row>
    <row r="605" spans="1:6" ht="15.75" customHeight="1">
      <c r="A605" s="21"/>
      <c r="B605" s="22"/>
      <c r="C605" s="22"/>
      <c r="D605" s="22"/>
      <c r="E605" s="22"/>
      <c r="F605" s="22"/>
    </row>
    <row r="606" spans="1:6" ht="15.75" customHeight="1">
      <c r="A606" s="21"/>
      <c r="B606" s="22"/>
      <c r="C606" s="22"/>
      <c r="D606" s="22"/>
      <c r="E606" s="22"/>
      <c r="F606" s="22"/>
    </row>
    <row r="607" spans="1:6" ht="15.75" customHeight="1">
      <c r="A607" s="21"/>
      <c r="B607" s="22"/>
      <c r="C607" s="22"/>
      <c r="D607" s="22"/>
      <c r="E607" s="22"/>
      <c r="F607" s="22"/>
    </row>
    <row r="608" spans="1:6" ht="15.75" customHeight="1">
      <c r="A608" s="21"/>
      <c r="B608" s="22"/>
      <c r="C608" s="22"/>
      <c r="D608" s="22"/>
      <c r="E608" s="22"/>
      <c r="F608" s="22"/>
    </row>
    <row r="609" spans="1:6" ht="15.75" customHeight="1">
      <c r="A609" s="21"/>
      <c r="B609" s="22"/>
      <c r="C609" s="22"/>
      <c r="D609" s="22"/>
      <c r="E609" s="22"/>
      <c r="F609" s="22"/>
    </row>
    <row r="610" spans="1:6" ht="15.75" customHeight="1">
      <c r="A610" s="21"/>
      <c r="B610" s="22"/>
      <c r="C610" s="22"/>
      <c r="D610" s="22"/>
      <c r="E610" s="22"/>
      <c r="F610" s="22"/>
    </row>
    <row r="611" spans="1:6" ht="15.75" customHeight="1">
      <c r="A611" s="21"/>
      <c r="B611" s="22"/>
      <c r="C611" s="22"/>
      <c r="D611" s="22"/>
      <c r="E611" s="22"/>
      <c r="F611" s="22"/>
    </row>
    <row r="612" spans="1:6" ht="15.75" customHeight="1">
      <c r="A612" s="21"/>
      <c r="B612" s="22"/>
      <c r="C612" s="22"/>
      <c r="D612" s="22"/>
      <c r="E612" s="22"/>
      <c r="F612" s="22"/>
    </row>
    <row r="613" spans="1:6" ht="15.75" customHeight="1">
      <c r="A613" s="21"/>
      <c r="B613" s="22"/>
      <c r="C613" s="22"/>
      <c r="D613" s="22"/>
      <c r="E613" s="22"/>
      <c r="F613" s="22"/>
    </row>
  </sheetData>
  <mergeCells count="2">
    <mergeCell ref="A2:A7"/>
    <mergeCell ref="B13:C13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2"/>
  <sheetViews>
    <sheetView topLeftCell="A105" zoomScale="85" zoomScaleNormal="85" workbookViewId="0">
      <selection activeCell="C105" sqref="C105"/>
    </sheetView>
  </sheetViews>
  <sheetFormatPr defaultRowHeight="14.4"/>
  <cols>
    <col min="1" max="1" width="24.5546875" style="646" customWidth="1"/>
    <col min="3" max="3" width="64.88671875" customWidth="1"/>
    <col min="4" max="4" width="12.6640625" customWidth="1"/>
    <col min="5" max="6" width="0" hidden="1" customWidth="1"/>
    <col min="7" max="7" width="15" hidden="1" customWidth="1"/>
    <col min="8" max="9" width="0" hidden="1" customWidth="1"/>
    <col min="10" max="10" width="12.33203125" hidden="1" customWidth="1"/>
    <col min="11" max="14" width="0" hidden="1" customWidth="1"/>
    <col min="15" max="15" width="14.109375" customWidth="1"/>
    <col min="16" max="16" width="13" customWidth="1"/>
    <col min="17" max="17" width="13.88671875" customWidth="1"/>
    <col min="18" max="18" width="16.5546875" customWidth="1"/>
    <col min="20" max="20" width="12" customWidth="1"/>
    <col min="22" max="22" width="17.109375" customWidth="1"/>
    <col min="23" max="23" width="13" customWidth="1"/>
    <col min="24" max="24" width="13.33203125" customWidth="1"/>
    <col min="32" max="32" width="14.6640625" customWidth="1"/>
  </cols>
  <sheetData>
    <row r="1" spans="1:10" ht="42.75" customHeight="1">
      <c r="A1" s="647" t="s">
        <v>845</v>
      </c>
      <c r="C1" s="19"/>
      <c r="D1" s="623" t="s">
        <v>830</v>
      </c>
      <c r="E1" s="24">
        <v>0.17</v>
      </c>
      <c r="F1" s="25" t="s">
        <v>3</v>
      </c>
      <c r="G1" s="23" t="s">
        <v>75</v>
      </c>
      <c r="H1" s="23" t="s">
        <v>76</v>
      </c>
      <c r="I1" s="23" t="s">
        <v>77</v>
      </c>
      <c r="J1" s="637" t="s">
        <v>837</v>
      </c>
    </row>
    <row r="2" spans="1:10" ht="21.75" customHeight="1">
      <c r="C2" s="622" t="s">
        <v>831</v>
      </c>
      <c r="D2" s="23"/>
      <c r="E2" s="24"/>
      <c r="F2" s="25"/>
      <c r="G2" s="23"/>
      <c r="H2" s="23"/>
      <c r="I2" s="23"/>
      <c r="J2" s="23"/>
    </row>
    <row r="3" spans="1:10" ht="41.4">
      <c r="B3">
        <v>7</v>
      </c>
      <c r="C3" s="20" t="s">
        <v>57</v>
      </c>
    </row>
    <row r="4" spans="1:10">
      <c r="A4" s="654" t="s">
        <v>846</v>
      </c>
      <c r="C4" s="23" t="s">
        <v>105</v>
      </c>
      <c r="D4" s="508">
        <v>1000</v>
      </c>
      <c r="E4" s="508"/>
      <c r="F4" s="508">
        <v>10</v>
      </c>
      <c r="G4" s="508">
        <f t="shared" ref="G4:G5" si="0">D4*F4</f>
        <v>10000</v>
      </c>
      <c r="H4" s="508"/>
      <c r="I4" s="508"/>
      <c r="J4" s="508">
        <f t="shared" ref="J4:J11" si="1">G4+H4+I4</f>
        <v>10000</v>
      </c>
    </row>
    <row r="5" spans="1:10">
      <c r="B5" s="646"/>
      <c r="C5" s="207" t="s">
        <v>108</v>
      </c>
      <c r="D5" s="651">
        <v>150</v>
      </c>
      <c r="E5" s="651"/>
      <c r="F5" s="651">
        <v>100</v>
      </c>
      <c r="G5" s="651">
        <f t="shared" si="0"/>
        <v>15000</v>
      </c>
      <c r="H5" s="651"/>
      <c r="I5" s="651"/>
      <c r="J5" s="651">
        <f t="shared" si="1"/>
        <v>15000</v>
      </c>
    </row>
    <row r="6" spans="1:10" s="188" customFormat="1" ht="15.6">
      <c r="A6" t="s">
        <v>848</v>
      </c>
      <c r="B6" s="646"/>
      <c r="C6" s="649" t="s">
        <v>804</v>
      </c>
      <c r="D6" s="652">
        <f>123000/40*120%*30</f>
        <v>110700</v>
      </c>
      <c r="E6" s="652"/>
      <c r="F6" s="652">
        <v>1</v>
      </c>
      <c r="G6" s="652">
        <f>D6*F6</f>
        <v>110700</v>
      </c>
      <c r="H6" s="652"/>
      <c r="I6" s="652">
        <v>110700</v>
      </c>
      <c r="J6" s="652">
        <f>G6+H6+I6</f>
        <v>221400</v>
      </c>
    </row>
    <row r="7" spans="1:10" s="188" customFormat="1" ht="15.6">
      <c r="A7" s="654" t="s">
        <v>846</v>
      </c>
      <c r="B7" s="646"/>
      <c r="C7" s="649" t="s">
        <v>266</v>
      </c>
      <c r="D7" s="652">
        <v>350000</v>
      </c>
      <c r="E7" s="652"/>
      <c r="F7" s="652">
        <v>1</v>
      </c>
      <c r="G7" s="652">
        <f t="shared" ref="G7" si="2">D7*F7</f>
        <v>350000</v>
      </c>
      <c r="H7" s="652"/>
      <c r="I7" s="652"/>
      <c r="J7" s="652">
        <f>G7+H7+I7</f>
        <v>350000</v>
      </c>
    </row>
    <row r="8" spans="1:10" s="188" customFormat="1" ht="15.6">
      <c r="A8" s="654" t="s">
        <v>846</v>
      </c>
      <c r="B8" s="646"/>
      <c r="C8" s="649" t="s">
        <v>267</v>
      </c>
      <c r="D8" s="652">
        <f>19500/30</f>
        <v>650</v>
      </c>
      <c r="E8" s="652"/>
      <c r="F8" s="652">
        <v>30</v>
      </c>
      <c r="G8" s="652">
        <f>D8*F8</f>
        <v>19500</v>
      </c>
      <c r="H8" s="652"/>
      <c r="I8" s="652"/>
      <c r="J8" s="652">
        <f t="shared" si="1"/>
        <v>19500</v>
      </c>
    </row>
    <row r="9" spans="1:10" s="188" customFormat="1" ht="15.6">
      <c r="A9" s="654" t="s">
        <v>846</v>
      </c>
      <c r="B9" s="646"/>
      <c r="C9" s="649" t="s">
        <v>268</v>
      </c>
      <c r="D9" s="652">
        <f>32</f>
        <v>32</v>
      </c>
      <c r="E9" s="652"/>
      <c r="F9" s="652">
        <v>140</v>
      </c>
      <c r="G9" s="652">
        <f t="shared" ref="G9:G12" si="3">D9*F9</f>
        <v>4480</v>
      </c>
      <c r="H9" s="652">
        <f t="shared" ref="H9:I12" si="4">G9</f>
        <v>4480</v>
      </c>
      <c r="I9" s="652">
        <f t="shared" si="4"/>
        <v>4480</v>
      </c>
      <c r="J9" s="652">
        <f t="shared" si="1"/>
        <v>13440</v>
      </c>
    </row>
    <row r="10" spans="1:10" s="188" customFormat="1" ht="15.6">
      <c r="A10" s="654" t="s">
        <v>846</v>
      </c>
      <c r="B10" s="646"/>
      <c r="C10" s="649" t="s">
        <v>269</v>
      </c>
      <c r="D10" s="652">
        <f>32</f>
        <v>32</v>
      </c>
      <c r="E10" s="652"/>
      <c r="F10" s="652">
        <v>420</v>
      </c>
      <c r="G10" s="652">
        <f>D10*F10</f>
        <v>13440</v>
      </c>
      <c r="H10" s="652">
        <f t="shared" si="4"/>
        <v>13440</v>
      </c>
      <c r="I10" s="652">
        <f t="shared" si="4"/>
        <v>13440</v>
      </c>
      <c r="J10" s="652">
        <f t="shared" si="1"/>
        <v>40320</v>
      </c>
    </row>
    <row r="11" spans="1:10" s="188" customFormat="1" ht="15.6">
      <c r="A11" s="654" t="s">
        <v>846</v>
      </c>
      <c r="B11" s="646"/>
      <c r="C11" s="649" t="s">
        <v>270</v>
      </c>
      <c r="D11" s="652">
        <f>2.8</f>
        <v>2.8</v>
      </c>
      <c r="E11" s="652"/>
      <c r="F11" s="652">
        <v>230</v>
      </c>
      <c r="G11" s="652">
        <f>D11*F11</f>
        <v>644</v>
      </c>
      <c r="H11" s="652">
        <f t="shared" si="4"/>
        <v>644</v>
      </c>
      <c r="I11" s="652">
        <f t="shared" si="4"/>
        <v>644</v>
      </c>
      <c r="J11" s="652">
        <f t="shared" si="1"/>
        <v>1932</v>
      </c>
    </row>
    <row r="12" spans="1:10" ht="15.6">
      <c r="A12" s="654" t="s">
        <v>846</v>
      </c>
      <c r="B12" s="646"/>
      <c r="C12" s="653" t="s">
        <v>271</v>
      </c>
      <c r="D12" s="651">
        <f>15.2</f>
        <v>15.2</v>
      </c>
      <c r="E12" s="651"/>
      <c r="F12" s="651">
        <v>2000</v>
      </c>
      <c r="G12" s="651">
        <f t="shared" si="3"/>
        <v>30400</v>
      </c>
      <c r="H12" s="651">
        <f t="shared" si="4"/>
        <v>30400</v>
      </c>
      <c r="I12" s="651">
        <f t="shared" si="4"/>
        <v>30400</v>
      </c>
      <c r="J12" s="651">
        <f>G12+H12+I12</f>
        <v>91200</v>
      </c>
    </row>
    <row r="13" spans="1:10" ht="15.6">
      <c r="C13" s="650" t="s">
        <v>833</v>
      </c>
      <c r="D13" s="648"/>
    </row>
    <row r="14" spans="1:10" ht="15.6">
      <c r="B14" s="536" t="s">
        <v>45</v>
      </c>
      <c r="C14" s="883" t="s">
        <v>46</v>
      </c>
      <c r="D14" s="884"/>
    </row>
    <row r="15" spans="1:10">
      <c r="D15" t="s">
        <v>832</v>
      </c>
      <c r="F15" t="s">
        <v>3</v>
      </c>
      <c r="G15" t="s">
        <v>75</v>
      </c>
      <c r="H15" t="s">
        <v>76</v>
      </c>
      <c r="I15" t="s">
        <v>77</v>
      </c>
      <c r="J15" t="s">
        <v>92</v>
      </c>
    </row>
    <row r="16" spans="1:10" ht="46.8">
      <c r="A16" s="656" t="s">
        <v>847</v>
      </c>
      <c r="C16" s="657" t="s">
        <v>498</v>
      </c>
      <c r="D16" s="658">
        <v>40000</v>
      </c>
      <c r="E16" s="658"/>
      <c r="F16" s="658">
        <v>2</v>
      </c>
      <c r="G16" s="658">
        <v>80000</v>
      </c>
      <c r="H16" s="658"/>
      <c r="I16" s="658"/>
      <c r="J16" s="659">
        <f t="shared" ref="J16" si="5">SUM(G16:I16)+E16</f>
        <v>80000</v>
      </c>
    </row>
    <row r="18" spans="1:30">
      <c r="A18" s="654" t="s">
        <v>846</v>
      </c>
      <c r="B18" s="664"/>
      <c r="C18" s="665" t="s">
        <v>834</v>
      </c>
      <c r="D18" s="666">
        <v>4.5</v>
      </c>
      <c r="E18" s="667"/>
      <c r="F18" s="667">
        <v>400</v>
      </c>
      <c r="G18" s="667">
        <f>D18*F18</f>
        <v>1800</v>
      </c>
      <c r="H18" s="667">
        <f>D18*F18</f>
        <v>1800</v>
      </c>
      <c r="I18" s="667">
        <f>D18*F18</f>
        <v>1800</v>
      </c>
      <c r="J18" s="667">
        <f>G18+H18+I18</f>
        <v>5400</v>
      </c>
    </row>
    <row r="19" spans="1:30" ht="28.8">
      <c r="A19" s="654" t="s">
        <v>857</v>
      </c>
      <c r="B19" s="664"/>
      <c r="C19" s="687" t="s">
        <v>108</v>
      </c>
      <c r="D19" s="688">
        <v>150</v>
      </c>
      <c r="E19" s="660"/>
      <c r="F19" s="660">
        <v>100</v>
      </c>
      <c r="G19" s="660">
        <f t="shared" ref="G19" si="6">D19*F19</f>
        <v>15000</v>
      </c>
      <c r="H19" s="660"/>
      <c r="I19" s="660"/>
      <c r="J19" s="660">
        <f t="shared" ref="J19" si="7">G19+H19+I19</f>
        <v>15000</v>
      </c>
    </row>
    <row r="21" spans="1:30" ht="104.4">
      <c r="A21" s="647" t="s">
        <v>849</v>
      </c>
      <c r="C21" s="413" t="s">
        <v>716</v>
      </c>
      <c r="D21" s="414" t="s">
        <v>717</v>
      </c>
      <c r="E21" s="415" t="s">
        <v>718</v>
      </c>
      <c r="F21" s="415" t="s">
        <v>719</v>
      </c>
      <c r="G21" s="414" t="s">
        <v>720</v>
      </c>
      <c r="H21" s="416" t="s">
        <v>721</v>
      </c>
      <c r="I21" s="416" t="s">
        <v>722</v>
      </c>
      <c r="J21" s="417" t="s">
        <v>723</v>
      </c>
      <c r="K21" s="417" t="s">
        <v>724</v>
      </c>
      <c r="L21" s="418" t="s">
        <v>725</v>
      </c>
      <c r="M21" s="414" t="s">
        <v>726</v>
      </c>
      <c r="N21" s="416" t="s">
        <v>721</v>
      </c>
      <c r="O21" s="416" t="s">
        <v>722</v>
      </c>
      <c r="P21" s="417" t="s">
        <v>723</v>
      </c>
      <c r="Q21" s="417" t="s">
        <v>727</v>
      </c>
      <c r="R21" s="418" t="s">
        <v>725</v>
      </c>
      <c r="S21" s="414" t="s">
        <v>728</v>
      </c>
      <c r="T21" s="416" t="s">
        <v>721</v>
      </c>
      <c r="U21" s="416" t="s">
        <v>722</v>
      </c>
      <c r="V21" s="417" t="s">
        <v>723</v>
      </c>
      <c r="W21" s="417" t="s">
        <v>727</v>
      </c>
      <c r="X21" s="418" t="s">
        <v>725</v>
      </c>
      <c r="Y21" s="414" t="s">
        <v>729</v>
      </c>
      <c r="Z21" s="416" t="s">
        <v>721</v>
      </c>
      <c r="AA21" s="416" t="s">
        <v>722</v>
      </c>
      <c r="AB21" s="417" t="s">
        <v>723</v>
      </c>
      <c r="AC21" s="417" t="s">
        <v>727</v>
      </c>
      <c r="AD21" s="418" t="s">
        <v>725</v>
      </c>
    </row>
    <row r="22" spans="1:30" ht="18">
      <c r="A22" s="647" t="s">
        <v>844</v>
      </c>
      <c r="C22" s="419" t="s">
        <v>730</v>
      </c>
      <c r="D22" s="420">
        <v>5589</v>
      </c>
      <c r="E22" s="421">
        <v>7.8</v>
      </c>
      <c r="F22" s="421">
        <v>4.9000000000000004</v>
      </c>
      <c r="G22" s="422">
        <f>'[32]Расчет колич АРВП'!V23</f>
        <v>0</v>
      </c>
      <c r="H22" s="423">
        <v>6036</v>
      </c>
      <c r="I22" s="424">
        <f>(H22*E22)*12</f>
        <v>564969.6</v>
      </c>
      <c r="J22" s="425">
        <v>700</v>
      </c>
      <c r="K22" s="426">
        <f>(J22*F22)*12</f>
        <v>41160.000000000007</v>
      </c>
      <c r="L22" s="427">
        <f>I22+K22</f>
        <v>606129.6</v>
      </c>
      <c r="M22" s="428">
        <v>7675</v>
      </c>
      <c r="N22" s="423">
        <v>7175</v>
      </c>
      <c r="O22" s="424">
        <f>(N22*E22)*12</f>
        <v>671580</v>
      </c>
      <c r="P22" s="425">
        <v>500</v>
      </c>
      <c r="Q22" s="426">
        <f>(P22*F22)*12</f>
        <v>29400</v>
      </c>
      <c r="R22" s="427">
        <f>O22+Q22</f>
        <v>700980</v>
      </c>
      <c r="S22" s="428">
        <v>8570</v>
      </c>
      <c r="T22" s="423">
        <v>8075</v>
      </c>
      <c r="U22" s="424">
        <f>(T22*E22)*12</f>
        <v>755820</v>
      </c>
      <c r="V22" s="429">
        <v>500</v>
      </c>
      <c r="W22" s="426">
        <f>(V22*F22)*12</f>
        <v>29400</v>
      </c>
      <c r="X22" s="427">
        <f>U22+W22</f>
        <v>785220</v>
      </c>
      <c r="Y22" s="428">
        <v>8570</v>
      </c>
      <c r="Z22" s="423">
        <v>8075</v>
      </c>
      <c r="AA22" s="424">
        <f t="shared" ref="AA22:AA39" si="8">(Z22*E22)*6</f>
        <v>377910</v>
      </c>
      <c r="AB22" s="429">
        <v>500</v>
      </c>
      <c r="AC22" s="426">
        <f>(AB22*F22)*6</f>
        <v>14700</v>
      </c>
      <c r="AD22" s="427">
        <f>AA22+AC22</f>
        <v>392610</v>
      </c>
    </row>
    <row r="23" spans="1:30" ht="18">
      <c r="A23" s="647" t="s">
        <v>844</v>
      </c>
      <c r="C23" s="419" t="s">
        <v>731</v>
      </c>
      <c r="D23" s="420">
        <v>450</v>
      </c>
      <c r="E23" s="421">
        <v>8.8000000000000007</v>
      </c>
      <c r="F23" s="421">
        <v>7.8</v>
      </c>
      <c r="G23" s="428">
        <v>400</v>
      </c>
      <c r="H23" s="430">
        <v>0</v>
      </c>
      <c r="I23" s="424">
        <f>(H23*E23)*12</f>
        <v>0</v>
      </c>
      <c r="J23" s="431">
        <v>400</v>
      </c>
      <c r="K23" s="426">
        <f t="shared" ref="K23:K39" si="9">(J23*F23)*12</f>
        <v>37440</v>
      </c>
      <c r="L23" s="427">
        <f t="shared" ref="L23:L40" si="10">I23+K23</f>
        <v>37440</v>
      </c>
      <c r="M23" s="428">
        <v>400</v>
      </c>
      <c r="N23" s="430">
        <v>0</v>
      </c>
      <c r="O23" s="424">
        <f t="shared" ref="O23:O37" si="11">(N23*E23)*12</f>
        <v>0</v>
      </c>
      <c r="P23" s="428">
        <v>400</v>
      </c>
      <c r="Q23" s="426">
        <f t="shared" ref="Q23:Q39" si="12">(P23*F23)*12</f>
        <v>37440</v>
      </c>
      <c r="R23" s="427">
        <f t="shared" ref="R23:R37" si="13">O23+Q23</f>
        <v>37440</v>
      </c>
      <c r="S23" s="428">
        <v>400</v>
      </c>
      <c r="T23" s="430">
        <v>0</v>
      </c>
      <c r="U23" s="424">
        <f t="shared" ref="U23:U39" si="14">(T23*E23)*12</f>
        <v>0</v>
      </c>
      <c r="V23" s="432">
        <v>400</v>
      </c>
      <c r="W23" s="426">
        <f t="shared" ref="W23:W39" si="15">(V23*F23)*12</f>
        <v>37440</v>
      </c>
      <c r="X23" s="427">
        <f t="shared" ref="X23:X40" si="16">U23+W23</f>
        <v>37440</v>
      </c>
      <c r="Y23" s="428">
        <v>400</v>
      </c>
      <c r="Z23" s="430">
        <v>0</v>
      </c>
      <c r="AA23" s="424">
        <f t="shared" si="8"/>
        <v>0</v>
      </c>
      <c r="AB23" s="433">
        <v>400</v>
      </c>
      <c r="AC23" s="426">
        <f t="shared" ref="AC23:AC39" si="17">(AB23*F23)*6</f>
        <v>18720</v>
      </c>
      <c r="AD23" s="427">
        <f t="shared" ref="AD23:AD40" si="18">AA23+AC23</f>
        <v>18720</v>
      </c>
    </row>
    <row r="24" spans="1:30" ht="18">
      <c r="A24" s="647" t="s">
        <v>844</v>
      </c>
      <c r="C24" s="419" t="s">
        <v>732</v>
      </c>
      <c r="D24" s="420">
        <v>4</v>
      </c>
      <c r="E24" s="421"/>
      <c r="F24" s="421">
        <v>11.2</v>
      </c>
      <c r="G24" s="422">
        <v>4</v>
      </c>
      <c r="H24" s="430">
        <v>0</v>
      </c>
      <c r="I24" s="424">
        <f t="shared" ref="I24:I37" si="19">(H24*E24)*12</f>
        <v>0</v>
      </c>
      <c r="J24" s="431">
        <v>4</v>
      </c>
      <c r="K24" s="426">
        <f t="shared" si="9"/>
        <v>537.59999999999991</v>
      </c>
      <c r="L24" s="427">
        <f t="shared" si="10"/>
        <v>537.59999999999991</v>
      </c>
      <c r="M24" s="428">
        <v>4</v>
      </c>
      <c r="N24" s="430">
        <v>0</v>
      </c>
      <c r="O24" s="424">
        <f t="shared" si="11"/>
        <v>0</v>
      </c>
      <c r="P24" s="428">
        <v>4</v>
      </c>
      <c r="Q24" s="426">
        <f t="shared" si="12"/>
        <v>537.59999999999991</v>
      </c>
      <c r="R24" s="427">
        <f t="shared" si="13"/>
        <v>537.59999999999991</v>
      </c>
      <c r="S24" s="428">
        <v>4</v>
      </c>
      <c r="T24" s="430">
        <v>0</v>
      </c>
      <c r="U24" s="424">
        <f t="shared" si="14"/>
        <v>0</v>
      </c>
      <c r="V24" s="432">
        <v>4</v>
      </c>
      <c r="W24" s="426">
        <f t="shared" si="15"/>
        <v>537.59999999999991</v>
      </c>
      <c r="X24" s="427">
        <f t="shared" si="16"/>
        <v>537.59999999999991</v>
      </c>
      <c r="Y24" s="428">
        <v>4</v>
      </c>
      <c r="Z24" s="430">
        <v>0</v>
      </c>
      <c r="AA24" s="424">
        <f t="shared" si="8"/>
        <v>0</v>
      </c>
      <c r="AB24" s="433">
        <v>4</v>
      </c>
      <c r="AC24" s="426">
        <f t="shared" si="17"/>
        <v>268.79999999999995</v>
      </c>
      <c r="AD24" s="427">
        <f t="shared" si="18"/>
        <v>268.79999999999995</v>
      </c>
    </row>
    <row r="25" spans="1:30" ht="18">
      <c r="A25" s="647" t="s">
        <v>844</v>
      </c>
      <c r="C25" s="434" t="s">
        <v>733</v>
      </c>
      <c r="D25" s="420">
        <v>113</v>
      </c>
      <c r="E25" s="421">
        <v>7.4</v>
      </c>
      <c r="F25" s="421">
        <v>1.8</v>
      </c>
      <c r="G25" s="422">
        <v>117</v>
      </c>
      <c r="H25" s="430">
        <v>0</v>
      </c>
      <c r="I25" s="424">
        <f t="shared" si="19"/>
        <v>0</v>
      </c>
      <c r="J25" s="431">
        <v>117</v>
      </c>
      <c r="K25" s="426">
        <f t="shared" si="9"/>
        <v>2527.1999999999998</v>
      </c>
      <c r="L25" s="427">
        <f t="shared" si="10"/>
        <v>2527.1999999999998</v>
      </c>
      <c r="M25" s="428">
        <v>117</v>
      </c>
      <c r="N25" s="430">
        <v>0</v>
      </c>
      <c r="O25" s="424">
        <f t="shared" si="11"/>
        <v>0</v>
      </c>
      <c r="P25" s="428">
        <v>117</v>
      </c>
      <c r="Q25" s="426">
        <f t="shared" si="12"/>
        <v>2527.1999999999998</v>
      </c>
      <c r="R25" s="427">
        <f t="shared" si="13"/>
        <v>2527.1999999999998</v>
      </c>
      <c r="S25" s="428">
        <v>120</v>
      </c>
      <c r="T25" s="430">
        <v>0</v>
      </c>
      <c r="U25" s="424">
        <f t="shared" si="14"/>
        <v>0</v>
      </c>
      <c r="V25" s="432">
        <v>120</v>
      </c>
      <c r="W25" s="426">
        <f t="shared" si="15"/>
        <v>2592</v>
      </c>
      <c r="X25" s="427">
        <f t="shared" si="16"/>
        <v>2592</v>
      </c>
      <c r="Y25" s="428">
        <v>120</v>
      </c>
      <c r="Z25" s="430">
        <v>0</v>
      </c>
      <c r="AA25" s="424">
        <f t="shared" si="8"/>
        <v>0</v>
      </c>
      <c r="AB25" s="433">
        <v>120</v>
      </c>
      <c r="AC25" s="426">
        <f t="shared" si="17"/>
        <v>1296</v>
      </c>
      <c r="AD25" s="427">
        <f t="shared" si="18"/>
        <v>1296</v>
      </c>
    </row>
    <row r="26" spans="1:30" ht="18">
      <c r="A26" s="647" t="s">
        <v>844</v>
      </c>
      <c r="C26" s="434" t="s">
        <v>734</v>
      </c>
      <c r="D26" s="420">
        <v>95</v>
      </c>
      <c r="E26" s="421"/>
      <c r="F26" s="421">
        <v>21.4</v>
      </c>
      <c r="G26" s="422">
        <v>175</v>
      </c>
      <c r="H26" s="435">
        <v>0</v>
      </c>
      <c r="I26" s="424">
        <f t="shared" si="19"/>
        <v>0</v>
      </c>
      <c r="J26" s="431">
        <v>175</v>
      </c>
      <c r="K26" s="426">
        <f t="shared" si="9"/>
        <v>44939.999999999993</v>
      </c>
      <c r="L26" s="427">
        <f t="shared" si="10"/>
        <v>44939.999999999993</v>
      </c>
      <c r="M26" s="428">
        <v>230</v>
      </c>
      <c r="N26" s="435">
        <v>0</v>
      </c>
      <c r="O26" s="424">
        <f t="shared" si="11"/>
        <v>0</v>
      </c>
      <c r="P26" s="428">
        <v>230</v>
      </c>
      <c r="Q26" s="426">
        <f t="shared" si="12"/>
        <v>59064</v>
      </c>
      <c r="R26" s="427">
        <f t="shared" si="13"/>
        <v>59064</v>
      </c>
      <c r="S26" s="428">
        <v>280</v>
      </c>
      <c r="T26" s="435">
        <v>0</v>
      </c>
      <c r="U26" s="424">
        <f t="shared" si="14"/>
        <v>0</v>
      </c>
      <c r="V26" s="432">
        <v>280</v>
      </c>
      <c r="W26" s="426">
        <f t="shared" si="15"/>
        <v>71904</v>
      </c>
      <c r="X26" s="427">
        <f t="shared" si="16"/>
        <v>71904</v>
      </c>
      <c r="Y26" s="428">
        <v>280</v>
      </c>
      <c r="Z26" s="435">
        <v>0</v>
      </c>
      <c r="AA26" s="424">
        <f t="shared" si="8"/>
        <v>0</v>
      </c>
      <c r="AB26" s="433">
        <v>280</v>
      </c>
      <c r="AC26" s="426">
        <f t="shared" si="17"/>
        <v>35952</v>
      </c>
      <c r="AD26" s="427">
        <f t="shared" si="18"/>
        <v>35952</v>
      </c>
    </row>
    <row r="27" spans="1:30" ht="18">
      <c r="A27" s="647" t="s">
        <v>844</v>
      </c>
      <c r="C27" s="419" t="s">
        <v>735</v>
      </c>
      <c r="D27" s="420">
        <v>14</v>
      </c>
      <c r="E27" s="421">
        <v>5.5</v>
      </c>
      <c r="F27" s="421">
        <v>4.3</v>
      </c>
      <c r="G27" s="422">
        <v>15</v>
      </c>
      <c r="H27" s="435">
        <v>0</v>
      </c>
      <c r="I27" s="424">
        <f t="shared" si="19"/>
        <v>0</v>
      </c>
      <c r="J27" s="431">
        <v>15</v>
      </c>
      <c r="K27" s="426">
        <f t="shared" si="9"/>
        <v>774</v>
      </c>
      <c r="L27" s="427">
        <f t="shared" si="10"/>
        <v>774</v>
      </c>
      <c r="M27" s="428">
        <v>16</v>
      </c>
      <c r="N27" s="435">
        <v>0</v>
      </c>
      <c r="O27" s="424">
        <f t="shared" si="11"/>
        <v>0</v>
      </c>
      <c r="P27" s="428">
        <v>16</v>
      </c>
      <c r="Q27" s="426">
        <f t="shared" si="12"/>
        <v>825.59999999999991</v>
      </c>
      <c r="R27" s="427">
        <f t="shared" si="13"/>
        <v>825.59999999999991</v>
      </c>
      <c r="S27" s="428">
        <v>17</v>
      </c>
      <c r="T27" s="435">
        <v>0</v>
      </c>
      <c r="U27" s="424">
        <f t="shared" si="14"/>
        <v>0</v>
      </c>
      <c r="V27" s="432">
        <v>17</v>
      </c>
      <c r="W27" s="426">
        <f t="shared" si="15"/>
        <v>877.19999999999993</v>
      </c>
      <c r="X27" s="427">
        <f t="shared" si="16"/>
        <v>877.19999999999993</v>
      </c>
      <c r="Y27" s="428">
        <v>17</v>
      </c>
      <c r="Z27" s="435">
        <v>0</v>
      </c>
      <c r="AA27" s="424">
        <f t="shared" si="8"/>
        <v>0</v>
      </c>
      <c r="AB27" s="433">
        <v>17</v>
      </c>
      <c r="AC27" s="426">
        <f t="shared" si="17"/>
        <v>438.59999999999997</v>
      </c>
      <c r="AD27" s="427">
        <f t="shared" si="18"/>
        <v>438.59999999999997</v>
      </c>
    </row>
    <row r="28" spans="1:30" ht="18">
      <c r="A28" s="647" t="s">
        <v>844</v>
      </c>
      <c r="C28" s="419" t="s">
        <v>736</v>
      </c>
      <c r="D28" s="420">
        <v>62</v>
      </c>
      <c r="E28" s="421"/>
      <c r="F28" s="421">
        <v>6.5</v>
      </c>
      <c r="G28" s="422">
        <v>67</v>
      </c>
      <c r="H28" s="435">
        <v>0</v>
      </c>
      <c r="I28" s="424">
        <f t="shared" si="19"/>
        <v>0</v>
      </c>
      <c r="J28" s="431">
        <v>67</v>
      </c>
      <c r="K28" s="426">
        <f t="shared" si="9"/>
        <v>5226</v>
      </c>
      <c r="L28" s="427">
        <f t="shared" si="10"/>
        <v>5226</v>
      </c>
      <c r="M28" s="428">
        <v>71</v>
      </c>
      <c r="N28" s="435">
        <v>0</v>
      </c>
      <c r="O28" s="424">
        <f t="shared" si="11"/>
        <v>0</v>
      </c>
      <c r="P28" s="428">
        <v>71</v>
      </c>
      <c r="Q28" s="426">
        <f t="shared" si="12"/>
        <v>5538</v>
      </c>
      <c r="R28" s="427">
        <f t="shared" si="13"/>
        <v>5538</v>
      </c>
      <c r="S28" s="428">
        <v>77</v>
      </c>
      <c r="T28" s="435">
        <v>0</v>
      </c>
      <c r="U28" s="424">
        <f t="shared" si="14"/>
        <v>0</v>
      </c>
      <c r="V28" s="432">
        <v>77</v>
      </c>
      <c r="W28" s="426">
        <f t="shared" si="15"/>
        <v>6006</v>
      </c>
      <c r="X28" s="427">
        <f t="shared" si="16"/>
        <v>6006</v>
      </c>
      <c r="Y28" s="428">
        <v>77</v>
      </c>
      <c r="Z28" s="435">
        <v>0</v>
      </c>
      <c r="AA28" s="424">
        <f t="shared" si="8"/>
        <v>0</v>
      </c>
      <c r="AB28" s="433">
        <v>77</v>
      </c>
      <c r="AC28" s="426">
        <f t="shared" si="17"/>
        <v>3003</v>
      </c>
      <c r="AD28" s="427">
        <f t="shared" si="18"/>
        <v>3003</v>
      </c>
    </row>
    <row r="29" spans="1:30" ht="18">
      <c r="A29" s="647" t="s">
        <v>844</v>
      </c>
      <c r="C29" s="419" t="s">
        <v>737</v>
      </c>
      <c r="D29" s="420">
        <v>28</v>
      </c>
      <c r="E29" s="421"/>
      <c r="F29" s="421">
        <v>12.2</v>
      </c>
      <c r="G29" s="422">
        <v>30</v>
      </c>
      <c r="H29" s="423">
        <v>0</v>
      </c>
      <c r="I29" s="424">
        <f t="shared" si="19"/>
        <v>0</v>
      </c>
      <c r="J29" s="431">
        <v>30</v>
      </c>
      <c r="K29" s="426">
        <f t="shared" si="9"/>
        <v>4392</v>
      </c>
      <c r="L29" s="427">
        <f t="shared" si="10"/>
        <v>4392</v>
      </c>
      <c r="M29" s="428">
        <v>33</v>
      </c>
      <c r="N29" s="423">
        <v>0</v>
      </c>
      <c r="O29" s="424">
        <f t="shared" si="11"/>
        <v>0</v>
      </c>
      <c r="P29" s="428">
        <v>33</v>
      </c>
      <c r="Q29" s="426">
        <f t="shared" si="12"/>
        <v>4831.2</v>
      </c>
      <c r="R29" s="427">
        <f t="shared" si="13"/>
        <v>4831.2</v>
      </c>
      <c r="S29" s="428">
        <v>35</v>
      </c>
      <c r="T29" s="423">
        <v>0</v>
      </c>
      <c r="U29" s="424">
        <f t="shared" si="14"/>
        <v>0</v>
      </c>
      <c r="V29" s="432">
        <v>35</v>
      </c>
      <c r="W29" s="426">
        <f t="shared" si="15"/>
        <v>5124</v>
      </c>
      <c r="X29" s="427">
        <f t="shared" si="16"/>
        <v>5124</v>
      </c>
      <c r="Y29" s="428">
        <v>35</v>
      </c>
      <c r="Z29" s="423">
        <v>0</v>
      </c>
      <c r="AA29" s="424">
        <f t="shared" si="8"/>
        <v>0</v>
      </c>
      <c r="AB29" s="433">
        <v>35</v>
      </c>
      <c r="AC29" s="426">
        <f t="shared" si="17"/>
        <v>2562</v>
      </c>
      <c r="AD29" s="427">
        <f t="shared" si="18"/>
        <v>2562</v>
      </c>
    </row>
    <row r="30" spans="1:30" ht="18">
      <c r="A30" s="647" t="s">
        <v>844</v>
      </c>
      <c r="C30" s="419" t="s">
        <v>738</v>
      </c>
      <c r="D30" s="420">
        <v>210</v>
      </c>
      <c r="E30" s="421">
        <v>10.5</v>
      </c>
      <c r="F30" s="421"/>
      <c r="G30" s="422">
        <v>300</v>
      </c>
      <c r="H30" s="423">
        <v>300</v>
      </c>
      <c r="I30" s="424">
        <f t="shared" si="19"/>
        <v>37800</v>
      </c>
      <c r="J30" s="431">
        <v>0</v>
      </c>
      <c r="K30" s="426">
        <f t="shared" si="9"/>
        <v>0</v>
      </c>
      <c r="L30" s="427">
        <f t="shared" si="10"/>
        <v>37800</v>
      </c>
      <c r="M30" s="428">
        <v>350</v>
      </c>
      <c r="N30" s="423">
        <v>350</v>
      </c>
      <c r="O30" s="424">
        <f t="shared" si="11"/>
        <v>44100</v>
      </c>
      <c r="P30" s="428">
        <v>0</v>
      </c>
      <c r="Q30" s="426">
        <f t="shared" si="12"/>
        <v>0</v>
      </c>
      <c r="R30" s="427">
        <f t="shared" si="13"/>
        <v>44100</v>
      </c>
      <c r="S30" s="428">
        <v>400</v>
      </c>
      <c r="T30" s="423">
        <v>400</v>
      </c>
      <c r="U30" s="424">
        <f t="shared" si="14"/>
        <v>50400</v>
      </c>
      <c r="V30" s="432">
        <v>0</v>
      </c>
      <c r="W30" s="426">
        <f t="shared" si="15"/>
        <v>0</v>
      </c>
      <c r="X30" s="427">
        <f t="shared" si="16"/>
        <v>50400</v>
      </c>
      <c r="Y30" s="428">
        <v>400</v>
      </c>
      <c r="Z30" s="423">
        <v>400</v>
      </c>
      <c r="AA30" s="424">
        <f t="shared" si="8"/>
        <v>25200</v>
      </c>
      <c r="AB30" s="433">
        <v>0</v>
      </c>
      <c r="AC30" s="426">
        <f t="shared" si="17"/>
        <v>0</v>
      </c>
      <c r="AD30" s="427">
        <f t="shared" si="18"/>
        <v>25200</v>
      </c>
    </row>
    <row r="31" spans="1:30" ht="18">
      <c r="A31" s="647" t="s">
        <v>844</v>
      </c>
      <c r="C31" s="419" t="s">
        <v>739</v>
      </c>
      <c r="D31" s="420">
        <v>26</v>
      </c>
      <c r="E31" s="421"/>
      <c r="F31" s="421">
        <v>5</v>
      </c>
      <c r="G31" s="422">
        <v>26</v>
      </c>
      <c r="H31" s="423">
        <v>0</v>
      </c>
      <c r="I31" s="424">
        <f t="shared" si="19"/>
        <v>0</v>
      </c>
      <c r="J31" s="431">
        <v>26</v>
      </c>
      <c r="K31" s="426">
        <f t="shared" si="9"/>
        <v>1560</v>
      </c>
      <c r="L31" s="427">
        <f t="shared" si="10"/>
        <v>1560</v>
      </c>
      <c r="M31" s="428">
        <v>26</v>
      </c>
      <c r="N31" s="423">
        <v>0</v>
      </c>
      <c r="O31" s="424">
        <f t="shared" si="11"/>
        <v>0</v>
      </c>
      <c r="P31" s="428">
        <v>26</v>
      </c>
      <c r="Q31" s="426">
        <f t="shared" si="12"/>
        <v>1560</v>
      </c>
      <c r="R31" s="427">
        <f t="shared" si="13"/>
        <v>1560</v>
      </c>
      <c r="S31" s="428">
        <v>27</v>
      </c>
      <c r="T31" s="423">
        <v>0</v>
      </c>
      <c r="U31" s="424">
        <f t="shared" si="14"/>
        <v>0</v>
      </c>
      <c r="V31" s="432">
        <v>27</v>
      </c>
      <c r="W31" s="426">
        <f t="shared" si="15"/>
        <v>1620</v>
      </c>
      <c r="X31" s="427">
        <f t="shared" si="16"/>
        <v>1620</v>
      </c>
      <c r="Y31" s="428">
        <v>27</v>
      </c>
      <c r="Z31" s="423">
        <v>0</v>
      </c>
      <c r="AA31" s="424">
        <f t="shared" si="8"/>
        <v>0</v>
      </c>
      <c r="AB31" s="433">
        <v>27</v>
      </c>
      <c r="AC31" s="426">
        <f t="shared" si="17"/>
        <v>810</v>
      </c>
      <c r="AD31" s="427">
        <f t="shared" si="18"/>
        <v>810</v>
      </c>
    </row>
    <row r="32" spans="1:30" ht="18">
      <c r="A32" s="647" t="s">
        <v>844</v>
      </c>
      <c r="C32" s="419" t="s">
        <v>740</v>
      </c>
      <c r="D32" s="420">
        <v>13</v>
      </c>
      <c r="E32" s="421"/>
      <c r="F32" s="421">
        <v>9.6</v>
      </c>
      <c r="G32" s="422">
        <v>12</v>
      </c>
      <c r="H32" s="423">
        <v>0</v>
      </c>
      <c r="I32" s="424">
        <f t="shared" si="19"/>
        <v>0</v>
      </c>
      <c r="J32" s="431">
        <v>12</v>
      </c>
      <c r="K32" s="426">
        <f t="shared" si="9"/>
        <v>1382.3999999999999</v>
      </c>
      <c r="L32" s="427">
        <f t="shared" si="10"/>
        <v>1382.3999999999999</v>
      </c>
      <c r="M32" s="428">
        <v>11</v>
      </c>
      <c r="N32" s="423">
        <v>0</v>
      </c>
      <c r="O32" s="424">
        <f t="shared" si="11"/>
        <v>0</v>
      </c>
      <c r="P32" s="428">
        <v>11</v>
      </c>
      <c r="Q32" s="426">
        <f t="shared" si="12"/>
        <v>1267.1999999999998</v>
      </c>
      <c r="R32" s="427">
        <f t="shared" si="13"/>
        <v>1267.1999999999998</v>
      </c>
      <c r="S32" s="428">
        <v>10</v>
      </c>
      <c r="T32" s="423">
        <v>0</v>
      </c>
      <c r="U32" s="424">
        <f t="shared" si="14"/>
        <v>0</v>
      </c>
      <c r="V32" s="432">
        <v>10</v>
      </c>
      <c r="W32" s="426">
        <f t="shared" si="15"/>
        <v>1152</v>
      </c>
      <c r="X32" s="427">
        <f t="shared" si="16"/>
        <v>1152</v>
      </c>
      <c r="Y32" s="428">
        <v>10</v>
      </c>
      <c r="Z32" s="423">
        <v>0</v>
      </c>
      <c r="AA32" s="424">
        <f t="shared" si="8"/>
        <v>0</v>
      </c>
      <c r="AB32" s="433">
        <v>10</v>
      </c>
      <c r="AC32" s="426">
        <f t="shared" si="17"/>
        <v>576</v>
      </c>
      <c r="AD32" s="427">
        <f t="shared" si="18"/>
        <v>576</v>
      </c>
    </row>
    <row r="33" spans="1:32" ht="18">
      <c r="A33" s="647" t="s">
        <v>844</v>
      </c>
      <c r="C33" s="419" t="s">
        <v>741</v>
      </c>
      <c r="D33" s="420">
        <v>15</v>
      </c>
      <c r="E33" s="421"/>
      <c r="F33" s="421">
        <v>35.5</v>
      </c>
      <c r="G33" s="422">
        <v>15</v>
      </c>
      <c r="H33" s="423">
        <v>0</v>
      </c>
      <c r="I33" s="424">
        <f t="shared" si="19"/>
        <v>0</v>
      </c>
      <c r="J33" s="431">
        <v>15</v>
      </c>
      <c r="K33" s="426">
        <f t="shared" si="9"/>
        <v>6390</v>
      </c>
      <c r="L33" s="427">
        <f t="shared" si="10"/>
        <v>6390</v>
      </c>
      <c r="M33" s="428">
        <v>14</v>
      </c>
      <c r="N33" s="423">
        <v>0</v>
      </c>
      <c r="O33" s="424">
        <f t="shared" si="11"/>
        <v>0</v>
      </c>
      <c r="P33" s="428">
        <v>14</v>
      </c>
      <c r="Q33" s="426">
        <f t="shared" si="12"/>
        <v>5964</v>
      </c>
      <c r="R33" s="427">
        <f t="shared" si="13"/>
        <v>5964</v>
      </c>
      <c r="S33" s="428">
        <v>14</v>
      </c>
      <c r="T33" s="423">
        <v>0</v>
      </c>
      <c r="U33" s="424">
        <f t="shared" si="14"/>
        <v>0</v>
      </c>
      <c r="V33" s="432">
        <v>14</v>
      </c>
      <c r="W33" s="426">
        <f t="shared" si="15"/>
        <v>5964</v>
      </c>
      <c r="X33" s="427">
        <f t="shared" si="16"/>
        <v>5964</v>
      </c>
      <c r="Y33" s="428">
        <v>14</v>
      </c>
      <c r="Z33" s="423">
        <v>0</v>
      </c>
      <c r="AA33" s="424">
        <f t="shared" si="8"/>
        <v>0</v>
      </c>
      <c r="AB33" s="433">
        <v>14</v>
      </c>
      <c r="AC33" s="426">
        <f t="shared" si="17"/>
        <v>2982</v>
      </c>
      <c r="AD33" s="427">
        <f t="shared" si="18"/>
        <v>2982</v>
      </c>
    </row>
    <row r="34" spans="1:32" ht="18">
      <c r="A34" s="647" t="s">
        <v>844</v>
      </c>
      <c r="C34" s="419" t="s">
        <v>742</v>
      </c>
      <c r="D34" s="420">
        <v>49</v>
      </c>
      <c r="E34" s="421"/>
      <c r="F34" s="421">
        <v>3.7</v>
      </c>
      <c r="G34" s="422">
        <v>50</v>
      </c>
      <c r="H34" s="423">
        <v>0</v>
      </c>
      <c r="I34" s="424">
        <f t="shared" si="19"/>
        <v>0</v>
      </c>
      <c r="J34" s="431">
        <v>50</v>
      </c>
      <c r="K34" s="426">
        <f t="shared" si="9"/>
        <v>2220</v>
      </c>
      <c r="L34" s="427">
        <f t="shared" si="10"/>
        <v>2220</v>
      </c>
      <c r="M34" s="428">
        <v>51</v>
      </c>
      <c r="N34" s="423">
        <v>0</v>
      </c>
      <c r="O34" s="424">
        <f t="shared" si="11"/>
        <v>0</v>
      </c>
      <c r="P34" s="428">
        <v>51</v>
      </c>
      <c r="Q34" s="426">
        <f t="shared" si="12"/>
        <v>2264.4</v>
      </c>
      <c r="R34" s="427">
        <f t="shared" si="13"/>
        <v>2264.4</v>
      </c>
      <c r="S34" s="428">
        <v>50</v>
      </c>
      <c r="T34" s="423">
        <v>0</v>
      </c>
      <c r="U34" s="424">
        <f t="shared" si="14"/>
        <v>0</v>
      </c>
      <c r="V34" s="432">
        <v>50</v>
      </c>
      <c r="W34" s="426">
        <f t="shared" si="15"/>
        <v>2220</v>
      </c>
      <c r="X34" s="427">
        <f t="shared" si="16"/>
        <v>2220</v>
      </c>
      <c r="Y34" s="428">
        <v>50</v>
      </c>
      <c r="Z34" s="423">
        <v>0</v>
      </c>
      <c r="AA34" s="424">
        <f t="shared" si="8"/>
        <v>0</v>
      </c>
      <c r="AB34" s="433">
        <v>50</v>
      </c>
      <c r="AC34" s="426">
        <f t="shared" si="17"/>
        <v>1110</v>
      </c>
      <c r="AD34" s="427">
        <f t="shared" si="18"/>
        <v>1110</v>
      </c>
    </row>
    <row r="35" spans="1:32" ht="18">
      <c r="A35" s="647" t="s">
        <v>844</v>
      </c>
      <c r="C35" s="419" t="s">
        <v>743</v>
      </c>
      <c r="D35" s="420">
        <v>4</v>
      </c>
      <c r="E35" s="421"/>
      <c r="F35" s="421">
        <v>9</v>
      </c>
      <c r="G35" s="422">
        <v>3</v>
      </c>
      <c r="H35" s="423">
        <v>0</v>
      </c>
      <c r="I35" s="424">
        <f t="shared" si="19"/>
        <v>0</v>
      </c>
      <c r="J35" s="431">
        <v>4</v>
      </c>
      <c r="K35" s="426">
        <f t="shared" si="9"/>
        <v>432</v>
      </c>
      <c r="L35" s="427">
        <f t="shared" si="10"/>
        <v>432</v>
      </c>
      <c r="M35" s="428">
        <v>3</v>
      </c>
      <c r="N35" s="423">
        <v>0</v>
      </c>
      <c r="O35" s="424">
        <f t="shared" si="11"/>
        <v>0</v>
      </c>
      <c r="P35" s="428">
        <v>3</v>
      </c>
      <c r="Q35" s="426">
        <f t="shared" si="12"/>
        <v>324</v>
      </c>
      <c r="R35" s="427">
        <f t="shared" si="13"/>
        <v>324</v>
      </c>
      <c r="S35" s="428">
        <v>4</v>
      </c>
      <c r="T35" s="423">
        <v>0</v>
      </c>
      <c r="U35" s="424">
        <f t="shared" si="14"/>
        <v>0</v>
      </c>
      <c r="V35" s="432">
        <v>4</v>
      </c>
      <c r="W35" s="426">
        <f t="shared" si="15"/>
        <v>432</v>
      </c>
      <c r="X35" s="427">
        <f t="shared" si="16"/>
        <v>432</v>
      </c>
      <c r="Y35" s="428">
        <v>4</v>
      </c>
      <c r="Z35" s="423">
        <v>0</v>
      </c>
      <c r="AA35" s="424">
        <f t="shared" si="8"/>
        <v>0</v>
      </c>
      <c r="AB35" s="433">
        <v>4</v>
      </c>
      <c r="AC35" s="426">
        <f t="shared" si="17"/>
        <v>216</v>
      </c>
      <c r="AD35" s="427">
        <f t="shared" si="18"/>
        <v>216</v>
      </c>
    </row>
    <row r="36" spans="1:32" ht="18">
      <c r="A36" s="647" t="s">
        <v>844</v>
      </c>
      <c r="C36" s="419" t="s">
        <v>744</v>
      </c>
      <c r="D36" s="420">
        <v>3</v>
      </c>
      <c r="E36" s="421"/>
      <c r="F36" s="421">
        <v>57.3</v>
      </c>
      <c r="G36" s="422">
        <v>3</v>
      </c>
      <c r="H36" s="423">
        <v>0</v>
      </c>
      <c r="I36" s="424">
        <f t="shared" si="19"/>
        <v>0</v>
      </c>
      <c r="J36" s="431">
        <v>3</v>
      </c>
      <c r="K36" s="426">
        <f t="shared" si="9"/>
        <v>2062.7999999999997</v>
      </c>
      <c r="L36" s="427">
        <f t="shared" si="10"/>
        <v>2062.7999999999997</v>
      </c>
      <c r="M36" s="428">
        <v>4</v>
      </c>
      <c r="N36" s="423">
        <v>0</v>
      </c>
      <c r="O36" s="424">
        <f t="shared" si="11"/>
        <v>0</v>
      </c>
      <c r="P36" s="428">
        <v>4</v>
      </c>
      <c r="Q36" s="426">
        <f t="shared" si="12"/>
        <v>2750.3999999999996</v>
      </c>
      <c r="R36" s="427">
        <f t="shared" si="13"/>
        <v>2750.3999999999996</v>
      </c>
      <c r="S36" s="428">
        <v>4</v>
      </c>
      <c r="T36" s="423">
        <v>0</v>
      </c>
      <c r="U36" s="424">
        <f t="shared" si="14"/>
        <v>0</v>
      </c>
      <c r="V36" s="432">
        <v>4</v>
      </c>
      <c r="W36" s="426">
        <f t="shared" si="15"/>
        <v>2750.3999999999996</v>
      </c>
      <c r="X36" s="427">
        <f t="shared" si="16"/>
        <v>2750.3999999999996</v>
      </c>
      <c r="Y36" s="428">
        <v>4</v>
      </c>
      <c r="Z36" s="423">
        <v>0</v>
      </c>
      <c r="AA36" s="424">
        <f t="shared" si="8"/>
        <v>0</v>
      </c>
      <c r="AB36" s="433">
        <v>4</v>
      </c>
      <c r="AC36" s="426">
        <f t="shared" si="17"/>
        <v>1375.1999999999998</v>
      </c>
      <c r="AD36" s="427">
        <f t="shared" si="18"/>
        <v>1375.1999999999998</v>
      </c>
    </row>
    <row r="37" spans="1:32" ht="18">
      <c r="A37" s="647" t="s">
        <v>844</v>
      </c>
      <c r="C37" s="419" t="s">
        <v>745</v>
      </c>
      <c r="D37" s="420">
        <v>1000</v>
      </c>
      <c r="E37" s="421">
        <v>5.5</v>
      </c>
      <c r="F37" s="421">
        <v>4.3</v>
      </c>
      <c r="G37" s="422">
        <v>2000</v>
      </c>
      <c r="H37" s="423">
        <v>1000</v>
      </c>
      <c r="I37" s="424">
        <f t="shared" si="19"/>
        <v>66000</v>
      </c>
      <c r="J37" s="425">
        <v>1000</v>
      </c>
      <c r="K37" s="426">
        <f t="shared" si="9"/>
        <v>51600</v>
      </c>
      <c r="L37" s="427">
        <f t="shared" si="10"/>
        <v>117600</v>
      </c>
      <c r="M37" s="428">
        <v>2500</v>
      </c>
      <c r="N37" s="423">
        <v>1500</v>
      </c>
      <c r="O37" s="424">
        <f t="shared" si="11"/>
        <v>99000</v>
      </c>
      <c r="P37" s="439">
        <v>1000</v>
      </c>
      <c r="Q37" s="426">
        <f t="shared" si="12"/>
        <v>51600</v>
      </c>
      <c r="R37" s="427">
        <f t="shared" si="13"/>
        <v>150600</v>
      </c>
      <c r="S37" s="428">
        <v>3000</v>
      </c>
      <c r="T37" s="423">
        <v>2000</v>
      </c>
      <c r="U37" s="424">
        <f t="shared" si="14"/>
        <v>132000</v>
      </c>
      <c r="V37" s="429">
        <v>1000</v>
      </c>
      <c r="W37" s="426">
        <f t="shared" si="15"/>
        <v>51600</v>
      </c>
      <c r="X37" s="427">
        <f t="shared" si="16"/>
        <v>183600</v>
      </c>
      <c r="Y37" s="428">
        <v>3000</v>
      </c>
      <c r="Z37" s="423">
        <v>2500</v>
      </c>
      <c r="AA37" s="424">
        <f t="shared" si="8"/>
        <v>82500</v>
      </c>
      <c r="AB37" s="440">
        <v>500</v>
      </c>
      <c r="AC37" s="426">
        <f t="shared" si="17"/>
        <v>12900</v>
      </c>
      <c r="AD37" s="427">
        <f t="shared" si="18"/>
        <v>95400</v>
      </c>
    </row>
    <row r="38" spans="1:32" ht="18">
      <c r="A38" s="647" t="s">
        <v>844</v>
      </c>
      <c r="C38" s="419" t="s">
        <v>746</v>
      </c>
      <c r="D38" s="420">
        <v>150</v>
      </c>
      <c r="E38" s="421"/>
      <c r="F38" s="421">
        <v>3.6</v>
      </c>
      <c r="G38" s="428">
        <v>150</v>
      </c>
      <c r="H38" s="423">
        <v>0</v>
      </c>
      <c r="I38" s="424">
        <v>0</v>
      </c>
      <c r="J38" s="431">
        <v>150</v>
      </c>
      <c r="K38" s="426">
        <f t="shared" si="9"/>
        <v>6480</v>
      </c>
      <c r="L38" s="427">
        <f t="shared" si="10"/>
        <v>6480</v>
      </c>
      <c r="M38" s="428">
        <v>150</v>
      </c>
      <c r="N38" s="423"/>
      <c r="O38" s="424">
        <v>0</v>
      </c>
      <c r="P38" s="428">
        <v>100</v>
      </c>
      <c r="Q38" s="426">
        <f t="shared" si="12"/>
        <v>4320</v>
      </c>
      <c r="R38" s="427">
        <f>O38+Q38</f>
        <v>4320</v>
      </c>
      <c r="S38" s="441">
        <v>150</v>
      </c>
      <c r="T38" s="423">
        <v>0</v>
      </c>
      <c r="U38" s="424">
        <f t="shared" si="14"/>
        <v>0</v>
      </c>
      <c r="V38" s="432">
        <v>150</v>
      </c>
      <c r="W38" s="426">
        <f t="shared" si="15"/>
        <v>6480</v>
      </c>
      <c r="X38" s="427">
        <f t="shared" si="16"/>
        <v>6480</v>
      </c>
      <c r="Y38" s="441">
        <v>150</v>
      </c>
      <c r="Z38" s="423">
        <v>0</v>
      </c>
      <c r="AA38" s="424">
        <f t="shared" si="8"/>
        <v>0</v>
      </c>
      <c r="AB38" s="442">
        <v>150</v>
      </c>
      <c r="AC38" s="426">
        <f t="shared" si="17"/>
        <v>3240</v>
      </c>
      <c r="AD38" s="427">
        <f t="shared" si="18"/>
        <v>3240</v>
      </c>
    </row>
    <row r="39" spans="1:32" ht="18">
      <c r="A39" s="647" t="s">
        <v>844</v>
      </c>
      <c r="C39" s="419" t="s">
        <v>747</v>
      </c>
      <c r="D39" s="420">
        <v>200</v>
      </c>
      <c r="E39" s="421"/>
      <c r="F39" s="421">
        <v>1.4</v>
      </c>
      <c r="G39" s="428">
        <v>200</v>
      </c>
      <c r="H39" s="423">
        <v>0</v>
      </c>
      <c r="I39" s="424">
        <v>0</v>
      </c>
      <c r="J39" s="431">
        <v>200</v>
      </c>
      <c r="K39" s="426">
        <f t="shared" si="9"/>
        <v>3360</v>
      </c>
      <c r="L39" s="427">
        <f t="shared" si="10"/>
        <v>3360</v>
      </c>
      <c r="M39" s="428">
        <v>200</v>
      </c>
      <c r="N39" s="423"/>
      <c r="O39" s="424">
        <v>0</v>
      </c>
      <c r="P39" s="428">
        <v>150</v>
      </c>
      <c r="Q39" s="426">
        <f t="shared" si="12"/>
        <v>2520</v>
      </c>
      <c r="R39" s="427">
        <f>O39+Q39</f>
        <v>2520</v>
      </c>
      <c r="S39" s="441">
        <v>200</v>
      </c>
      <c r="T39" s="423">
        <v>0</v>
      </c>
      <c r="U39" s="424">
        <f t="shared" si="14"/>
        <v>0</v>
      </c>
      <c r="V39" s="432">
        <v>200</v>
      </c>
      <c r="W39" s="426">
        <f t="shared" si="15"/>
        <v>3360</v>
      </c>
      <c r="X39" s="427">
        <f t="shared" si="16"/>
        <v>3360</v>
      </c>
      <c r="Y39" s="441">
        <v>200</v>
      </c>
      <c r="Z39" s="423">
        <v>0</v>
      </c>
      <c r="AA39" s="424">
        <f t="shared" si="8"/>
        <v>0</v>
      </c>
      <c r="AB39" s="442">
        <v>200</v>
      </c>
      <c r="AC39" s="426">
        <f t="shared" si="17"/>
        <v>1680</v>
      </c>
      <c r="AD39" s="427">
        <f t="shared" si="18"/>
        <v>1680</v>
      </c>
    </row>
    <row r="40" spans="1:32" ht="18">
      <c r="A40" s="647" t="s">
        <v>844</v>
      </c>
      <c r="C40" s="419" t="s">
        <v>748</v>
      </c>
      <c r="D40" s="420">
        <v>700</v>
      </c>
      <c r="E40" s="421"/>
      <c r="F40" s="421">
        <v>15</v>
      </c>
      <c r="G40" s="428">
        <v>700</v>
      </c>
      <c r="H40" s="423"/>
      <c r="I40" s="424"/>
      <c r="J40" s="438">
        <v>700</v>
      </c>
      <c r="K40" s="426">
        <f>(J40*F40)</f>
        <v>10500</v>
      </c>
      <c r="L40" s="427">
        <f t="shared" si="10"/>
        <v>10500</v>
      </c>
      <c r="M40" s="428">
        <v>700</v>
      </c>
      <c r="N40" s="423"/>
      <c r="O40" s="424"/>
      <c r="P40" s="438">
        <v>700</v>
      </c>
      <c r="Q40" s="426">
        <f>(P40*F40)</f>
        <v>10500</v>
      </c>
      <c r="R40" s="427">
        <f>O40+Q40</f>
        <v>10500</v>
      </c>
      <c r="S40" s="441">
        <v>700</v>
      </c>
      <c r="T40" s="423"/>
      <c r="U40" s="424"/>
      <c r="V40" s="432">
        <v>700</v>
      </c>
      <c r="W40" s="426">
        <f>(V40*F40)</f>
        <v>10500</v>
      </c>
      <c r="X40" s="427">
        <f t="shared" si="16"/>
        <v>10500</v>
      </c>
      <c r="Y40" s="441">
        <v>350</v>
      </c>
      <c r="Z40" s="423"/>
      <c r="AA40" s="424"/>
      <c r="AB40" s="442">
        <v>350</v>
      </c>
      <c r="AC40" s="426">
        <f>(AB40*F40)</f>
        <v>5250</v>
      </c>
      <c r="AD40" s="427">
        <f t="shared" si="18"/>
        <v>5250</v>
      </c>
    </row>
    <row r="41" spans="1:32" ht="18">
      <c r="C41" s="419" t="s">
        <v>749</v>
      </c>
      <c r="D41" s="443"/>
      <c r="E41" s="443"/>
      <c r="F41" s="443"/>
      <c r="G41" s="444"/>
      <c r="H41" s="445"/>
      <c r="I41" s="446">
        <f>SUM(I22:I39)</f>
        <v>668769.6</v>
      </c>
      <c r="J41" s="445"/>
      <c r="K41" s="447">
        <f>SUM(K22:K40)</f>
        <v>222983.99999999997</v>
      </c>
      <c r="L41" s="448">
        <f>SUM(L22:L40)</f>
        <v>891753.6</v>
      </c>
      <c r="M41" s="444"/>
      <c r="N41" s="444"/>
      <c r="O41" s="446">
        <f>SUM(O22:O39)</f>
        <v>814680</v>
      </c>
      <c r="P41" s="444"/>
      <c r="Q41" s="447">
        <f>SUM(Q22:Q40)</f>
        <v>223233.60000000003</v>
      </c>
      <c r="R41" s="448">
        <f>SUM(R22:R40)</f>
        <v>1037913.5999999999</v>
      </c>
      <c r="S41" s="444"/>
      <c r="T41" s="444"/>
      <c r="U41" s="446">
        <f>SUM(U22:U39)</f>
        <v>938220</v>
      </c>
      <c r="V41" s="444"/>
      <c r="W41" s="447">
        <f>SUM(W22:W40)</f>
        <v>239959.2</v>
      </c>
      <c r="X41" s="449">
        <f>SUM(X22:X40)</f>
        <v>1178179.2</v>
      </c>
      <c r="Y41" s="444"/>
      <c r="Z41" s="444"/>
      <c r="AA41" s="446">
        <f>SUM(AA22:AA39)</f>
        <v>485610</v>
      </c>
      <c r="AB41" s="444"/>
      <c r="AC41" s="447">
        <f>SUM(AC22:AC40)</f>
        <v>107079.6</v>
      </c>
      <c r="AD41" s="449">
        <f>SUM(AD22:AD40)</f>
        <v>592689.6</v>
      </c>
    </row>
    <row r="42" spans="1:32">
      <c r="C42" s="223"/>
      <c r="D42" s="223"/>
      <c r="E42" s="223"/>
      <c r="F42" s="223"/>
      <c r="G42" s="223"/>
      <c r="H42" s="223"/>
      <c r="I42" s="223"/>
      <c r="J42" s="223"/>
      <c r="K42" s="450"/>
      <c r="L42" s="450"/>
      <c r="M42" s="223"/>
      <c r="N42" s="223"/>
      <c r="O42" s="223"/>
      <c r="P42" s="223"/>
      <c r="Q42" s="450"/>
      <c r="R42" s="450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</row>
    <row r="43" spans="1:32" ht="18">
      <c r="C43" s="223"/>
      <c r="D43" s="223"/>
      <c r="E43" s="223"/>
      <c r="F43" s="223"/>
      <c r="G43" s="223"/>
      <c r="H43" s="223"/>
      <c r="I43" s="451">
        <v>0.8</v>
      </c>
      <c r="J43" s="452"/>
      <c r="K43" s="451">
        <v>0.2</v>
      </c>
      <c r="L43" s="453"/>
      <c r="M43" s="454"/>
      <c r="N43" s="454"/>
      <c r="O43" s="455">
        <v>0.8</v>
      </c>
      <c r="P43" s="454"/>
      <c r="Q43" s="455">
        <v>0.2</v>
      </c>
      <c r="R43" s="456"/>
      <c r="S43" s="223"/>
      <c r="T43" s="223"/>
      <c r="U43" s="455">
        <v>0.8</v>
      </c>
      <c r="V43" s="454"/>
      <c r="W43" s="455">
        <v>0.2</v>
      </c>
      <c r="X43" s="223"/>
      <c r="Y43" s="223"/>
      <c r="Z43" s="223"/>
      <c r="AA43" s="455">
        <v>0.8</v>
      </c>
      <c r="AB43" s="454"/>
      <c r="AC43" s="455">
        <v>0.2</v>
      </c>
      <c r="AD43" s="452"/>
    </row>
    <row r="44" spans="1:32">
      <c r="C44" s="223"/>
      <c r="D44" s="223"/>
      <c r="E44" s="223"/>
      <c r="F44" s="223"/>
      <c r="G44" s="223"/>
      <c r="H44" s="223"/>
      <c r="I44" s="457">
        <v>0.77</v>
      </c>
      <c r="J44" s="223"/>
      <c r="K44" s="450">
        <f>(K41*100)/L41</f>
        <v>25.005113520147265</v>
      </c>
      <c r="L44" s="223"/>
      <c r="M44" s="223"/>
      <c r="N44" s="457">
        <v>0.8</v>
      </c>
      <c r="O44" s="223"/>
      <c r="P44" s="223"/>
      <c r="Q44" s="223"/>
      <c r="R44" s="223"/>
      <c r="S44" s="223"/>
      <c r="T44" s="457">
        <v>0.81</v>
      </c>
      <c r="U44" s="223"/>
      <c r="V44" s="223"/>
      <c r="W44" s="223"/>
      <c r="X44" s="223"/>
      <c r="Y44" s="223"/>
      <c r="Z44" s="457">
        <v>0.81</v>
      </c>
      <c r="AA44" s="223"/>
      <c r="AB44" s="458" t="s">
        <v>750</v>
      </c>
      <c r="AC44" s="459">
        <f>K41+Q41+W41+AC41</f>
        <v>793256.4</v>
      </c>
      <c r="AD44" s="460"/>
    </row>
    <row r="45" spans="1:32"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450"/>
      <c r="AA45" s="223"/>
      <c r="AB45" s="458"/>
      <c r="AC45" s="459"/>
      <c r="AD45" s="460"/>
    </row>
    <row r="46" spans="1:32" ht="121.8">
      <c r="A46" s="647" t="s">
        <v>845</v>
      </c>
      <c r="C46" s="466" t="s">
        <v>754</v>
      </c>
      <c r="D46" s="467" t="s">
        <v>755</v>
      </c>
      <c r="E46" s="468" t="s">
        <v>756</v>
      </c>
      <c r="F46" s="469" t="s">
        <v>757</v>
      </c>
      <c r="G46" s="470" t="s">
        <v>721</v>
      </c>
      <c r="H46" s="470" t="s">
        <v>722</v>
      </c>
      <c r="I46" s="471" t="s">
        <v>723</v>
      </c>
      <c r="J46" s="471" t="s">
        <v>724</v>
      </c>
      <c r="K46" s="472" t="s">
        <v>725</v>
      </c>
      <c r="L46" s="468" t="s">
        <v>758</v>
      </c>
      <c r="M46" s="469" t="s">
        <v>757</v>
      </c>
      <c r="N46" s="470" t="s">
        <v>721</v>
      </c>
      <c r="O46" s="470" t="s">
        <v>722</v>
      </c>
      <c r="P46" s="471" t="s">
        <v>723</v>
      </c>
      <c r="Q46" s="471" t="s">
        <v>727</v>
      </c>
      <c r="R46" s="472" t="s">
        <v>725</v>
      </c>
      <c r="S46" s="468" t="s">
        <v>759</v>
      </c>
      <c r="T46" s="469" t="s">
        <v>757</v>
      </c>
      <c r="U46" s="470" t="s">
        <v>721</v>
      </c>
      <c r="V46" s="470" t="s">
        <v>722</v>
      </c>
      <c r="W46" s="471" t="s">
        <v>723</v>
      </c>
      <c r="X46" s="471" t="s">
        <v>727</v>
      </c>
      <c r="Y46" s="472" t="s">
        <v>725</v>
      </c>
      <c r="Z46" s="468" t="s">
        <v>760</v>
      </c>
      <c r="AA46" s="469" t="s">
        <v>757</v>
      </c>
      <c r="AB46" s="470" t="s">
        <v>721</v>
      </c>
      <c r="AC46" s="470" t="s">
        <v>722</v>
      </c>
      <c r="AD46" s="471" t="s">
        <v>723</v>
      </c>
      <c r="AE46" s="471" t="s">
        <v>727</v>
      </c>
      <c r="AF46" s="472" t="s">
        <v>725</v>
      </c>
    </row>
    <row r="47" spans="1:32" ht="18">
      <c r="A47" s="647" t="s">
        <v>844</v>
      </c>
      <c r="C47" s="474" t="s">
        <v>761</v>
      </c>
      <c r="D47" s="475">
        <v>15.4</v>
      </c>
      <c r="E47" s="476">
        <v>7800</v>
      </c>
      <c r="F47" s="477">
        <v>14040</v>
      </c>
      <c r="G47" s="478">
        <v>0</v>
      </c>
      <c r="H47" s="479">
        <f>G47*D47</f>
        <v>0</v>
      </c>
      <c r="I47" s="480">
        <v>14040</v>
      </c>
      <c r="J47" s="481">
        <f t="shared" ref="J47:J55" si="20">(I47*D47)</f>
        <v>216216</v>
      </c>
      <c r="K47" s="482">
        <f>H47+J47</f>
        <v>216216</v>
      </c>
      <c r="L47" s="483">
        <v>8800</v>
      </c>
      <c r="M47" s="477">
        <v>15840</v>
      </c>
      <c r="N47" s="478">
        <v>0</v>
      </c>
      <c r="O47" s="479">
        <f t="shared" ref="O47:O57" si="21">(N47*D47)</f>
        <v>0</v>
      </c>
      <c r="P47" s="484">
        <v>15840</v>
      </c>
      <c r="Q47" s="481">
        <f t="shared" ref="Q47:Q57" si="22">(P47*D47)</f>
        <v>243936</v>
      </c>
      <c r="R47" s="482">
        <f>O47+Q47</f>
        <v>243936</v>
      </c>
      <c r="S47" s="483">
        <v>9800</v>
      </c>
      <c r="T47" s="477">
        <v>17640</v>
      </c>
      <c r="U47" s="478">
        <v>0</v>
      </c>
      <c r="V47" s="479">
        <f t="shared" ref="V47:V53" si="23">(U47*D47)</f>
        <v>0</v>
      </c>
      <c r="W47" s="484">
        <v>17640</v>
      </c>
      <c r="X47" s="481">
        <f t="shared" ref="X47:X57" si="24">(W47*D47)</f>
        <v>271656</v>
      </c>
      <c r="Y47" s="482">
        <f>V47+X47</f>
        <v>271656</v>
      </c>
      <c r="Z47" s="483">
        <v>9800</v>
      </c>
      <c r="AA47" s="477">
        <v>10780</v>
      </c>
      <c r="AB47" s="478">
        <v>0</v>
      </c>
      <c r="AC47" s="479">
        <f t="shared" ref="AC47:AC56" si="25">(AB47*D47)</f>
        <v>0</v>
      </c>
      <c r="AD47" s="484">
        <v>10780</v>
      </c>
      <c r="AE47" s="481">
        <f t="shared" ref="AE47:AE57" si="26">(AD47*D47)</f>
        <v>166012</v>
      </c>
      <c r="AF47" s="482">
        <f>AC47+AE47</f>
        <v>166012</v>
      </c>
    </row>
    <row r="48" spans="1:32" ht="18">
      <c r="A48" s="647" t="s">
        <v>844</v>
      </c>
      <c r="C48" s="474" t="s">
        <v>762</v>
      </c>
      <c r="D48" s="475">
        <v>3</v>
      </c>
      <c r="E48" s="483">
        <v>1000</v>
      </c>
      <c r="F48" s="483">
        <v>1000</v>
      </c>
      <c r="G48" s="478">
        <v>0</v>
      </c>
      <c r="H48" s="479">
        <f>G48*D48</f>
        <v>0</v>
      </c>
      <c r="I48" s="483">
        <v>1000</v>
      </c>
      <c r="J48" s="481">
        <f t="shared" si="20"/>
        <v>3000</v>
      </c>
      <c r="K48" s="482">
        <f t="shared" ref="K48:K57" si="27">H48+J48</f>
        <v>3000</v>
      </c>
      <c r="L48" s="483">
        <v>1000</v>
      </c>
      <c r="M48" s="483">
        <v>1000</v>
      </c>
      <c r="N48" s="478">
        <v>0</v>
      </c>
      <c r="O48" s="479">
        <f t="shared" si="21"/>
        <v>0</v>
      </c>
      <c r="P48" s="483">
        <v>1000</v>
      </c>
      <c r="Q48" s="481">
        <f t="shared" si="22"/>
        <v>3000</v>
      </c>
      <c r="R48" s="482">
        <f t="shared" ref="R48:R57" si="28">O48+Q48</f>
        <v>3000</v>
      </c>
      <c r="S48" s="483">
        <v>1000</v>
      </c>
      <c r="T48" s="483">
        <v>1000</v>
      </c>
      <c r="U48" s="478">
        <v>0</v>
      </c>
      <c r="V48" s="479">
        <f t="shared" si="23"/>
        <v>0</v>
      </c>
      <c r="W48" s="483">
        <v>1000</v>
      </c>
      <c r="X48" s="481">
        <f t="shared" si="24"/>
        <v>3000</v>
      </c>
      <c r="Y48" s="482">
        <f t="shared" ref="Y48:Y57" si="29">V48+X48</f>
        <v>3000</v>
      </c>
      <c r="Z48" s="483">
        <v>0</v>
      </c>
      <c r="AA48" s="483">
        <v>0</v>
      </c>
      <c r="AB48" s="478">
        <v>0</v>
      </c>
      <c r="AC48" s="479">
        <f t="shared" si="25"/>
        <v>0</v>
      </c>
      <c r="AD48" s="483">
        <v>0</v>
      </c>
      <c r="AE48" s="481">
        <f t="shared" si="26"/>
        <v>0</v>
      </c>
      <c r="AF48" s="482">
        <f t="shared" ref="AF48:AF53" si="30">AC48+AE48</f>
        <v>0</v>
      </c>
    </row>
    <row r="49" spans="1:32" ht="18">
      <c r="A49" s="647" t="s">
        <v>844</v>
      </c>
      <c r="C49" s="474" t="s">
        <v>763</v>
      </c>
      <c r="D49" s="475">
        <v>19.3</v>
      </c>
      <c r="E49" s="483">
        <v>150</v>
      </c>
      <c r="F49" s="477">
        <v>300</v>
      </c>
      <c r="G49" s="478">
        <v>0</v>
      </c>
      <c r="H49" s="479">
        <v>0</v>
      </c>
      <c r="I49" s="480">
        <v>300</v>
      </c>
      <c r="J49" s="481">
        <f t="shared" si="20"/>
        <v>5790</v>
      </c>
      <c r="K49" s="482">
        <f t="shared" si="27"/>
        <v>5790</v>
      </c>
      <c r="L49" s="483">
        <v>150</v>
      </c>
      <c r="M49" s="477">
        <v>300</v>
      </c>
      <c r="N49" s="478">
        <v>0</v>
      </c>
      <c r="O49" s="479">
        <f t="shared" si="21"/>
        <v>0</v>
      </c>
      <c r="P49" s="484">
        <v>300</v>
      </c>
      <c r="Q49" s="481">
        <f t="shared" si="22"/>
        <v>5790</v>
      </c>
      <c r="R49" s="482">
        <f t="shared" si="28"/>
        <v>5790</v>
      </c>
      <c r="S49" s="483">
        <v>150</v>
      </c>
      <c r="T49" s="483">
        <v>150</v>
      </c>
      <c r="U49" s="478">
        <v>0</v>
      </c>
      <c r="V49" s="479">
        <f t="shared" si="23"/>
        <v>0</v>
      </c>
      <c r="W49" s="485">
        <v>150</v>
      </c>
      <c r="X49" s="481">
        <f t="shared" si="24"/>
        <v>2895</v>
      </c>
      <c r="Y49" s="482">
        <f t="shared" si="29"/>
        <v>2895</v>
      </c>
      <c r="Z49" s="483">
        <v>150</v>
      </c>
      <c r="AA49" s="483">
        <v>75</v>
      </c>
      <c r="AB49" s="478">
        <v>0</v>
      </c>
      <c r="AC49" s="479">
        <f t="shared" si="25"/>
        <v>0</v>
      </c>
      <c r="AD49" s="485">
        <v>75</v>
      </c>
      <c r="AE49" s="481">
        <f t="shared" si="26"/>
        <v>1447.5</v>
      </c>
      <c r="AF49" s="482">
        <f t="shared" si="30"/>
        <v>1447.5</v>
      </c>
    </row>
    <row r="50" spans="1:32" ht="25.5" customHeight="1">
      <c r="A50" s="647" t="s">
        <v>844</v>
      </c>
      <c r="C50" s="486" t="s">
        <v>764</v>
      </c>
      <c r="D50" s="475">
        <v>19.3</v>
      </c>
      <c r="E50" s="483">
        <v>1500</v>
      </c>
      <c r="F50" s="477">
        <v>1500</v>
      </c>
      <c r="G50" s="478">
        <v>0</v>
      </c>
      <c r="H50" s="479">
        <v>0</v>
      </c>
      <c r="I50" s="480">
        <v>1500</v>
      </c>
      <c r="J50" s="481">
        <f t="shared" si="20"/>
        <v>28950</v>
      </c>
      <c r="K50" s="482">
        <f t="shared" si="27"/>
        <v>28950</v>
      </c>
      <c r="L50" s="483">
        <v>1500</v>
      </c>
      <c r="M50" s="477">
        <v>1500</v>
      </c>
      <c r="N50" s="478"/>
      <c r="O50" s="479">
        <f t="shared" si="21"/>
        <v>0</v>
      </c>
      <c r="P50" s="484">
        <v>1500</v>
      </c>
      <c r="Q50" s="481">
        <f t="shared" si="22"/>
        <v>28950</v>
      </c>
      <c r="R50" s="482">
        <f t="shared" si="28"/>
        <v>28950</v>
      </c>
      <c r="S50" s="483">
        <v>1500</v>
      </c>
      <c r="T50" s="483">
        <v>1500</v>
      </c>
      <c r="U50" s="478">
        <v>0</v>
      </c>
      <c r="V50" s="479">
        <f t="shared" si="23"/>
        <v>0</v>
      </c>
      <c r="W50" s="485">
        <v>1500</v>
      </c>
      <c r="X50" s="481">
        <f t="shared" si="24"/>
        <v>28950</v>
      </c>
      <c r="Y50" s="482">
        <f t="shared" si="29"/>
        <v>28950</v>
      </c>
      <c r="Z50" s="483">
        <v>1500</v>
      </c>
      <c r="AA50" s="483">
        <v>750</v>
      </c>
      <c r="AB50" s="478">
        <v>0</v>
      </c>
      <c r="AC50" s="479">
        <f t="shared" si="25"/>
        <v>0</v>
      </c>
      <c r="AD50" s="485">
        <v>750</v>
      </c>
      <c r="AE50" s="481">
        <f t="shared" si="26"/>
        <v>14475</v>
      </c>
      <c r="AF50" s="482">
        <f t="shared" si="30"/>
        <v>14475</v>
      </c>
    </row>
    <row r="51" spans="1:32" ht="18">
      <c r="A51" s="647" t="s">
        <v>844</v>
      </c>
      <c r="C51" s="474" t="s">
        <v>765</v>
      </c>
      <c r="D51" s="475">
        <v>12.9</v>
      </c>
      <c r="E51" s="476">
        <v>7800</v>
      </c>
      <c r="F51" s="477">
        <v>11700</v>
      </c>
      <c r="G51" s="478">
        <v>8700</v>
      </c>
      <c r="H51" s="479">
        <f>(F51*D51)</f>
        <v>150930</v>
      </c>
      <c r="I51" s="480">
        <v>3000</v>
      </c>
      <c r="J51" s="481">
        <f t="shared" si="20"/>
        <v>38700</v>
      </c>
      <c r="K51" s="482">
        <f t="shared" si="27"/>
        <v>189630</v>
      </c>
      <c r="L51" s="483">
        <v>8800</v>
      </c>
      <c r="M51" s="477">
        <v>13200</v>
      </c>
      <c r="N51" s="478">
        <v>10200</v>
      </c>
      <c r="O51" s="479">
        <f t="shared" si="21"/>
        <v>131580</v>
      </c>
      <c r="P51" s="480">
        <v>3000</v>
      </c>
      <c r="Q51" s="481">
        <f t="shared" si="22"/>
        <v>38700</v>
      </c>
      <c r="R51" s="482">
        <f t="shared" si="28"/>
        <v>170280</v>
      </c>
      <c r="S51" s="483">
        <v>9800</v>
      </c>
      <c r="T51" s="477">
        <v>14700</v>
      </c>
      <c r="U51" s="478">
        <v>11700</v>
      </c>
      <c r="V51" s="479">
        <f t="shared" si="23"/>
        <v>150930</v>
      </c>
      <c r="W51" s="480">
        <v>3000</v>
      </c>
      <c r="X51" s="481">
        <f t="shared" si="24"/>
        <v>38700</v>
      </c>
      <c r="Y51" s="482">
        <f t="shared" si="29"/>
        <v>189630</v>
      </c>
      <c r="Z51" s="483">
        <v>9800</v>
      </c>
      <c r="AA51" s="477">
        <v>7350</v>
      </c>
      <c r="AB51" s="478">
        <v>3350</v>
      </c>
      <c r="AC51" s="479">
        <f t="shared" si="25"/>
        <v>43215</v>
      </c>
      <c r="AD51" s="480">
        <v>4000</v>
      </c>
      <c r="AE51" s="481">
        <f t="shared" si="26"/>
        <v>51600</v>
      </c>
      <c r="AF51" s="482">
        <f t="shared" si="30"/>
        <v>94815</v>
      </c>
    </row>
    <row r="52" spans="1:32" ht="18">
      <c r="A52" s="185" t="s">
        <v>855</v>
      </c>
      <c r="C52" s="486" t="s">
        <v>766</v>
      </c>
      <c r="D52" s="475">
        <v>0</v>
      </c>
      <c r="E52" s="476">
        <v>150</v>
      </c>
      <c r="F52" s="477">
        <v>150</v>
      </c>
      <c r="G52" s="478">
        <v>0</v>
      </c>
      <c r="H52" s="479">
        <f>(G52*D52)*12</f>
        <v>0</v>
      </c>
      <c r="I52" s="480">
        <v>150</v>
      </c>
      <c r="J52" s="481">
        <f t="shared" si="20"/>
        <v>0</v>
      </c>
      <c r="K52" s="482">
        <f t="shared" si="27"/>
        <v>0</v>
      </c>
      <c r="L52" s="483">
        <v>150</v>
      </c>
      <c r="M52" s="477">
        <v>150</v>
      </c>
      <c r="N52" s="478">
        <v>0</v>
      </c>
      <c r="O52" s="479">
        <f t="shared" si="21"/>
        <v>0</v>
      </c>
      <c r="P52" s="480">
        <v>150</v>
      </c>
      <c r="Q52" s="481">
        <f t="shared" si="22"/>
        <v>0</v>
      </c>
      <c r="R52" s="482">
        <f t="shared" si="28"/>
        <v>0</v>
      </c>
      <c r="S52" s="483">
        <v>150</v>
      </c>
      <c r="T52" s="477">
        <v>150</v>
      </c>
      <c r="U52" s="478">
        <v>0</v>
      </c>
      <c r="V52" s="479">
        <f t="shared" si="23"/>
        <v>0</v>
      </c>
      <c r="W52" s="484">
        <v>150</v>
      </c>
      <c r="X52" s="481">
        <f t="shared" si="24"/>
        <v>0</v>
      </c>
      <c r="Y52" s="482">
        <f t="shared" si="29"/>
        <v>0</v>
      </c>
      <c r="Z52" s="483">
        <v>150</v>
      </c>
      <c r="AA52" s="477">
        <v>75</v>
      </c>
      <c r="AB52" s="478">
        <v>0</v>
      </c>
      <c r="AC52" s="479">
        <f t="shared" si="25"/>
        <v>0</v>
      </c>
      <c r="AD52" s="484">
        <v>75</v>
      </c>
      <c r="AE52" s="481">
        <f t="shared" si="26"/>
        <v>0</v>
      </c>
      <c r="AF52" s="482">
        <f t="shared" si="30"/>
        <v>0</v>
      </c>
    </row>
    <row r="53" spans="1:32" ht="14.25" customHeight="1">
      <c r="A53" s="185" t="s">
        <v>855</v>
      </c>
      <c r="C53" s="486" t="s">
        <v>767</v>
      </c>
      <c r="D53" s="475"/>
      <c r="E53" s="476">
        <v>1200</v>
      </c>
      <c r="F53" s="477">
        <v>1200</v>
      </c>
      <c r="G53" s="478">
        <v>0</v>
      </c>
      <c r="H53" s="479">
        <f>(G53*D53)*12</f>
        <v>0</v>
      </c>
      <c r="I53" s="480">
        <v>1200</v>
      </c>
      <c r="J53" s="481">
        <f t="shared" si="20"/>
        <v>0</v>
      </c>
      <c r="K53" s="482">
        <f t="shared" si="27"/>
        <v>0</v>
      </c>
      <c r="L53" s="483">
        <v>1200</v>
      </c>
      <c r="M53" s="477">
        <v>1200</v>
      </c>
      <c r="N53" s="478">
        <v>0</v>
      </c>
      <c r="O53" s="479">
        <f t="shared" si="21"/>
        <v>0</v>
      </c>
      <c r="P53" s="480">
        <v>1200</v>
      </c>
      <c r="Q53" s="481">
        <f t="shared" si="22"/>
        <v>0</v>
      </c>
      <c r="R53" s="482">
        <f t="shared" si="28"/>
        <v>0</v>
      </c>
      <c r="S53" s="483">
        <v>1200</v>
      </c>
      <c r="T53" s="477">
        <v>1200</v>
      </c>
      <c r="U53" s="478">
        <v>0</v>
      </c>
      <c r="V53" s="479">
        <f t="shared" si="23"/>
        <v>0</v>
      </c>
      <c r="W53" s="484">
        <v>1200</v>
      </c>
      <c r="X53" s="481">
        <f t="shared" si="24"/>
        <v>0</v>
      </c>
      <c r="Y53" s="482">
        <f t="shared" si="29"/>
        <v>0</v>
      </c>
      <c r="Z53" s="483">
        <v>1200</v>
      </c>
      <c r="AA53" s="477">
        <v>600</v>
      </c>
      <c r="AB53" s="478">
        <v>0</v>
      </c>
      <c r="AC53" s="479">
        <f t="shared" si="25"/>
        <v>0</v>
      </c>
      <c r="AD53" s="484">
        <v>600</v>
      </c>
      <c r="AE53" s="481">
        <f t="shared" si="26"/>
        <v>0</v>
      </c>
      <c r="AF53" s="482">
        <f t="shared" si="30"/>
        <v>0</v>
      </c>
    </row>
    <row r="54" spans="1:32" ht="18">
      <c r="A54" s="647" t="s">
        <v>844</v>
      </c>
      <c r="C54" s="487" t="s">
        <v>768</v>
      </c>
      <c r="D54" s="475">
        <v>1.87</v>
      </c>
      <c r="E54" s="476">
        <v>500</v>
      </c>
      <c r="F54" s="477">
        <v>500</v>
      </c>
      <c r="G54" s="478">
        <v>0</v>
      </c>
      <c r="H54" s="479">
        <v>0</v>
      </c>
      <c r="I54" s="480">
        <v>500</v>
      </c>
      <c r="J54" s="481">
        <f t="shared" si="20"/>
        <v>935</v>
      </c>
      <c r="K54" s="482">
        <f t="shared" si="27"/>
        <v>935</v>
      </c>
      <c r="L54" s="483">
        <v>500</v>
      </c>
      <c r="M54" s="477">
        <v>500</v>
      </c>
      <c r="N54" s="478">
        <v>0</v>
      </c>
      <c r="O54" s="479">
        <f t="shared" si="21"/>
        <v>0</v>
      </c>
      <c r="P54" s="480">
        <v>500</v>
      </c>
      <c r="Q54" s="481">
        <f t="shared" si="22"/>
        <v>935</v>
      </c>
      <c r="R54" s="482">
        <f t="shared" si="28"/>
        <v>935</v>
      </c>
      <c r="S54" s="483">
        <v>500</v>
      </c>
      <c r="T54" s="477">
        <v>500</v>
      </c>
      <c r="U54" s="478">
        <v>0</v>
      </c>
      <c r="V54" s="479">
        <v>0</v>
      </c>
      <c r="W54" s="484">
        <v>500</v>
      </c>
      <c r="X54" s="481">
        <f t="shared" si="24"/>
        <v>935</v>
      </c>
      <c r="Y54" s="482">
        <f t="shared" si="29"/>
        <v>935</v>
      </c>
      <c r="Z54" s="483">
        <v>500</v>
      </c>
      <c r="AA54" s="477">
        <v>250</v>
      </c>
      <c r="AB54" s="478">
        <v>0</v>
      </c>
      <c r="AC54" s="479">
        <f t="shared" si="25"/>
        <v>0</v>
      </c>
      <c r="AD54" s="484">
        <v>250</v>
      </c>
      <c r="AE54" s="481">
        <f t="shared" si="26"/>
        <v>467.5</v>
      </c>
      <c r="AF54" s="482">
        <f>AC54+AE54</f>
        <v>467.5</v>
      </c>
    </row>
    <row r="55" spans="1:32" ht="18">
      <c r="A55" s="647" t="s">
        <v>844</v>
      </c>
      <c r="C55" s="606" t="s">
        <v>769</v>
      </c>
      <c r="D55" s="475">
        <v>3.8</v>
      </c>
      <c r="E55" s="476">
        <v>400</v>
      </c>
      <c r="F55" s="476">
        <v>400</v>
      </c>
      <c r="G55" s="478">
        <v>0</v>
      </c>
      <c r="H55" s="479">
        <v>0</v>
      </c>
      <c r="I55" s="488">
        <v>400</v>
      </c>
      <c r="J55" s="481">
        <f t="shared" si="20"/>
        <v>1520</v>
      </c>
      <c r="K55" s="482">
        <f t="shared" si="27"/>
        <v>1520</v>
      </c>
      <c r="L55" s="476">
        <v>400</v>
      </c>
      <c r="M55" s="476">
        <v>400</v>
      </c>
      <c r="N55" s="478">
        <v>0</v>
      </c>
      <c r="O55" s="479">
        <f t="shared" si="21"/>
        <v>0</v>
      </c>
      <c r="P55" s="488">
        <v>400</v>
      </c>
      <c r="Q55" s="481">
        <f t="shared" si="22"/>
        <v>1520</v>
      </c>
      <c r="R55" s="482">
        <f t="shared" si="28"/>
        <v>1520</v>
      </c>
      <c r="S55" s="476">
        <v>400</v>
      </c>
      <c r="T55" s="476">
        <v>400</v>
      </c>
      <c r="U55" s="478">
        <v>0</v>
      </c>
      <c r="V55" s="479">
        <v>0</v>
      </c>
      <c r="W55" s="488">
        <v>400</v>
      </c>
      <c r="X55" s="481">
        <f t="shared" si="24"/>
        <v>1520</v>
      </c>
      <c r="Y55" s="482">
        <f t="shared" si="29"/>
        <v>1520</v>
      </c>
      <c r="Z55" s="476">
        <v>400</v>
      </c>
      <c r="AA55" s="476">
        <v>200</v>
      </c>
      <c r="AB55" s="478">
        <v>0</v>
      </c>
      <c r="AC55" s="479">
        <f t="shared" si="25"/>
        <v>0</v>
      </c>
      <c r="AD55" s="488">
        <v>200</v>
      </c>
      <c r="AE55" s="481">
        <f t="shared" si="26"/>
        <v>760</v>
      </c>
      <c r="AF55" s="482">
        <f>AD55+X55+Q55+J55</f>
        <v>4760</v>
      </c>
    </row>
    <row r="56" spans="1:32" ht="18">
      <c r="A56" s="647" t="s">
        <v>844</v>
      </c>
      <c r="C56" s="606" t="s">
        <v>770</v>
      </c>
      <c r="D56" s="475">
        <v>4.8</v>
      </c>
      <c r="E56" s="476">
        <v>100</v>
      </c>
      <c r="F56" s="476">
        <v>100</v>
      </c>
      <c r="G56" s="478">
        <v>0</v>
      </c>
      <c r="H56" s="479">
        <v>0</v>
      </c>
      <c r="I56" s="488">
        <v>100</v>
      </c>
      <c r="J56" s="481">
        <f>(I56*D56)</f>
        <v>480</v>
      </c>
      <c r="K56" s="482">
        <f t="shared" si="27"/>
        <v>480</v>
      </c>
      <c r="L56" s="476">
        <v>120</v>
      </c>
      <c r="M56" s="476">
        <v>120</v>
      </c>
      <c r="N56" s="478"/>
      <c r="O56" s="479">
        <f t="shared" si="21"/>
        <v>0</v>
      </c>
      <c r="P56" s="488">
        <v>120</v>
      </c>
      <c r="Q56" s="481">
        <f t="shared" si="22"/>
        <v>576</v>
      </c>
      <c r="R56" s="482">
        <f t="shared" si="28"/>
        <v>576</v>
      </c>
      <c r="S56" s="476">
        <v>120</v>
      </c>
      <c r="T56" s="476">
        <v>120</v>
      </c>
      <c r="U56" s="478">
        <v>0</v>
      </c>
      <c r="V56" s="479">
        <v>0</v>
      </c>
      <c r="W56" s="488">
        <v>120</v>
      </c>
      <c r="X56" s="481">
        <f t="shared" si="24"/>
        <v>576</v>
      </c>
      <c r="Y56" s="482">
        <f t="shared" si="29"/>
        <v>576</v>
      </c>
      <c r="Z56" s="476">
        <v>60</v>
      </c>
      <c r="AA56" s="476">
        <v>60</v>
      </c>
      <c r="AB56" s="478">
        <v>0</v>
      </c>
      <c r="AC56" s="479">
        <f t="shared" si="25"/>
        <v>0</v>
      </c>
      <c r="AD56" s="488">
        <v>60</v>
      </c>
      <c r="AE56" s="481">
        <f t="shared" si="26"/>
        <v>288</v>
      </c>
      <c r="AF56" s="482">
        <f>AE56+X56+Q56+J56</f>
        <v>1920</v>
      </c>
    </row>
    <row r="57" spans="1:32" ht="18">
      <c r="A57" s="647" t="s">
        <v>844</v>
      </c>
      <c r="C57" s="607" t="s">
        <v>771</v>
      </c>
      <c r="D57" s="608">
        <v>1</v>
      </c>
      <c r="E57" s="609">
        <v>30000</v>
      </c>
      <c r="F57" s="609">
        <v>30000</v>
      </c>
      <c r="G57" s="610"/>
      <c r="H57" s="611"/>
      <c r="I57" s="609">
        <v>30000</v>
      </c>
      <c r="J57" s="611">
        <f>(I57*D57)</f>
        <v>30000</v>
      </c>
      <c r="K57" s="611">
        <f t="shared" si="27"/>
        <v>30000</v>
      </c>
      <c r="L57" s="609">
        <v>30000</v>
      </c>
      <c r="M57" s="609">
        <v>30000</v>
      </c>
      <c r="N57" s="610">
        <v>0</v>
      </c>
      <c r="O57" s="611">
        <f t="shared" si="21"/>
        <v>0</v>
      </c>
      <c r="P57" s="609">
        <v>30000</v>
      </c>
      <c r="Q57" s="611">
        <f t="shared" si="22"/>
        <v>30000</v>
      </c>
      <c r="R57" s="611">
        <f t="shared" si="28"/>
        <v>30000</v>
      </c>
      <c r="S57" s="609">
        <v>30000</v>
      </c>
      <c r="T57" s="609">
        <v>30000</v>
      </c>
      <c r="U57" s="610"/>
      <c r="V57" s="611"/>
      <c r="W57" s="609">
        <v>30000</v>
      </c>
      <c r="X57" s="611">
        <f t="shared" si="24"/>
        <v>30000</v>
      </c>
      <c r="Y57" s="611">
        <f t="shared" si="29"/>
        <v>30000</v>
      </c>
      <c r="Z57" s="609">
        <v>0</v>
      </c>
      <c r="AA57" s="609">
        <v>0</v>
      </c>
      <c r="AB57" s="610"/>
      <c r="AC57" s="611"/>
      <c r="AD57" s="609">
        <v>0</v>
      </c>
      <c r="AE57" s="611">
        <f t="shared" si="26"/>
        <v>0</v>
      </c>
      <c r="AF57" s="611">
        <f>X57+Q57+J57</f>
        <v>90000</v>
      </c>
    </row>
    <row r="58" spans="1:32" ht="18">
      <c r="C58" s="466" t="s">
        <v>749</v>
      </c>
      <c r="D58" s="489"/>
      <c r="E58" s="490"/>
      <c r="F58" s="490"/>
      <c r="G58" s="490"/>
      <c r="H58" s="491">
        <f>SUM(H47:H53)</f>
        <v>150930</v>
      </c>
      <c r="I58" s="490"/>
      <c r="J58" s="492">
        <f>SUM(J47:J57)</f>
        <v>325591</v>
      </c>
      <c r="K58" s="493">
        <f>SUM(K47:K57)</f>
        <v>476521</v>
      </c>
      <c r="L58" s="490"/>
      <c r="M58" s="490"/>
      <c r="N58" s="490"/>
      <c r="O58" s="491">
        <f>SUM(O47:O53)</f>
        <v>131580</v>
      </c>
      <c r="P58" s="490"/>
      <c r="Q58" s="492">
        <f>SUM(Q47:Q57)</f>
        <v>353407</v>
      </c>
      <c r="R58" s="493">
        <f>SUM(R47:R57)</f>
        <v>484987</v>
      </c>
      <c r="S58" s="490"/>
      <c r="T58" s="490"/>
      <c r="U58" s="490"/>
      <c r="V58" s="491">
        <f>SUM(V47:V54)</f>
        <v>150930</v>
      </c>
      <c r="W58" s="490"/>
      <c r="X58" s="492">
        <f>SUM(X47:X57)</f>
        <v>378232</v>
      </c>
      <c r="Y58" s="494">
        <f>SUM(Y47:Y57)</f>
        <v>529162</v>
      </c>
      <c r="Z58" s="490"/>
      <c r="AA58" s="490"/>
      <c r="AB58" s="490"/>
      <c r="AC58" s="491">
        <f>SUM(AC47:AC54)</f>
        <v>43215</v>
      </c>
      <c r="AD58" s="490"/>
      <c r="AE58" s="492">
        <f>SUM(AE47:AE57)</f>
        <v>235050</v>
      </c>
      <c r="AF58" s="494">
        <f>SUM(AF47:AF57)</f>
        <v>373897</v>
      </c>
    </row>
    <row r="59" spans="1:32">
      <c r="C59" s="473"/>
      <c r="D59" s="473"/>
      <c r="E59" s="473"/>
      <c r="F59" s="473"/>
      <c r="G59" s="473"/>
      <c r="H59" s="473"/>
      <c r="I59" s="473"/>
      <c r="J59" s="473"/>
      <c r="K59" s="473"/>
      <c r="L59" s="473"/>
      <c r="M59" s="473"/>
      <c r="N59" s="473"/>
      <c r="O59" s="473"/>
      <c r="P59" s="473"/>
      <c r="Q59" s="473"/>
      <c r="R59" s="473"/>
      <c r="S59" s="473"/>
      <c r="T59" s="473"/>
      <c r="U59" s="473"/>
      <c r="V59" s="473"/>
      <c r="W59" s="473"/>
      <c r="X59" s="473"/>
      <c r="Y59" s="473"/>
      <c r="Z59" s="473"/>
      <c r="AA59" s="473"/>
      <c r="AB59" s="473"/>
      <c r="AC59" s="473"/>
      <c r="AD59" s="473"/>
      <c r="AE59" s="473"/>
      <c r="AF59" s="473"/>
    </row>
    <row r="60" spans="1:32" ht="18">
      <c r="C60" s="473"/>
      <c r="D60" s="473"/>
      <c r="E60" s="473"/>
      <c r="F60" s="473"/>
      <c r="G60" s="473"/>
      <c r="H60" s="473"/>
      <c r="I60" s="473"/>
      <c r="J60" s="473"/>
      <c r="K60" s="473"/>
      <c r="L60" s="473"/>
      <c r="M60" s="473"/>
      <c r="N60" s="473"/>
      <c r="O60" s="473"/>
      <c r="P60" s="473"/>
      <c r="Q60" s="473"/>
      <c r="R60" s="473"/>
      <c r="S60" s="473"/>
      <c r="T60" s="473"/>
      <c r="U60" s="473"/>
      <c r="V60" s="473"/>
      <c r="W60" s="473"/>
      <c r="X60" s="473"/>
      <c r="Y60" s="473"/>
      <c r="Z60" s="473"/>
      <c r="AA60" s="473"/>
      <c r="AB60" s="473"/>
      <c r="AC60" s="473"/>
      <c r="AD60" s="473"/>
      <c r="AE60" s="495" t="s">
        <v>772</v>
      </c>
      <c r="AF60" s="496">
        <f>J58+Q58+X58+AE58</f>
        <v>1292280</v>
      </c>
    </row>
    <row r="61" spans="1:32" ht="18">
      <c r="C61" s="473" t="s">
        <v>773</v>
      </c>
      <c r="D61" s="473"/>
      <c r="E61" s="473"/>
      <c r="F61" s="473"/>
      <c r="G61" s="473"/>
      <c r="H61" s="497">
        <v>0.25</v>
      </c>
      <c r="I61" s="498"/>
      <c r="J61" s="497">
        <v>0.75</v>
      </c>
      <c r="K61" s="473"/>
      <c r="L61" s="473"/>
      <c r="M61" s="473"/>
      <c r="N61" s="473"/>
      <c r="O61" s="497">
        <v>0.26</v>
      </c>
      <c r="P61" s="473"/>
      <c r="Q61" s="497">
        <v>0.74</v>
      </c>
      <c r="R61" s="473"/>
      <c r="S61" s="473"/>
      <c r="T61" s="473"/>
      <c r="U61" s="473"/>
      <c r="V61" s="497">
        <v>0.27</v>
      </c>
      <c r="W61" s="498"/>
      <c r="X61" s="497">
        <v>0.73</v>
      </c>
      <c r="Y61" s="473"/>
      <c r="Z61" s="473"/>
      <c r="AA61" s="473"/>
      <c r="AB61" s="473"/>
      <c r="AC61" s="497">
        <v>0.25</v>
      </c>
      <c r="AD61" s="473"/>
      <c r="AE61" s="497">
        <v>0.75</v>
      </c>
      <c r="AF61" s="473"/>
    </row>
    <row r="62" spans="1:32">
      <c r="C62" s="473"/>
      <c r="D62" s="473"/>
      <c r="E62" s="473"/>
      <c r="F62" s="473"/>
      <c r="G62" s="473"/>
      <c r="H62" s="499">
        <f>(H58*100)/K58</f>
        <v>31.673315551675582</v>
      </c>
      <c r="I62" s="473"/>
      <c r="J62" s="499">
        <f>(J58*100)/K58</f>
        <v>68.326684448324414</v>
      </c>
      <c r="K62" s="473"/>
      <c r="L62" s="473"/>
      <c r="M62" s="473"/>
      <c r="N62" s="473"/>
      <c r="O62" s="499">
        <f>(O58*100)/R58</f>
        <v>27.130624119821768</v>
      </c>
      <c r="P62" s="473"/>
      <c r="Q62" s="499">
        <f>(Q58*100)/R58</f>
        <v>72.869375880178225</v>
      </c>
      <c r="R62" s="473"/>
      <c r="S62" s="473"/>
      <c r="T62" s="473"/>
      <c r="U62" s="473"/>
      <c r="V62" s="499">
        <f>(V58*100)/Y58</f>
        <v>28.522456261031593</v>
      </c>
      <c r="W62" s="473"/>
      <c r="X62" s="499">
        <f>(X58*100)/Y58</f>
        <v>71.477543738968407</v>
      </c>
      <c r="Y62" s="473"/>
      <c r="Z62" s="473"/>
      <c r="AA62" s="473"/>
      <c r="AB62" s="473"/>
      <c r="AC62" s="499">
        <f>(AC58*100)/AF58</f>
        <v>11.557995918662092</v>
      </c>
      <c r="AD62" s="473"/>
      <c r="AE62" s="499">
        <f>(AE58*100)/AF58</f>
        <v>62.864906645413043</v>
      </c>
      <c r="AF62" s="473"/>
    </row>
    <row r="64" spans="1:32" ht="28.8">
      <c r="A64" s="647" t="s">
        <v>845</v>
      </c>
      <c r="C64" s="500"/>
      <c r="D64" s="501" t="s">
        <v>3</v>
      </c>
      <c r="E64" s="501" t="s">
        <v>4</v>
      </c>
      <c r="F64" s="501" t="s">
        <v>5</v>
      </c>
    </row>
    <row r="65" spans="1:24">
      <c r="A65" s="647" t="s">
        <v>844</v>
      </c>
      <c r="C65" s="603" t="s">
        <v>825</v>
      </c>
      <c r="D65" s="500">
        <v>12</v>
      </c>
      <c r="E65" s="500">
        <v>7000</v>
      </c>
      <c r="F65" s="500">
        <f>D65*E65</f>
        <v>84000</v>
      </c>
    </row>
    <row r="66" spans="1:24">
      <c r="C66" s="500"/>
      <c r="D66" s="500"/>
      <c r="E66" s="500"/>
      <c r="F66" s="500"/>
    </row>
    <row r="69" spans="1:24" ht="21">
      <c r="C69" s="556"/>
      <c r="D69" s="557" t="s">
        <v>634</v>
      </c>
      <c r="E69" s="558"/>
      <c r="F69" s="559"/>
      <c r="G69" s="560"/>
      <c r="H69" s="560"/>
      <c r="I69" s="560"/>
      <c r="J69" s="560"/>
      <c r="K69" s="560"/>
      <c r="L69" s="560"/>
      <c r="M69" s="560"/>
      <c r="N69" s="560"/>
      <c r="O69" s="560"/>
      <c r="P69" s="561"/>
      <c r="Q69" s="560"/>
      <c r="R69" s="556"/>
      <c r="S69" s="556"/>
      <c r="T69" s="556"/>
      <c r="U69" s="562"/>
      <c r="V69" s="563"/>
      <c r="W69" s="564"/>
      <c r="X69" s="556"/>
    </row>
    <row r="70" spans="1:24">
      <c r="C70" s="885" t="s">
        <v>635</v>
      </c>
      <c r="D70" s="885" t="s">
        <v>636</v>
      </c>
      <c r="E70" s="877" t="s">
        <v>637</v>
      </c>
      <c r="F70" s="871" t="s">
        <v>638</v>
      </c>
      <c r="G70" s="871" t="s">
        <v>639</v>
      </c>
      <c r="H70" s="871" t="s">
        <v>640</v>
      </c>
      <c r="I70" s="871" t="s">
        <v>641</v>
      </c>
      <c r="J70" s="871" t="s">
        <v>642</v>
      </c>
      <c r="K70" s="871" t="s">
        <v>643</v>
      </c>
      <c r="L70" s="871" t="s">
        <v>644</v>
      </c>
      <c r="M70" s="871" t="s">
        <v>645</v>
      </c>
      <c r="N70" s="877" t="s">
        <v>646</v>
      </c>
      <c r="O70" s="613"/>
      <c r="P70" s="880" t="s">
        <v>647</v>
      </c>
      <c r="Q70" s="871" t="s">
        <v>648</v>
      </c>
      <c r="R70" s="871" t="s">
        <v>649</v>
      </c>
      <c r="S70" s="871" t="s">
        <v>649</v>
      </c>
      <c r="T70" s="871" t="s">
        <v>650</v>
      </c>
      <c r="U70" s="871" t="s">
        <v>651</v>
      </c>
      <c r="V70" s="871" t="s">
        <v>652</v>
      </c>
      <c r="W70" s="871" t="s">
        <v>653</v>
      </c>
      <c r="X70" s="556"/>
    </row>
    <row r="71" spans="1:24">
      <c r="C71" s="886"/>
      <c r="D71" s="886"/>
      <c r="E71" s="878"/>
      <c r="F71" s="871"/>
      <c r="G71" s="871"/>
      <c r="H71" s="871"/>
      <c r="I71" s="871"/>
      <c r="J71" s="871"/>
      <c r="K71" s="871"/>
      <c r="L71" s="871"/>
      <c r="M71" s="871"/>
      <c r="N71" s="878"/>
      <c r="O71" s="614"/>
      <c r="P71" s="881"/>
      <c r="Q71" s="871"/>
      <c r="R71" s="871"/>
      <c r="S71" s="871"/>
      <c r="T71" s="871"/>
      <c r="U71" s="871"/>
      <c r="V71" s="871"/>
      <c r="W71" s="871"/>
      <c r="X71" s="556"/>
    </row>
    <row r="72" spans="1:24">
      <c r="C72" s="886"/>
      <c r="D72" s="886"/>
      <c r="E72" s="878"/>
      <c r="F72" s="871"/>
      <c r="G72" s="871"/>
      <c r="H72" s="871"/>
      <c r="I72" s="871"/>
      <c r="J72" s="871"/>
      <c r="K72" s="871"/>
      <c r="L72" s="871"/>
      <c r="M72" s="871"/>
      <c r="N72" s="878"/>
      <c r="O72" s="614"/>
      <c r="P72" s="881"/>
      <c r="Q72" s="871"/>
      <c r="R72" s="871"/>
      <c r="S72" s="871"/>
      <c r="T72" s="871"/>
      <c r="U72" s="871"/>
      <c r="V72" s="871"/>
      <c r="W72" s="871"/>
      <c r="X72" s="556"/>
    </row>
    <row r="73" spans="1:24" ht="15.6">
      <c r="C73" s="887"/>
      <c r="D73" s="887"/>
      <c r="E73" s="879"/>
      <c r="F73" s="871"/>
      <c r="G73" s="871"/>
      <c r="H73" s="871"/>
      <c r="I73" s="871"/>
      <c r="J73" s="871"/>
      <c r="K73" s="871"/>
      <c r="L73" s="871"/>
      <c r="M73" s="871"/>
      <c r="N73" s="879"/>
      <c r="O73" s="615" t="s">
        <v>654</v>
      </c>
      <c r="P73" s="882"/>
      <c r="Q73" s="871"/>
      <c r="R73" s="871" t="s">
        <v>655</v>
      </c>
      <c r="S73" s="871" t="s">
        <v>655</v>
      </c>
      <c r="T73" s="871" t="s">
        <v>655</v>
      </c>
      <c r="U73" s="871" t="s">
        <v>655</v>
      </c>
      <c r="V73" s="871" t="s">
        <v>655</v>
      </c>
      <c r="W73" s="871" t="s">
        <v>655</v>
      </c>
      <c r="X73" s="556"/>
    </row>
    <row r="74" spans="1:24" ht="62.4">
      <c r="A74" s="646" t="s">
        <v>846</v>
      </c>
      <c r="B74" t="s">
        <v>852</v>
      </c>
      <c r="C74" s="616" t="s">
        <v>656</v>
      </c>
      <c r="D74" s="569" t="s">
        <v>656</v>
      </c>
      <c r="E74" s="619"/>
      <c r="F74" s="619"/>
      <c r="G74" s="619"/>
      <c r="H74" s="619"/>
      <c r="I74" s="619"/>
      <c r="J74" s="619"/>
      <c r="K74" s="619"/>
      <c r="L74" s="619"/>
      <c r="M74" s="619"/>
      <c r="N74" s="619"/>
      <c r="O74" s="619">
        <v>8</v>
      </c>
      <c r="P74" s="569">
        <v>83000</v>
      </c>
      <c r="Q74" s="619">
        <f>P74*O74</f>
        <v>664000</v>
      </c>
      <c r="R74" s="571"/>
      <c r="S74" s="617"/>
      <c r="T74" s="617"/>
      <c r="U74" s="617"/>
      <c r="V74" s="617"/>
      <c r="W74" s="617"/>
      <c r="X74" s="556"/>
    </row>
    <row r="75" spans="1:24" ht="156">
      <c r="A75" s="646" t="s">
        <v>846</v>
      </c>
      <c r="B75" t="s">
        <v>853</v>
      </c>
      <c r="C75" s="616" t="s">
        <v>657</v>
      </c>
      <c r="D75" s="618" t="s">
        <v>657</v>
      </c>
      <c r="E75" s="619"/>
      <c r="F75" s="619"/>
      <c r="G75" s="619"/>
      <c r="H75" s="619"/>
      <c r="I75" s="619"/>
      <c r="J75" s="619"/>
      <c r="K75" s="619"/>
      <c r="L75" s="619"/>
      <c r="M75" s="619"/>
      <c r="N75" s="619"/>
      <c r="O75" s="619">
        <v>4</v>
      </c>
      <c r="P75" s="569">
        <v>2502000</v>
      </c>
      <c r="Q75" s="619">
        <f t="shared" ref="Q75:Q88" si="31">P75*O75</f>
        <v>10008000</v>
      </c>
      <c r="R75" s="571"/>
      <c r="S75" s="617">
        <f>P75/83.42042542</f>
        <v>29992.654525592323</v>
      </c>
      <c r="T75" s="617"/>
      <c r="U75" s="617"/>
      <c r="V75" s="617"/>
      <c r="W75" s="617"/>
      <c r="X75" s="556"/>
    </row>
    <row r="76" spans="1:24" ht="78">
      <c r="A76" s="646" t="s">
        <v>846</v>
      </c>
      <c r="B76" t="s">
        <v>854</v>
      </c>
      <c r="C76" s="616" t="s">
        <v>658</v>
      </c>
      <c r="D76" s="573" t="s">
        <v>658</v>
      </c>
      <c r="E76" s="619"/>
      <c r="F76" s="619"/>
      <c r="G76" s="619"/>
      <c r="H76" s="619"/>
      <c r="I76" s="619"/>
      <c r="J76" s="619"/>
      <c r="K76" s="619"/>
      <c r="L76" s="619"/>
      <c r="M76" s="619"/>
      <c r="N76" s="619"/>
      <c r="O76" s="619">
        <v>1</v>
      </c>
      <c r="P76" s="574">
        <v>25000</v>
      </c>
      <c r="Q76" s="619">
        <f t="shared" si="31"/>
        <v>25000</v>
      </c>
      <c r="R76" s="571"/>
      <c r="S76" s="655">
        <f>P76/83.42042542</f>
        <v>299.68679581926784</v>
      </c>
      <c r="T76" s="617"/>
      <c r="U76" s="617"/>
      <c r="V76" s="617"/>
      <c r="W76" s="617"/>
      <c r="X76" s="556"/>
    </row>
    <row r="77" spans="1:24" ht="93.6">
      <c r="A77" s="646" t="s">
        <v>846</v>
      </c>
      <c r="B77" t="s">
        <v>854</v>
      </c>
      <c r="C77" s="616" t="s">
        <v>850</v>
      </c>
      <c r="D77" s="575" t="s">
        <v>659</v>
      </c>
      <c r="E77" s="619"/>
      <c r="F77" s="619"/>
      <c r="G77" s="619"/>
      <c r="H77" s="619"/>
      <c r="I77" s="619"/>
      <c r="J77" s="619"/>
      <c r="K77" s="619"/>
      <c r="L77" s="619"/>
      <c r="M77" s="619"/>
      <c r="N77" s="619"/>
      <c r="O77" s="619">
        <v>1</v>
      </c>
      <c r="P77" s="574">
        <v>25000</v>
      </c>
      <c r="Q77" s="619">
        <f t="shared" si="31"/>
        <v>25000</v>
      </c>
      <c r="R77" s="571"/>
      <c r="S77" s="655">
        <f t="shared" ref="S77:S79" si="32">P77/83.42042542</f>
        <v>299.68679581926784</v>
      </c>
      <c r="T77" s="617"/>
      <c r="U77" s="617"/>
      <c r="V77" s="617"/>
      <c r="W77" s="617"/>
      <c r="X77" s="556"/>
    </row>
    <row r="78" spans="1:24" ht="78">
      <c r="A78" s="646" t="s">
        <v>846</v>
      </c>
      <c r="B78" t="s">
        <v>854</v>
      </c>
      <c r="C78" s="616" t="s">
        <v>660</v>
      </c>
      <c r="D78" s="573" t="s">
        <v>660</v>
      </c>
      <c r="E78" s="619"/>
      <c r="F78" s="619"/>
      <c r="G78" s="619"/>
      <c r="H78" s="619"/>
      <c r="I78" s="619"/>
      <c r="J78" s="619"/>
      <c r="K78" s="619"/>
      <c r="L78" s="619"/>
      <c r="M78" s="619"/>
      <c r="N78" s="619"/>
      <c r="O78" s="619">
        <v>1</v>
      </c>
      <c r="P78" s="574">
        <v>25000</v>
      </c>
      <c r="Q78" s="619">
        <f t="shared" si="31"/>
        <v>25000</v>
      </c>
      <c r="R78" s="571"/>
      <c r="S78" s="655">
        <f t="shared" si="32"/>
        <v>299.68679581926784</v>
      </c>
      <c r="T78" s="617"/>
      <c r="U78" s="617"/>
      <c r="V78" s="617"/>
      <c r="W78" s="617"/>
      <c r="X78" s="556"/>
    </row>
    <row r="79" spans="1:24" ht="202.8">
      <c r="A79" s="646" t="s">
        <v>846</v>
      </c>
      <c r="B79" t="s">
        <v>854</v>
      </c>
      <c r="C79" s="616" t="s">
        <v>661</v>
      </c>
      <c r="D79" s="573" t="s">
        <v>661</v>
      </c>
      <c r="E79" s="619"/>
      <c r="F79" s="619"/>
      <c r="G79" s="619"/>
      <c r="H79" s="619"/>
      <c r="I79" s="619"/>
      <c r="J79" s="619"/>
      <c r="K79" s="619"/>
      <c r="L79" s="619"/>
      <c r="M79" s="619"/>
      <c r="N79" s="619"/>
      <c r="O79" s="619">
        <v>1</v>
      </c>
      <c r="P79" s="574">
        <v>25000</v>
      </c>
      <c r="Q79" s="619">
        <f t="shared" si="31"/>
        <v>25000</v>
      </c>
      <c r="R79" s="571"/>
      <c r="S79" s="655">
        <f t="shared" si="32"/>
        <v>299.68679581926784</v>
      </c>
      <c r="T79" s="617"/>
      <c r="U79" s="617"/>
      <c r="V79" s="617"/>
      <c r="W79" s="617"/>
      <c r="X79" s="556"/>
    </row>
    <row r="80" spans="1:24" ht="109.2">
      <c r="A80" s="646" t="s">
        <v>846</v>
      </c>
      <c r="B80" s="668" t="s">
        <v>852</v>
      </c>
      <c r="C80" s="576" t="s">
        <v>807</v>
      </c>
      <c r="D80" s="569" t="s">
        <v>807</v>
      </c>
      <c r="E80" s="619">
        <v>1</v>
      </c>
      <c r="F80" s="619">
        <v>1</v>
      </c>
      <c r="G80" s="619">
        <v>1</v>
      </c>
      <c r="H80" s="619"/>
      <c r="I80" s="619"/>
      <c r="J80" s="619"/>
      <c r="K80" s="619"/>
      <c r="L80" s="619"/>
      <c r="M80" s="619"/>
      <c r="N80" s="619"/>
      <c r="O80" s="619">
        <v>5</v>
      </c>
      <c r="P80" s="577">
        <v>480000</v>
      </c>
      <c r="Q80" s="619">
        <f t="shared" si="31"/>
        <v>2400000</v>
      </c>
      <c r="R80" s="556">
        <f>O80*P80</f>
        <v>2400000</v>
      </c>
      <c r="S80" s="669">
        <f>P80/83.42042542</f>
        <v>5753.9864797299424</v>
      </c>
      <c r="T80" s="579">
        <f>Q80/87</f>
        <v>27586.206896551725</v>
      </c>
      <c r="U80" s="579">
        <f>P80/83.42042542</f>
        <v>5753.9864797299424</v>
      </c>
      <c r="V80" s="580">
        <f>O80*U80</f>
        <v>28769.932398649711</v>
      </c>
      <c r="W80" s="581" t="s">
        <v>662</v>
      </c>
      <c r="X80" s="556" t="s">
        <v>663</v>
      </c>
    </row>
    <row r="81" spans="1:24" ht="78">
      <c r="A81" s="646" t="s">
        <v>844</v>
      </c>
      <c r="B81" t="s">
        <v>852</v>
      </c>
      <c r="C81" s="576" t="s">
        <v>664</v>
      </c>
      <c r="D81" s="569" t="s">
        <v>664</v>
      </c>
      <c r="E81" s="619">
        <v>1</v>
      </c>
      <c r="F81" s="619">
        <v>1</v>
      </c>
      <c r="G81" s="619">
        <v>1</v>
      </c>
      <c r="H81" s="619"/>
      <c r="I81" s="619"/>
      <c r="J81" s="619"/>
      <c r="K81" s="619"/>
      <c r="L81" s="619"/>
      <c r="M81" s="619">
        <v>1</v>
      </c>
      <c r="N81" s="619"/>
      <c r="O81" s="619">
        <v>4</v>
      </c>
      <c r="P81" s="577">
        <v>450000</v>
      </c>
      <c r="Q81" s="619">
        <f t="shared" si="31"/>
        <v>1800000</v>
      </c>
      <c r="R81" s="556">
        <f t="shared" ref="R81:R125" si="33">O81*P81</f>
        <v>1800000</v>
      </c>
      <c r="S81" s="669">
        <f>P81/83.42042542</f>
        <v>5394.3623247468213</v>
      </c>
      <c r="T81" s="579">
        <f t="shared" ref="T81:T124" si="34">Q81/87</f>
        <v>20689.655172413793</v>
      </c>
      <c r="U81" s="579">
        <f>P81/83.42042542</f>
        <v>5394.3623247468213</v>
      </c>
      <c r="V81" s="580">
        <f>O81*U81</f>
        <v>21577.449298987285</v>
      </c>
      <c r="W81" s="581" t="s">
        <v>662</v>
      </c>
      <c r="X81" s="556" t="s">
        <v>665</v>
      </c>
    </row>
    <row r="82" spans="1:24" ht="140.4">
      <c r="A82" s="646" t="s">
        <v>844</v>
      </c>
      <c r="B82" t="s">
        <v>852</v>
      </c>
      <c r="C82" s="576" t="s">
        <v>666</v>
      </c>
      <c r="D82" s="618" t="s">
        <v>666</v>
      </c>
      <c r="E82" s="604"/>
      <c r="F82" s="604">
        <v>1</v>
      </c>
      <c r="G82" s="604"/>
      <c r="H82" s="604"/>
      <c r="I82" s="604"/>
      <c r="J82" s="604">
        <v>1</v>
      </c>
      <c r="K82" s="604">
        <v>1</v>
      </c>
      <c r="L82" s="604"/>
      <c r="M82" s="604"/>
      <c r="N82" s="604"/>
      <c r="O82" s="604">
        <f t="shared" ref="O82:O124" si="35">SUM(E82:N82)</f>
        <v>3</v>
      </c>
      <c r="P82" s="605">
        <v>1554918</v>
      </c>
      <c r="Q82" s="604">
        <f t="shared" si="31"/>
        <v>4664754</v>
      </c>
      <c r="R82" s="556">
        <f t="shared" si="33"/>
        <v>4664754</v>
      </c>
      <c r="S82" s="562">
        <f>Q82-R82</f>
        <v>0</v>
      </c>
      <c r="T82" s="579">
        <f>Q82/87</f>
        <v>53617.862068965514</v>
      </c>
      <c r="U82" s="579">
        <f>15356.51/0.918</f>
        <v>16728.224400871459</v>
      </c>
      <c r="V82" s="580">
        <f>O82*U82</f>
        <v>50184.673202614373</v>
      </c>
      <c r="W82" s="581" t="s">
        <v>662</v>
      </c>
      <c r="X82" s="556"/>
    </row>
    <row r="83" spans="1:24" ht="78">
      <c r="A83" s="646" t="s">
        <v>844</v>
      </c>
      <c r="B83" t="s">
        <v>852</v>
      </c>
      <c r="C83" s="576" t="s">
        <v>851</v>
      </c>
      <c r="D83" s="569" t="s">
        <v>667</v>
      </c>
      <c r="E83" s="619"/>
      <c r="F83" s="619">
        <v>1</v>
      </c>
      <c r="G83" s="619"/>
      <c r="H83" s="619">
        <v>1</v>
      </c>
      <c r="I83" s="619"/>
      <c r="J83" s="619"/>
      <c r="K83" s="619"/>
      <c r="L83" s="619"/>
      <c r="M83" s="619"/>
      <c r="N83" s="619"/>
      <c r="O83" s="619">
        <f t="shared" si="35"/>
        <v>2</v>
      </c>
      <c r="P83" s="620">
        <v>316000</v>
      </c>
      <c r="Q83" s="619">
        <f t="shared" si="31"/>
        <v>632000</v>
      </c>
      <c r="R83" s="556">
        <f t="shared" si="33"/>
        <v>632000</v>
      </c>
      <c r="S83" s="578">
        <f t="shared" ref="S83:S125" si="36">Q83-R83</f>
        <v>0</v>
      </c>
      <c r="T83" s="579">
        <f t="shared" si="34"/>
        <v>7264.3678160919544</v>
      </c>
      <c r="U83" s="579">
        <f>3072/0.918</f>
        <v>3346.4052287581699</v>
      </c>
      <c r="V83" s="580">
        <f>O83*U83</f>
        <v>6692.8104575163397</v>
      </c>
      <c r="W83" s="581" t="s">
        <v>662</v>
      </c>
      <c r="X83" s="556" t="s">
        <v>668</v>
      </c>
    </row>
    <row r="84" spans="1:24" ht="46.8">
      <c r="A84" s="646" t="s">
        <v>844</v>
      </c>
      <c r="B84" t="s">
        <v>852</v>
      </c>
      <c r="C84" s="576" t="s">
        <v>669</v>
      </c>
      <c r="D84" s="569" t="s">
        <v>669</v>
      </c>
      <c r="E84" s="619"/>
      <c r="F84" s="619">
        <v>1</v>
      </c>
      <c r="G84" s="619">
        <v>1</v>
      </c>
      <c r="H84" s="619">
        <v>1</v>
      </c>
      <c r="I84" s="619"/>
      <c r="J84" s="619"/>
      <c r="K84" s="619">
        <v>1</v>
      </c>
      <c r="L84" s="619"/>
      <c r="M84" s="619"/>
      <c r="N84" s="619">
        <v>1</v>
      </c>
      <c r="O84" s="619">
        <f t="shared" si="35"/>
        <v>5</v>
      </c>
      <c r="P84" s="620">
        <v>65000</v>
      </c>
      <c r="Q84" s="619">
        <f t="shared" si="31"/>
        <v>325000</v>
      </c>
      <c r="R84" s="556">
        <f t="shared" si="33"/>
        <v>325000</v>
      </c>
      <c r="S84" s="578">
        <f t="shared" si="36"/>
        <v>0</v>
      </c>
      <c r="T84" s="579">
        <f t="shared" si="34"/>
        <v>3735.632183908046</v>
      </c>
      <c r="U84" s="579">
        <f>4530/0.918</f>
        <v>4934.6405228758167</v>
      </c>
      <c r="V84" s="580">
        <f>U84*O84</f>
        <v>24673.202614379083</v>
      </c>
      <c r="W84" s="581" t="s">
        <v>662</v>
      </c>
      <c r="X84" s="556" t="s">
        <v>670</v>
      </c>
    </row>
    <row r="85" spans="1:24" ht="62.4">
      <c r="A85" s="646" t="s">
        <v>844</v>
      </c>
      <c r="B85" s="668" t="s">
        <v>854</v>
      </c>
      <c r="C85" s="583" t="s">
        <v>808</v>
      </c>
      <c r="D85" s="584" t="s">
        <v>808</v>
      </c>
      <c r="E85" s="585"/>
      <c r="F85" s="585"/>
      <c r="G85" s="585"/>
      <c r="H85" s="585"/>
      <c r="I85" s="585"/>
      <c r="J85" s="585"/>
      <c r="K85" s="585"/>
      <c r="L85" s="585"/>
      <c r="M85" s="585"/>
      <c r="N85" s="585"/>
      <c r="O85" s="585">
        <v>20</v>
      </c>
      <c r="P85" s="586">
        <v>60000</v>
      </c>
      <c r="Q85" s="619">
        <f t="shared" si="31"/>
        <v>1200000</v>
      </c>
      <c r="R85" s="556"/>
      <c r="S85" s="587"/>
      <c r="T85" s="588"/>
      <c r="U85" s="579">
        <f>P85/83.42042542</f>
        <v>719.2483099662428</v>
      </c>
      <c r="V85" s="580">
        <f>U85*O85</f>
        <v>14384.966199324856</v>
      </c>
      <c r="W85" s="590"/>
      <c r="X85" s="556"/>
    </row>
    <row r="86" spans="1:24" ht="46.8">
      <c r="A86" s="646" t="s">
        <v>844</v>
      </c>
      <c r="B86" t="s">
        <v>852</v>
      </c>
      <c r="C86" s="576" t="s">
        <v>671</v>
      </c>
      <c r="D86" s="569" t="s">
        <v>671</v>
      </c>
      <c r="E86" s="619"/>
      <c r="F86" s="619"/>
      <c r="G86" s="619">
        <v>2</v>
      </c>
      <c r="H86" s="619">
        <v>1</v>
      </c>
      <c r="I86" s="619">
        <v>1</v>
      </c>
      <c r="J86" s="619"/>
      <c r="K86" s="619">
        <v>1</v>
      </c>
      <c r="L86" s="619"/>
      <c r="M86" s="619"/>
      <c r="N86" s="619"/>
      <c r="O86" s="619">
        <f t="shared" si="35"/>
        <v>5</v>
      </c>
      <c r="P86" s="591">
        <v>255000</v>
      </c>
      <c r="Q86" s="619">
        <f t="shared" si="31"/>
        <v>1275000</v>
      </c>
      <c r="R86" s="556">
        <f t="shared" si="33"/>
        <v>1275000</v>
      </c>
      <c r="S86" s="578">
        <f t="shared" si="36"/>
        <v>0</v>
      </c>
      <c r="T86" s="579">
        <f t="shared" si="34"/>
        <v>14655.172413793103</v>
      </c>
      <c r="U86" s="579">
        <f>P86/83.42042542</f>
        <v>3056.8053173565318</v>
      </c>
      <c r="V86" s="580">
        <f>O86*U86</f>
        <v>15284.026586782658</v>
      </c>
      <c r="W86" s="581" t="s">
        <v>662</v>
      </c>
      <c r="X86" s="556" t="s">
        <v>672</v>
      </c>
    </row>
    <row r="87" spans="1:24" ht="46.8">
      <c r="A87" s="184" t="s">
        <v>856</v>
      </c>
      <c r="C87" s="670" t="s">
        <v>673</v>
      </c>
      <c r="D87" s="671" t="s">
        <v>673</v>
      </c>
      <c r="E87" s="672"/>
      <c r="F87" s="672"/>
      <c r="G87" s="672">
        <v>6</v>
      </c>
      <c r="H87" s="672"/>
      <c r="I87" s="672"/>
      <c r="J87" s="672"/>
      <c r="K87" s="672"/>
      <c r="L87" s="672">
        <v>2</v>
      </c>
      <c r="M87" s="672"/>
      <c r="N87" s="672"/>
      <c r="O87" s="672">
        <v>10</v>
      </c>
      <c r="P87" s="673">
        <v>30000</v>
      </c>
      <c r="Q87" s="672">
        <f t="shared" si="31"/>
        <v>300000</v>
      </c>
      <c r="R87" s="374">
        <f>O87*P87</f>
        <v>300000</v>
      </c>
      <c r="S87" s="674">
        <f t="shared" si="36"/>
        <v>0</v>
      </c>
      <c r="T87" s="675">
        <f t="shared" si="34"/>
        <v>3448.2758620689656</v>
      </c>
      <c r="U87" s="674">
        <v>976</v>
      </c>
      <c r="V87" s="676">
        <f t="shared" ref="V87:V95" si="37">O87*U87</f>
        <v>9760</v>
      </c>
      <c r="W87" s="677" t="s">
        <v>674</v>
      </c>
      <c r="X87" s="556"/>
    </row>
    <row r="88" spans="1:24" ht="78">
      <c r="A88" s="184" t="s">
        <v>856</v>
      </c>
      <c r="C88" s="670" t="s">
        <v>675</v>
      </c>
      <c r="D88" s="671" t="s">
        <v>675</v>
      </c>
      <c r="E88" s="672"/>
      <c r="F88" s="672"/>
      <c r="G88" s="672"/>
      <c r="H88" s="672"/>
      <c r="I88" s="672"/>
      <c r="J88" s="672"/>
      <c r="K88" s="672"/>
      <c r="L88" s="672">
        <v>1</v>
      </c>
      <c r="M88" s="672"/>
      <c r="N88" s="672"/>
      <c r="O88" s="672">
        <v>5</v>
      </c>
      <c r="P88" s="678">
        <v>30000</v>
      </c>
      <c r="Q88" s="672">
        <f t="shared" si="31"/>
        <v>150000</v>
      </c>
      <c r="R88" s="374">
        <f t="shared" si="33"/>
        <v>150000</v>
      </c>
      <c r="S88" s="674">
        <f t="shared" si="36"/>
        <v>0</v>
      </c>
      <c r="T88" s="675">
        <f t="shared" si="34"/>
        <v>1724.1379310344828</v>
      </c>
      <c r="U88" s="674">
        <v>206</v>
      </c>
      <c r="V88" s="676">
        <f t="shared" si="37"/>
        <v>1030</v>
      </c>
      <c r="W88" s="677" t="s">
        <v>676</v>
      </c>
      <c r="X88" s="556"/>
    </row>
    <row r="89" spans="1:24" ht="31.2">
      <c r="A89" s="646" t="s">
        <v>844</v>
      </c>
      <c r="B89" s="668" t="s">
        <v>852</v>
      </c>
      <c r="C89" s="576" t="s">
        <v>677</v>
      </c>
      <c r="D89" s="872" t="s">
        <v>677</v>
      </c>
      <c r="E89" s="873"/>
      <c r="F89" s="873"/>
      <c r="G89" s="873">
        <v>2</v>
      </c>
      <c r="H89" s="873">
        <v>1</v>
      </c>
      <c r="I89" s="873">
        <v>1</v>
      </c>
      <c r="J89" s="873">
        <v>1</v>
      </c>
      <c r="K89" s="873">
        <v>2</v>
      </c>
      <c r="L89" s="873">
        <v>2</v>
      </c>
      <c r="M89" s="873">
        <v>4</v>
      </c>
      <c r="N89" s="873"/>
      <c r="O89" s="619">
        <v>8</v>
      </c>
      <c r="P89" s="874">
        <v>80000</v>
      </c>
      <c r="Q89" s="876">
        <f>P89*O89</f>
        <v>640000</v>
      </c>
      <c r="R89" s="556">
        <f t="shared" si="33"/>
        <v>640000</v>
      </c>
      <c r="S89" s="578">
        <f t="shared" si="36"/>
        <v>0</v>
      </c>
      <c r="T89" s="579">
        <f t="shared" si="34"/>
        <v>7356.3218390804595</v>
      </c>
      <c r="U89" s="593">
        <f>2750/0.918</f>
        <v>2995.6427015250542</v>
      </c>
      <c r="V89" s="594">
        <f>O89*U89</f>
        <v>23965.141612200434</v>
      </c>
      <c r="W89" s="581" t="s">
        <v>662</v>
      </c>
      <c r="X89" s="556"/>
    </row>
    <row r="90" spans="1:24" ht="28.8">
      <c r="C90" s="576"/>
      <c r="D90" s="872"/>
      <c r="E90" s="873"/>
      <c r="F90" s="873"/>
      <c r="G90" s="873"/>
      <c r="H90" s="873"/>
      <c r="I90" s="873"/>
      <c r="J90" s="873"/>
      <c r="K90" s="873"/>
      <c r="L90" s="873"/>
      <c r="M90" s="873"/>
      <c r="N90" s="873"/>
      <c r="O90" s="619">
        <f t="shared" si="35"/>
        <v>0</v>
      </c>
      <c r="P90" s="875"/>
      <c r="Q90" s="873"/>
      <c r="R90" s="556">
        <f t="shared" si="33"/>
        <v>0</v>
      </c>
      <c r="S90" s="578">
        <f t="shared" si="36"/>
        <v>0</v>
      </c>
      <c r="T90" s="579">
        <f t="shared" si="34"/>
        <v>0</v>
      </c>
      <c r="U90" s="578"/>
      <c r="V90" s="592">
        <f t="shared" si="37"/>
        <v>0</v>
      </c>
      <c r="W90" s="581" t="s">
        <v>662</v>
      </c>
      <c r="X90" s="556"/>
    </row>
    <row r="91" spans="1:24" ht="28.8">
      <c r="C91" s="576"/>
      <c r="D91" s="872"/>
      <c r="E91" s="873"/>
      <c r="F91" s="873"/>
      <c r="G91" s="873"/>
      <c r="H91" s="873"/>
      <c r="I91" s="873"/>
      <c r="J91" s="873"/>
      <c r="K91" s="873"/>
      <c r="L91" s="873"/>
      <c r="M91" s="873"/>
      <c r="N91" s="873"/>
      <c r="O91" s="619">
        <f t="shared" si="35"/>
        <v>0</v>
      </c>
      <c r="P91" s="875"/>
      <c r="Q91" s="873"/>
      <c r="R91" s="556">
        <f t="shared" si="33"/>
        <v>0</v>
      </c>
      <c r="S91" s="578">
        <f t="shared" si="36"/>
        <v>0</v>
      </c>
      <c r="T91" s="579">
        <f t="shared" si="34"/>
        <v>0</v>
      </c>
      <c r="U91" s="578"/>
      <c r="V91" s="592">
        <f t="shared" si="37"/>
        <v>0</v>
      </c>
      <c r="W91" s="581" t="s">
        <v>662</v>
      </c>
      <c r="X91" s="556"/>
    </row>
    <row r="92" spans="1:24" ht="28.8">
      <c r="C92" s="576"/>
      <c r="D92" s="872"/>
      <c r="E92" s="873"/>
      <c r="F92" s="873"/>
      <c r="G92" s="873"/>
      <c r="H92" s="873"/>
      <c r="I92" s="873"/>
      <c r="J92" s="873"/>
      <c r="K92" s="873"/>
      <c r="L92" s="873"/>
      <c r="M92" s="873"/>
      <c r="N92" s="873"/>
      <c r="O92" s="619">
        <f t="shared" si="35"/>
        <v>0</v>
      </c>
      <c r="P92" s="875"/>
      <c r="Q92" s="873"/>
      <c r="R92" s="556">
        <f t="shared" si="33"/>
        <v>0</v>
      </c>
      <c r="S92" s="578">
        <f t="shared" si="36"/>
        <v>0</v>
      </c>
      <c r="T92" s="579">
        <f t="shared" si="34"/>
        <v>0</v>
      </c>
      <c r="U92" s="578"/>
      <c r="V92" s="592">
        <f t="shared" si="37"/>
        <v>0</v>
      </c>
      <c r="W92" s="581" t="s">
        <v>662</v>
      </c>
      <c r="X92" s="556"/>
    </row>
    <row r="93" spans="1:24" ht="28.8">
      <c r="C93" s="576"/>
      <c r="D93" s="872"/>
      <c r="E93" s="873"/>
      <c r="F93" s="873"/>
      <c r="G93" s="873"/>
      <c r="H93" s="873"/>
      <c r="I93" s="873"/>
      <c r="J93" s="873"/>
      <c r="K93" s="873"/>
      <c r="L93" s="873"/>
      <c r="M93" s="873"/>
      <c r="N93" s="873"/>
      <c r="O93" s="619">
        <f t="shared" si="35"/>
        <v>0</v>
      </c>
      <c r="P93" s="875"/>
      <c r="Q93" s="873"/>
      <c r="R93" s="556">
        <f t="shared" si="33"/>
        <v>0</v>
      </c>
      <c r="S93" s="578">
        <f t="shared" si="36"/>
        <v>0</v>
      </c>
      <c r="T93" s="579">
        <f t="shared" si="34"/>
        <v>0</v>
      </c>
      <c r="U93" s="578"/>
      <c r="V93" s="592">
        <f t="shared" si="37"/>
        <v>0</v>
      </c>
      <c r="W93" s="581" t="s">
        <v>662</v>
      </c>
      <c r="X93" s="556"/>
    </row>
    <row r="94" spans="1:24" ht="28.8">
      <c r="C94" s="576"/>
      <c r="D94" s="872"/>
      <c r="E94" s="873"/>
      <c r="F94" s="873"/>
      <c r="G94" s="873"/>
      <c r="H94" s="873"/>
      <c r="I94" s="873"/>
      <c r="J94" s="873"/>
      <c r="K94" s="873"/>
      <c r="L94" s="873"/>
      <c r="M94" s="873"/>
      <c r="N94" s="873"/>
      <c r="O94" s="619">
        <f t="shared" si="35"/>
        <v>0</v>
      </c>
      <c r="P94" s="875"/>
      <c r="Q94" s="873"/>
      <c r="R94" s="556">
        <f t="shared" si="33"/>
        <v>0</v>
      </c>
      <c r="S94" s="578">
        <f t="shared" si="36"/>
        <v>0</v>
      </c>
      <c r="T94" s="579">
        <f t="shared" si="34"/>
        <v>0</v>
      </c>
      <c r="U94" s="578"/>
      <c r="V94" s="592">
        <f t="shared" si="37"/>
        <v>0</v>
      </c>
      <c r="W94" s="581" t="s">
        <v>662</v>
      </c>
      <c r="X94" s="556"/>
    </row>
    <row r="95" spans="1:24" ht="28.8">
      <c r="C95" s="576"/>
      <c r="D95" s="872"/>
      <c r="E95" s="873"/>
      <c r="F95" s="873"/>
      <c r="G95" s="873"/>
      <c r="H95" s="873"/>
      <c r="I95" s="873"/>
      <c r="J95" s="873"/>
      <c r="K95" s="873"/>
      <c r="L95" s="873"/>
      <c r="M95" s="873"/>
      <c r="N95" s="873"/>
      <c r="O95" s="619">
        <f t="shared" si="35"/>
        <v>0</v>
      </c>
      <c r="P95" s="875"/>
      <c r="Q95" s="873"/>
      <c r="R95" s="556">
        <f t="shared" si="33"/>
        <v>0</v>
      </c>
      <c r="S95" s="578">
        <f t="shared" si="36"/>
        <v>0</v>
      </c>
      <c r="T95" s="579">
        <f t="shared" si="34"/>
        <v>0</v>
      </c>
      <c r="U95" s="578"/>
      <c r="V95" s="592">
        <f t="shared" si="37"/>
        <v>0</v>
      </c>
      <c r="W95" s="581" t="s">
        <v>662</v>
      </c>
      <c r="X95" s="556"/>
    </row>
    <row r="96" spans="1:24" ht="31.2">
      <c r="A96" s="646" t="s">
        <v>855</v>
      </c>
      <c r="C96" s="576" t="s">
        <v>809</v>
      </c>
      <c r="D96" s="618" t="s">
        <v>809</v>
      </c>
      <c r="E96" s="619" t="s">
        <v>678</v>
      </c>
      <c r="F96" s="619"/>
      <c r="G96" s="619" t="s">
        <v>679</v>
      </c>
      <c r="H96" s="619"/>
      <c r="I96" s="619" t="s">
        <v>679</v>
      </c>
      <c r="J96" s="619"/>
      <c r="K96" s="619" t="s">
        <v>679</v>
      </c>
      <c r="L96" s="619"/>
      <c r="M96" s="619"/>
      <c r="N96" s="619"/>
      <c r="O96" s="619">
        <v>0</v>
      </c>
      <c r="P96" s="620">
        <v>2400000</v>
      </c>
      <c r="Q96" s="621">
        <f>P96*O96</f>
        <v>0</v>
      </c>
      <c r="R96" s="556">
        <f>O96*P96</f>
        <v>0</v>
      </c>
      <c r="S96" s="578">
        <f t="shared" si="36"/>
        <v>0</v>
      </c>
      <c r="T96" s="579">
        <f t="shared" si="34"/>
        <v>0</v>
      </c>
      <c r="U96" s="592">
        <f>71950+58500</f>
        <v>130450</v>
      </c>
      <c r="V96" s="592">
        <f>71950+58500</f>
        <v>130450</v>
      </c>
      <c r="W96" s="581" t="s">
        <v>662</v>
      </c>
      <c r="X96" s="556"/>
    </row>
    <row r="97" spans="1:24" ht="124.8">
      <c r="A97" s="646" t="s">
        <v>844</v>
      </c>
      <c r="B97" t="s">
        <v>852</v>
      </c>
      <c r="C97" s="576" t="s">
        <v>680</v>
      </c>
      <c r="D97" s="569" t="s">
        <v>680</v>
      </c>
      <c r="E97" s="619"/>
      <c r="F97" s="619"/>
      <c r="G97" s="619"/>
      <c r="H97" s="619"/>
      <c r="I97" s="619"/>
      <c r="J97" s="619"/>
      <c r="K97" s="619"/>
      <c r="L97" s="619"/>
      <c r="M97" s="619">
        <v>1</v>
      </c>
      <c r="N97" s="619"/>
      <c r="O97" s="619">
        <f t="shared" si="35"/>
        <v>1</v>
      </c>
      <c r="P97" s="582">
        <v>700000</v>
      </c>
      <c r="Q97" s="621">
        <f t="shared" ref="Q97:Q125" si="38">P97*O97</f>
        <v>700000</v>
      </c>
      <c r="R97" s="556">
        <f t="shared" si="33"/>
        <v>700000</v>
      </c>
      <c r="S97" s="669">
        <f>P97/83.42042542</f>
        <v>8391.2302829394994</v>
      </c>
      <c r="T97" s="579">
        <f>Q97/87</f>
        <v>8045.977011494253</v>
      </c>
      <c r="U97" s="579">
        <f>P97/83.42042542</f>
        <v>8391.2302829394994</v>
      </c>
      <c r="V97" s="580">
        <f>O97*U97</f>
        <v>8391.2302829394994</v>
      </c>
      <c r="W97" s="581" t="s">
        <v>662</v>
      </c>
      <c r="X97" s="556"/>
    </row>
    <row r="98" spans="1:24" ht="93.6">
      <c r="A98" s="646" t="s">
        <v>844</v>
      </c>
      <c r="B98" t="s">
        <v>852</v>
      </c>
      <c r="C98" s="576" t="s">
        <v>681</v>
      </c>
      <c r="D98" s="569" t="s">
        <v>681</v>
      </c>
      <c r="E98" s="619">
        <v>4</v>
      </c>
      <c r="F98" s="619">
        <v>2</v>
      </c>
      <c r="G98" s="619">
        <v>2</v>
      </c>
      <c r="H98" s="619"/>
      <c r="I98" s="619">
        <v>1</v>
      </c>
      <c r="J98" s="619"/>
      <c r="K98" s="619"/>
      <c r="L98" s="619"/>
      <c r="M98" s="619"/>
      <c r="N98" s="619">
        <v>1</v>
      </c>
      <c r="O98" s="619">
        <v>8</v>
      </c>
      <c r="P98" s="591">
        <v>155000</v>
      </c>
      <c r="Q98" s="621">
        <f t="shared" si="38"/>
        <v>1240000</v>
      </c>
      <c r="R98" s="556">
        <f t="shared" si="33"/>
        <v>1240000</v>
      </c>
      <c r="S98" s="669">
        <f>P98/83.42042542</f>
        <v>1858.0581340794606</v>
      </c>
      <c r="T98" s="579">
        <f t="shared" si="34"/>
        <v>14252.873563218391</v>
      </c>
      <c r="U98" s="579">
        <f>P98/83.42042542</f>
        <v>1858.0581340794606</v>
      </c>
      <c r="V98" s="580">
        <f>O98*U98</f>
        <v>14864.465072635685</v>
      </c>
      <c r="W98" s="581" t="s">
        <v>662</v>
      </c>
      <c r="X98" s="556"/>
    </row>
    <row r="99" spans="1:24" ht="69">
      <c r="A99" s="646" t="s">
        <v>844</v>
      </c>
      <c r="B99" t="s">
        <v>852</v>
      </c>
      <c r="C99" s="576" t="s">
        <v>682</v>
      </c>
      <c r="D99" s="569" t="s">
        <v>682</v>
      </c>
      <c r="E99" s="619"/>
      <c r="F99" s="619">
        <v>2</v>
      </c>
      <c r="G99" s="619"/>
      <c r="H99" s="619"/>
      <c r="I99" s="619"/>
      <c r="J99" s="619"/>
      <c r="K99" s="619"/>
      <c r="L99" s="619"/>
      <c r="M99" s="619">
        <v>2</v>
      </c>
      <c r="N99" s="619"/>
      <c r="O99" s="619">
        <f t="shared" si="35"/>
        <v>4</v>
      </c>
      <c r="P99" s="591">
        <v>150000</v>
      </c>
      <c r="Q99" s="621">
        <f t="shared" si="38"/>
        <v>600000</v>
      </c>
      <c r="R99" s="556">
        <f t="shared" si="33"/>
        <v>600000</v>
      </c>
      <c r="S99" s="669">
        <f>P99/83.42042542</f>
        <v>1798.1207749156069</v>
      </c>
      <c r="T99" s="579">
        <f t="shared" si="34"/>
        <v>6896.5517241379312</v>
      </c>
      <c r="U99" s="579">
        <f>P99/83.42042542</f>
        <v>1798.1207749156069</v>
      </c>
      <c r="V99" s="580">
        <f>O99*U99</f>
        <v>7192.4830996624278</v>
      </c>
      <c r="W99" s="581" t="s">
        <v>662</v>
      </c>
      <c r="X99" s="556"/>
    </row>
    <row r="100" spans="1:24" ht="100.8">
      <c r="A100" s="184" t="s">
        <v>856</v>
      </c>
      <c r="C100" s="670" t="s">
        <v>683</v>
      </c>
      <c r="D100" s="671" t="s">
        <v>683</v>
      </c>
      <c r="E100" s="672">
        <v>6</v>
      </c>
      <c r="F100" s="672"/>
      <c r="G100" s="672">
        <v>3</v>
      </c>
      <c r="H100" s="672"/>
      <c r="I100" s="672"/>
      <c r="J100" s="672"/>
      <c r="K100" s="672">
        <v>1</v>
      </c>
      <c r="L100" s="672">
        <v>1</v>
      </c>
      <c r="M100" s="672">
        <v>1</v>
      </c>
      <c r="N100" s="672">
        <v>1</v>
      </c>
      <c r="O100" s="672">
        <v>4</v>
      </c>
      <c r="P100" s="673">
        <v>120000</v>
      </c>
      <c r="Q100" s="679">
        <f t="shared" si="38"/>
        <v>480000</v>
      </c>
      <c r="R100" s="374">
        <f t="shared" si="33"/>
        <v>480000</v>
      </c>
      <c r="S100" s="674">
        <f t="shared" si="36"/>
        <v>0</v>
      </c>
      <c r="T100" s="675">
        <f t="shared" si="34"/>
        <v>5517.2413793103451</v>
      </c>
      <c r="U100" s="674">
        <f>150+1447</f>
        <v>1597</v>
      </c>
      <c r="V100" s="676">
        <f t="shared" ref="V100:V124" si="39">O100*U100</f>
        <v>6388</v>
      </c>
      <c r="W100" s="677" t="s">
        <v>684</v>
      </c>
      <c r="X100" s="556"/>
    </row>
    <row r="101" spans="1:24" ht="31.2">
      <c r="A101" s="184" t="s">
        <v>856</v>
      </c>
      <c r="C101" s="670" t="s">
        <v>685</v>
      </c>
      <c r="D101" s="671" t="s">
        <v>685</v>
      </c>
      <c r="E101" s="672"/>
      <c r="F101" s="672"/>
      <c r="G101" s="672"/>
      <c r="H101" s="672"/>
      <c r="I101" s="672"/>
      <c r="J101" s="672">
        <v>3</v>
      </c>
      <c r="K101" s="672">
        <v>2</v>
      </c>
      <c r="L101" s="672">
        <v>2</v>
      </c>
      <c r="M101" s="672">
        <v>4</v>
      </c>
      <c r="N101" s="672"/>
      <c r="O101" s="672">
        <f t="shared" si="35"/>
        <v>11</v>
      </c>
      <c r="P101" s="673">
        <v>50000</v>
      </c>
      <c r="Q101" s="679">
        <f t="shared" si="38"/>
        <v>550000</v>
      </c>
      <c r="R101" s="374">
        <f t="shared" si="33"/>
        <v>550000</v>
      </c>
      <c r="S101" s="674">
        <f t="shared" si="36"/>
        <v>0</v>
      </c>
      <c r="T101" s="675">
        <f t="shared" si="34"/>
        <v>6321.8390804597702</v>
      </c>
      <c r="U101" s="675">
        <f>P101/83.42042542</f>
        <v>599.37359163853569</v>
      </c>
      <c r="V101" s="676">
        <f t="shared" si="39"/>
        <v>6593.1095080238929</v>
      </c>
      <c r="W101" s="677" t="s">
        <v>662</v>
      </c>
      <c r="X101" s="556"/>
    </row>
    <row r="102" spans="1:24" ht="31.2">
      <c r="A102" s="184" t="s">
        <v>856</v>
      </c>
      <c r="C102" s="670" t="s">
        <v>686</v>
      </c>
      <c r="D102" s="671" t="s">
        <v>686</v>
      </c>
      <c r="E102" s="672"/>
      <c r="F102" s="672"/>
      <c r="G102" s="672"/>
      <c r="H102" s="672"/>
      <c r="I102" s="672"/>
      <c r="J102" s="672">
        <v>4</v>
      </c>
      <c r="K102" s="672">
        <v>4</v>
      </c>
      <c r="L102" s="672">
        <v>6</v>
      </c>
      <c r="M102" s="672">
        <v>6</v>
      </c>
      <c r="N102" s="672"/>
      <c r="O102" s="672">
        <f t="shared" si="35"/>
        <v>20</v>
      </c>
      <c r="P102" s="673">
        <v>8000</v>
      </c>
      <c r="Q102" s="679">
        <f t="shared" si="38"/>
        <v>160000</v>
      </c>
      <c r="R102" s="374">
        <f t="shared" si="33"/>
        <v>160000</v>
      </c>
      <c r="S102" s="674">
        <f t="shared" si="36"/>
        <v>0</v>
      </c>
      <c r="T102" s="675">
        <f t="shared" si="34"/>
        <v>1839.0804597701149</v>
      </c>
      <c r="U102" s="675">
        <f>P102/83.42042542</f>
        <v>95.899774662165711</v>
      </c>
      <c r="V102" s="676">
        <f t="shared" si="39"/>
        <v>1917.9954932433143</v>
      </c>
      <c r="W102" s="677" t="s">
        <v>662</v>
      </c>
      <c r="X102" s="556"/>
    </row>
    <row r="103" spans="1:24" ht="72">
      <c r="A103" s="184" t="s">
        <v>856</v>
      </c>
      <c r="C103" s="670" t="s">
        <v>826</v>
      </c>
      <c r="D103" s="680" t="s">
        <v>826</v>
      </c>
      <c r="E103" s="674"/>
      <c r="F103" s="674"/>
      <c r="G103" s="674">
        <v>6</v>
      </c>
      <c r="H103" s="674"/>
      <c r="I103" s="674"/>
      <c r="J103" s="674"/>
      <c r="K103" s="674"/>
      <c r="L103" s="674"/>
      <c r="M103" s="674"/>
      <c r="N103" s="674"/>
      <c r="O103" s="672">
        <v>3</v>
      </c>
      <c r="P103" s="681">
        <v>158000</v>
      </c>
      <c r="Q103" s="679">
        <f t="shared" si="38"/>
        <v>474000</v>
      </c>
      <c r="R103" s="374">
        <f t="shared" si="33"/>
        <v>474000</v>
      </c>
      <c r="S103" s="674">
        <f t="shared" si="36"/>
        <v>0</v>
      </c>
      <c r="T103" s="675">
        <f t="shared" si="34"/>
        <v>5448.2758620689656</v>
      </c>
      <c r="U103" s="674">
        <v>1739</v>
      </c>
      <c r="V103" s="676">
        <f t="shared" si="39"/>
        <v>5217</v>
      </c>
      <c r="W103" s="677" t="s">
        <v>687</v>
      </c>
      <c r="X103" s="556"/>
    </row>
    <row r="104" spans="1:24" ht="86.4">
      <c r="A104" s="184" t="s">
        <v>856</v>
      </c>
      <c r="C104" s="670" t="s">
        <v>688</v>
      </c>
      <c r="D104" s="671" t="s">
        <v>688</v>
      </c>
      <c r="E104" s="672"/>
      <c r="F104" s="672"/>
      <c r="G104" s="672"/>
      <c r="H104" s="672"/>
      <c r="I104" s="672"/>
      <c r="J104" s="672"/>
      <c r="K104" s="672">
        <v>2</v>
      </c>
      <c r="L104" s="672">
        <v>1</v>
      </c>
      <c r="M104" s="672">
        <v>2</v>
      </c>
      <c r="N104" s="672"/>
      <c r="O104" s="672">
        <f t="shared" si="35"/>
        <v>5</v>
      </c>
      <c r="P104" s="682">
        <v>30000</v>
      </c>
      <c r="Q104" s="679">
        <f t="shared" si="38"/>
        <v>150000</v>
      </c>
      <c r="R104" s="374">
        <f t="shared" si="33"/>
        <v>150000</v>
      </c>
      <c r="S104" s="674">
        <f t="shared" si="36"/>
        <v>0</v>
      </c>
      <c r="T104" s="675">
        <f t="shared" si="34"/>
        <v>1724.1379310344828</v>
      </c>
      <c r="U104" s="674">
        <v>350.77600000000001</v>
      </c>
      <c r="V104" s="676">
        <f t="shared" si="39"/>
        <v>1753.88</v>
      </c>
      <c r="W104" s="677" t="s">
        <v>689</v>
      </c>
      <c r="X104" s="556"/>
    </row>
    <row r="105" spans="1:24" ht="43.2">
      <c r="A105" s="184" t="s">
        <v>856</v>
      </c>
      <c r="C105" s="670" t="s">
        <v>690</v>
      </c>
      <c r="D105" s="671" t="s">
        <v>690</v>
      </c>
      <c r="E105" s="672"/>
      <c r="F105" s="672"/>
      <c r="G105" s="672">
        <v>1</v>
      </c>
      <c r="H105" s="672"/>
      <c r="I105" s="672"/>
      <c r="J105" s="672"/>
      <c r="K105" s="672">
        <v>1</v>
      </c>
      <c r="L105" s="672"/>
      <c r="M105" s="672">
        <v>1</v>
      </c>
      <c r="N105" s="672"/>
      <c r="O105" s="672">
        <f t="shared" si="35"/>
        <v>3</v>
      </c>
      <c r="P105" s="682">
        <v>65000</v>
      </c>
      <c r="Q105" s="679">
        <f t="shared" si="38"/>
        <v>195000</v>
      </c>
      <c r="R105" s="374">
        <f t="shared" si="33"/>
        <v>195000</v>
      </c>
      <c r="S105" s="674">
        <f t="shared" si="36"/>
        <v>0</v>
      </c>
      <c r="T105" s="675">
        <f t="shared" si="34"/>
        <v>2241.3793103448274</v>
      </c>
      <c r="U105" s="674">
        <v>1446</v>
      </c>
      <c r="V105" s="676">
        <f t="shared" si="39"/>
        <v>4338</v>
      </c>
      <c r="W105" s="677" t="s">
        <v>691</v>
      </c>
      <c r="X105" s="556"/>
    </row>
    <row r="106" spans="1:24" ht="46.8">
      <c r="A106" s="646" t="s">
        <v>844</v>
      </c>
      <c r="B106" t="s">
        <v>852</v>
      </c>
      <c r="C106" s="576" t="s">
        <v>692</v>
      </c>
      <c r="D106" s="569" t="s">
        <v>692</v>
      </c>
      <c r="E106" s="619"/>
      <c r="F106" s="619"/>
      <c r="G106" s="619"/>
      <c r="H106" s="619">
        <v>1</v>
      </c>
      <c r="I106" s="619"/>
      <c r="J106" s="619">
        <v>3</v>
      </c>
      <c r="K106" s="619"/>
      <c r="L106" s="619"/>
      <c r="M106" s="619"/>
      <c r="N106" s="619">
        <v>2</v>
      </c>
      <c r="O106" s="619">
        <v>8</v>
      </c>
      <c r="P106" s="620">
        <v>25000</v>
      </c>
      <c r="Q106" s="621">
        <f t="shared" si="38"/>
        <v>200000</v>
      </c>
      <c r="R106" s="556">
        <f t="shared" si="33"/>
        <v>200000</v>
      </c>
      <c r="S106" s="578">
        <v>0</v>
      </c>
      <c r="T106" s="579">
        <f t="shared" si="34"/>
        <v>2298.8505747126437</v>
      </c>
      <c r="U106" s="578">
        <v>162.1</v>
      </c>
      <c r="V106" s="592">
        <f t="shared" si="39"/>
        <v>1296.8</v>
      </c>
      <c r="W106" s="581" t="s">
        <v>662</v>
      </c>
      <c r="X106" s="556"/>
    </row>
    <row r="107" spans="1:24" ht="46.8">
      <c r="A107" s="646" t="s">
        <v>844</v>
      </c>
      <c r="B107" t="s">
        <v>852</v>
      </c>
      <c r="C107" s="576" t="s">
        <v>693</v>
      </c>
      <c r="D107" s="569" t="s">
        <v>693</v>
      </c>
      <c r="E107" s="619"/>
      <c r="F107" s="619"/>
      <c r="G107" s="619"/>
      <c r="H107" s="619"/>
      <c r="I107" s="619"/>
      <c r="J107" s="619"/>
      <c r="K107" s="619"/>
      <c r="L107" s="619"/>
      <c r="M107" s="619"/>
      <c r="N107" s="619">
        <v>2</v>
      </c>
      <c r="O107" s="619">
        <v>4</v>
      </c>
      <c r="P107" s="620">
        <v>25000</v>
      </c>
      <c r="Q107" s="621">
        <f t="shared" si="38"/>
        <v>100000</v>
      </c>
      <c r="R107" s="556">
        <f t="shared" si="33"/>
        <v>100000</v>
      </c>
      <c r="S107" s="578">
        <v>0</v>
      </c>
      <c r="T107" s="579">
        <f t="shared" si="34"/>
        <v>1149.4252873563219</v>
      </c>
      <c r="U107" s="578">
        <v>109.9</v>
      </c>
      <c r="V107" s="592">
        <f t="shared" si="39"/>
        <v>439.6</v>
      </c>
      <c r="W107" s="581" t="s">
        <v>662</v>
      </c>
      <c r="X107" s="556"/>
    </row>
    <row r="108" spans="1:24" ht="46.8">
      <c r="A108" s="646" t="s">
        <v>844</v>
      </c>
      <c r="B108" t="s">
        <v>852</v>
      </c>
      <c r="C108" s="576" t="s">
        <v>694</v>
      </c>
      <c r="D108" s="569" t="s">
        <v>694</v>
      </c>
      <c r="E108" s="619"/>
      <c r="F108" s="619"/>
      <c r="G108" s="619"/>
      <c r="H108" s="619">
        <v>1</v>
      </c>
      <c r="I108" s="619"/>
      <c r="J108" s="619">
        <v>2</v>
      </c>
      <c r="K108" s="619"/>
      <c r="L108" s="619"/>
      <c r="M108" s="619"/>
      <c r="N108" s="619"/>
      <c r="O108" s="619">
        <v>7</v>
      </c>
      <c r="P108" s="620">
        <v>8000</v>
      </c>
      <c r="Q108" s="621">
        <f t="shared" si="38"/>
        <v>56000</v>
      </c>
      <c r="R108" s="556">
        <f t="shared" si="33"/>
        <v>56000</v>
      </c>
      <c r="S108" s="578">
        <v>0</v>
      </c>
      <c r="T108" s="579">
        <f t="shared" si="34"/>
        <v>643.67816091954023</v>
      </c>
      <c r="U108" s="578">
        <v>88.4</v>
      </c>
      <c r="V108" s="592">
        <f t="shared" si="39"/>
        <v>618.80000000000007</v>
      </c>
      <c r="W108" s="581" t="s">
        <v>662</v>
      </c>
      <c r="X108" s="556"/>
    </row>
    <row r="109" spans="1:24" ht="46.8">
      <c r="A109" s="646" t="s">
        <v>844</v>
      </c>
      <c r="B109" t="s">
        <v>852</v>
      </c>
      <c r="C109" s="576" t="s">
        <v>695</v>
      </c>
      <c r="D109" s="569" t="s">
        <v>695</v>
      </c>
      <c r="E109" s="619"/>
      <c r="F109" s="619"/>
      <c r="G109" s="619"/>
      <c r="H109" s="619">
        <v>1</v>
      </c>
      <c r="I109" s="619"/>
      <c r="J109" s="619">
        <v>3</v>
      </c>
      <c r="K109" s="619"/>
      <c r="L109" s="619"/>
      <c r="M109" s="619"/>
      <c r="N109" s="619"/>
      <c r="O109" s="619">
        <v>11</v>
      </c>
      <c r="P109" s="620">
        <v>8000</v>
      </c>
      <c r="Q109" s="621">
        <f t="shared" si="38"/>
        <v>88000</v>
      </c>
      <c r="R109" s="556">
        <f t="shared" si="33"/>
        <v>88000</v>
      </c>
      <c r="S109" s="578">
        <v>0</v>
      </c>
      <c r="T109" s="579">
        <f t="shared" si="34"/>
        <v>1011.4942528735633</v>
      </c>
      <c r="U109" s="578">
        <v>110.2</v>
      </c>
      <c r="V109" s="592">
        <f t="shared" si="39"/>
        <v>1212.2</v>
      </c>
      <c r="W109" s="581" t="s">
        <v>662</v>
      </c>
      <c r="X109" s="556"/>
    </row>
    <row r="110" spans="1:24" ht="46.8">
      <c r="A110" s="646" t="s">
        <v>844</v>
      </c>
      <c r="B110" t="s">
        <v>852</v>
      </c>
      <c r="C110" s="576" t="s">
        <v>696</v>
      </c>
      <c r="D110" s="569" t="s">
        <v>696</v>
      </c>
      <c r="E110" s="619"/>
      <c r="F110" s="619"/>
      <c r="G110" s="619"/>
      <c r="H110" s="619"/>
      <c r="I110" s="619"/>
      <c r="J110" s="619">
        <v>2</v>
      </c>
      <c r="K110" s="619"/>
      <c r="L110" s="619"/>
      <c r="M110" s="619"/>
      <c r="N110" s="619"/>
      <c r="O110" s="619">
        <f t="shared" si="35"/>
        <v>2</v>
      </c>
      <c r="P110" s="620">
        <v>8000</v>
      </c>
      <c r="Q110" s="621">
        <f t="shared" si="38"/>
        <v>16000</v>
      </c>
      <c r="R110" s="556">
        <f t="shared" si="33"/>
        <v>16000</v>
      </c>
      <c r="S110" s="578">
        <v>0</v>
      </c>
      <c r="T110" s="579">
        <f t="shared" si="34"/>
        <v>183.90804597701148</v>
      </c>
      <c r="U110" s="578">
        <v>108.1</v>
      </c>
      <c r="V110" s="592">
        <f t="shared" si="39"/>
        <v>216.2</v>
      </c>
      <c r="W110" s="581" t="s">
        <v>662</v>
      </c>
      <c r="X110" s="556"/>
    </row>
    <row r="111" spans="1:24" ht="69">
      <c r="A111" s="646" t="s">
        <v>844</v>
      </c>
      <c r="B111" t="s">
        <v>852</v>
      </c>
      <c r="C111" s="576" t="s">
        <v>828</v>
      </c>
      <c r="D111" s="569" t="s">
        <v>828</v>
      </c>
      <c r="E111" s="619">
        <v>2</v>
      </c>
      <c r="F111" s="619"/>
      <c r="G111" s="619"/>
      <c r="H111" s="619"/>
      <c r="I111" s="619"/>
      <c r="J111" s="619"/>
      <c r="K111" s="619"/>
      <c r="L111" s="619"/>
      <c r="M111" s="619"/>
      <c r="N111" s="619"/>
      <c r="O111" s="619">
        <f t="shared" si="35"/>
        <v>2</v>
      </c>
      <c r="P111" s="620">
        <v>20000</v>
      </c>
      <c r="Q111" s="621">
        <f t="shared" si="38"/>
        <v>40000</v>
      </c>
      <c r="R111" s="556">
        <f t="shared" si="33"/>
        <v>40000</v>
      </c>
      <c r="S111" s="669">
        <f>P111/83.42042542</f>
        <v>239.74943665541426</v>
      </c>
      <c r="T111" s="579"/>
      <c r="U111" s="578"/>
      <c r="V111" s="580">
        <f>S111*2</f>
        <v>479.49887331082851</v>
      </c>
      <c r="W111" s="581" t="s">
        <v>662</v>
      </c>
      <c r="X111" s="556"/>
    </row>
    <row r="112" spans="1:24" ht="31.2">
      <c r="A112" s="184" t="s">
        <v>856</v>
      </c>
      <c r="C112" s="670" t="s">
        <v>697</v>
      </c>
      <c r="D112" s="671" t="s">
        <v>697</v>
      </c>
      <c r="E112" s="672">
        <v>1</v>
      </c>
      <c r="F112" s="672"/>
      <c r="G112" s="672">
        <v>2</v>
      </c>
      <c r="H112" s="672"/>
      <c r="I112" s="672"/>
      <c r="J112" s="672"/>
      <c r="K112" s="672">
        <v>1</v>
      </c>
      <c r="L112" s="672"/>
      <c r="M112" s="672"/>
      <c r="N112" s="672"/>
      <c r="O112" s="672">
        <f t="shared" si="35"/>
        <v>4</v>
      </c>
      <c r="P112" s="678">
        <v>50000</v>
      </c>
      <c r="Q112" s="679">
        <f t="shared" si="38"/>
        <v>200000</v>
      </c>
      <c r="R112" s="374">
        <f t="shared" si="33"/>
        <v>200000</v>
      </c>
      <c r="S112" s="674">
        <f t="shared" si="36"/>
        <v>0</v>
      </c>
      <c r="T112" s="675">
        <f t="shared" si="34"/>
        <v>2298.8505747126437</v>
      </c>
      <c r="U112" s="674">
        <v>488.1</v>
      </c>
      <c r="V112" s="676">
        <f t="shared" si="39"/>
        <v>1952.4</v>
      </c>
      <c r="W112" s="677" t="s">
        <v>698</v>
      </c>
      <c r="X112" s="556"/>
    </row>
    <row r="113" spans="1:24" ht="158.4">
      <c r="A113" s="184" t="s">
        <v>856</v>
      </c>
      <c r="C113" s="670" t="s">
        <v>699</v>
      </c>
      <c r="D113" s="671" t="s">
        <v>699</v>
      </c>
      <c r="E113" s="672"/>
      <c r="F113" s="672"/>
      <c r="G113" s="672"/>
      <c r="H113" s="672"/>
      <c r="I113" s="672"/>
      <c r="J113" s="672"/>
      <c r="K113" s="672">
        <v>1</v>
      </c>
      <c r="L113" s="672"/>
      <c r="M113" s="672"/>
      <c r="N113" s="672"/>
      <c r="O113" s="672">
        <f t="shared" si="35"/>
        <v>1</v>
      </c>
      <c r="P113" s="673">
        <v>20000</v>
      </c>
      <c r="Q113" s="679">
        <f t="shared" si="38"/>
        <v>20000</v>
      </c>
      <c r="R113" s="374">
        <f t="shared" si="33"/>
        <v>20000</v>
      </c>
      <c r="S113" s="674">
        <f t="shared" si="36"/>
        <v>0</v>
      </c>
      <c r="T113" s="675">
        <f t="shared" si="34"/>
        <v>229.88505747126436</v>
      </c>
      <c r="U113" s="675">
        <f>13921/83.42042542</f>
        <v>166.8775953840011</v>
      </c>
      <c r="V113" s="685">
        <f t="shared" si="39"/>
        <v>166.8775953840011</v>
      </c>
      <c r="W113" s="686" t="s">
        <v>700</v>
      </c>
      <c r="X113" s="556"/>
    </row>
    <row r="114" spans="1:24" ht="72">
      <c r="A114" s="184" t="s">
        <v>856</v>
      </c>
      <c r="C114" s="670" t="s">
        <v>701</v>
      </c>
      <c r="D114" s="671" t="s">
        <v>701</v>
      </c>
      <c r="E114" s="672"/>
      <c r="F114" s="672"/>
      <c r="G114" s="672">
        <v>10</v>
      </c>
      <c r="H114" s="672"/>
      <c r="I114" s="672"/>
      <c r="J114" s="672"/>
      <c r="K114" s="672"/>
      <c r="L114" s="672"/>
      <c r="M114" s="672"/>
      <c r="N114" s="672">
        <v>1</v>
      </c>
      <c r="O114" s="672">
        <v>6</v>
      </c>
      <c r="P114" s="673">
        <v>15000</v>
      </c>
      <c r="Q114" s="679">
        <f t="shared" si="38"/>
        <v>90000</v>
      </c>
      <c r="R114" s="374">
        <f>O114*P114</f>
        <v>90000</v>
      </c>
      <c r="S114" s="674">
        <f t="shared" si="36"/>
        <v>0</v>
      </c>
      <c r="T114" s="675">
        <f t="shared" si="34"/>
        <v>1034.4827586206898</v>
      </c>
      <c r="U114" s="674">
        <v>98</v>
      </c>
      <c r="V114" s="685">
        <f t="shared" si="39"/>
        <v>588</v>
      </c>
      <c r="W114" s="686" t="s">
        <v>702</v>
      </c>
      <c r="X114" s="556"/>
    </row>
    <row r="115" spans="1:24" ht="62.4">
      <c r="A115" s="646" t="s">
        <v>844</v>
      </c>
      <c r="B115" t="s">
        <v>853</v>
      </c>
      <c r="C115" s="576" t="s">
        <v>703</v>
      </c>
      <c r="D115" s="569" t="s">
        <v>703</v>
      </c>
      <c r="E115" s="619">
        <v>16</v>
      </c>
      <c r="F115" s="619"/>
      <c r="G115" s="619">
        <v>10</v>
      </c>
      <c r="H115" s="619"/>
      <c r="I115" s="619"/>
      <c r="J115" s="619"/>
      <c r="K115" s="619"/>
      <c r="L115" s="619"/>
      <c r="M115" s="619"/>
      <c r="N115" s="619">
        <v>8</v>
      </c>
      <c r="O115" s="619">
        <f t="shared" si="35"/>
        <v>34</v>
      </c>
      <c r="P115" s="620">
        <v>3000</v>
      </c>
      <c r="Q115" s="621">
        <f t="shared" si="38"/>
        <v>102000</v>
      </c>
      <c r="R115" s="556">
        <f t="shared" si="33"/>
        <v>102000</v>
      </c>
      <c r="S115" s="578">
        <f t="shared" si="36"/>
        <v>0</v>
      </c>
      <c r="T115" s="579">
        <f t="shared" si="34"/>
        <v>1172.4137931034484</v>
      </c>
      <c r="U115" s="578">
        <v>50</v>
      </c>
      <c r="V115" s="580">
        <f>O115*U115</f>
        <v>1700</v>
      </c>
      <c r="W115" s="581" t="s">
        <v>662</v>
      </c>
      <c r="X115" s="556"/>
    </row>
    <row r="116" spans="1:24" ht="43.2">
      <c r="A116" s="184" t="s">
        <v>856</v>
      </c>
      <c r="C116" s="670" t="s">
        <v>704</v>
      </c>
      <c r="D116" s="671" t="s">
        <v>704</v>
      </c>
      <c r="E116" s="672">
        <v>3</v>
      </c>
      <c r="F116" s="672"/>
      <c r="G116" s="672"/>
      <c r="H116" s="672"/>
      <c r="I116" s="672"/>
      <c r="J116" s="672"/>
      <c r="K116" s="672"/>
      <c r="L116" s="672"/>
      <c r="M116" s="672"/>
      <c r="N116" s="672"/>
      <c r="O116" s="672">
        <f t="shared" si="35"/>
        <v>3</v>
      </c>
      <c r="P116" s="673">
        <v>50000</v>
      </c>
      <c r="Q116" s="679">
        <f t="shared" si="38"/>
        <v>150000</v>
      </c>
      <c r="R116" s="374">
        <f t="shared" si="33"/>
        <v>150000</v>
      </c>
      <c r="S116" s="674">
        <f t="shared" si="36"/>
        <v>0</v>
      </c>
      <c r="T116" s="675">
        <f t="shared" si="34"/>
        <v>1724.1379310344828</v>
      </c>
      <c r="U116" s="674">
        <v>425</v>
      </c>
      <c r="V116" s="685">
        <f t="shared" si="39"/>
        <v>1275</v>
      </c>
      <c r="W116" s="677" t="s">
        <v>691</v>
      </c>
      <c r="X116" s="556"/>
    </row>
    <row r="117" spans="1:24" ht="46.8">
      <c r="A117" s="683"/>
      <c r="B117" s="664"/>
      <c r="C117" s="569" t="s">
        <v>705</v>
      </c>
      <c r="D117" s="569" t="s">
        <v>705</v>
      </c>
      <c r="E117" s="619">
        <v>2</v>
      </c>
      <c r="F117" s="619"/>
      <c r="G117" s="619"/>
      <c r="H117" s="619"/>
      <c r="I117" s="619"/>
      <c r="J117" s="619"/>
      <c r="K117" s="619"/>
      <c r="L117" s="619"/>
      <c r="M117" s="619"/>
      <c r="N117" s="619"/>
      <c r="O117" s="619">
        <v>0</v>
      </c>
      <c r="P117" s="620">
        <v>0</v>
      </c>
      <c r="Q117" s="621">
        <f t="shared" si="38"/>
        <v>0</v>
      </c>
      <c r="R117" s="556">
        <f t="shared" si="33"/>
        <v>0</v>
      </c>
      <c r="S117" s="578">
        <f t="shared" si="36"/>
        <v>0</v>
      </c>
      <c r="T117" s="579">
        <f t="shared" si="34"/>
        <v>0</v>
      </c>
      <c r="U117" s="578">
        <v>41</v>
      </c>
      <c r="V117" s="580">
        <f t="shared" si="39"/>
        <v>0</v>
      </c>
      <c r="W117" s="581" t="s">
        <v>706</v>
      </c>
      <c r="X117" s="556"/>
    </row>
    <row r="118" spans="1:24" ht="86.4">
      <c r="A118" s="683"/>
      <c r="B118" s="664"/>
      <c r="C118" s="569" t="s">
        <v>707</v>
      </c>
      <c r="D118" s="569" t="s">
        <v>707</v>
      </c>
      <c r="E118" s="569"/>
      <c r="F118" s="569"/>
      <c r="G118" s="569">
        <v>4</v>
      </c>
      <c r="H118" s="569"/>
      <c r="I118" s="569"/>
      <c r="J118" s="569"/>
      <c r="K118" s="569"/>
      <c r="L118" s="569"/>
      <c r="M118" s="569"/>
      <c r="N118" s="569"/>
      <c r="O118" s="619">
        <v>0</v>
      </c>
      <c r="P118" s="595">
        <v>30000</v>
      </c>
      <c r="Q118" s="621">
        <f t="shared" si="38"/>
        <v>0</v>
      </c>
      <c r="R118" s="556">
        <f t="shared" si="33"/>
        <v>0</v>
      </c>
      <c r="S118" s="578">
        <f t="shared" si="36"/>
        <v>0</v>
      </c>
      <c r="T118" s="579">
        <f t="shared" si="34"/>
        <v>0</v>
      </c>
      <c r="U118" s="578">
        <v>350.77600000000001</v>
      </c>
      <c r="V118" s="580">
        <f t="shared" si="39"/>
        <v>0</v>
      </c>
      <c r="W118" s="581" t="s">
        <v>689</v>
      </c>
      <c r="X118" s="556"/>
    </row>
    <row r="119" spans="1:24" ht="78">
      <c r="A119" s="646" t="s">
        <v>844</v>
      </c>
      <c r="B119" s="668" t="s">
        <v>852</v>
      </c>
      <c r="C119" s="569" t="s">
        <v>810</v>
      </c>
      <c r="D119" s="596" t="s">
        <v>810</v>
      </c>
      <c r="E119" s="569"/>
      <c r="F119" s="569"/>
      <c r="G119" s="569">
        <v>10</v>
      </c>
      <c r="H119" s="569"/>
      <c r="I119" s="569"/>
      <c r="J119" s="569"/>
      <c r="K119" s="569"/>
      <c r="L119" s="569"/>
      <c r="M119" s="569"/>
      <c r="N119" s="569"/>
      <c r="O119" s="619">
        <v>5</v>
      </c>
      <c r="P119" s="595">
        <v>8000</v>
      </c>
      <c r="Q119" s="621">
        <f t="shared" si="38"/>
        <v>40000</v>
      </c>
      <c r="R119" s="556">
        <f t="shared" si="33"/>
        <v>40000</v>
      </c>
      <c r="S119" s="578">
        <f t="shared" si="36"/>
        <v>0</v>
      </c>
      <c r="T119" s="579">
        <f t="shared" si="34"/>
        <v>459.77011494252872</v>
      </c>
      <c r="U119" s="578">
        <v>291.60000000000002</v>
      </c>
      <c r="V119" s="580">
        <f t="shared" si="39"/>
        <v>1458</v>
      </c>
      <c r="W119" s="581" t="s">
        <v>662</v>
      </c>
      <c r="X119" s="556"/>
    </row>
    <row r="120" spans="1:24" ht="46.8">
      <c r="A120" s="646" t="s">
        <v>844</v>
      </c>
      <c r="B120" s="668" t="s">
        <v>852</v>
      </c>
      <c r="C120" s="569" t="s">
        <v>708</v>
      </c>
      <c r="D120" s="569" t="s">
        <v>708</v>
      </c>
      <c r="E120" s="569"/>
      <c r="F120" s="569"/>
      <c r="G120" s="569">
        <v>1</v>
      </c>
      <c r="H120" s="569"/>
      <c r="I120" s="569"/>
      <c r="J120" s="569"/>
      <c r="K120" s="569"/>
      <c r="L120" s="569"/>
      <c r="M120" s="569"/>
      <c r="N120" s="569"/>
      <c r="O120" s="619">
        <v>2</v>
      </c>
      <c r="P120" s="595">
        <v>715000</v>
      </c>
      <c r="Q120" s="621">
        <f t="shared" si="38"/>
        <v>1430000</v>
      </c>
      <c r="R120" s="556">
        <f t="shared" si="33"/>
        <v>1430000</v>
      </c>
      <c r="S120" s="578">
        <f t="shared" si="36"/>
        <v>0</v>
      </c>
      <c r="T120" s="579">
        <f t="shared" si="34"/>
        <v>16436.781609195401</v>
      </c>
      <c r="U120" s="578">
        <v>7750</v>
      </c>
      <c r="V120" s="580">
        <f t="shared" si="39"/>
        <v>15500</v>
      </c>
      <c r="W120" s="581" t="s">
        <v>662</v>
      </c>
      <c r="X120" s="556"/>
    </row>
    <row r="121" spans="1:24" ht="43.2">
      <c r="A121" s="184" t="s">
        <v>856</v>
      </c>
      <c r="C121" s="671" t="s">
        <v>709</v>
      </c>
      <c r="D121" s="671" t="s">
        <v>709</v>
      </c>
      <c r="E121" s="671"/>
      <c r="F121" s="671"/>
      <c r="G121" s="671">
        <v>2</v>
      </c>
      <c r="H121" s="671"/>
      <c r="I121" s="671"/>
      <c r="J121" s="671"/>
      <c r="K121" s="671"/>
      <c r="L121" s="671"/>
      <c r="M121" s="671"/>
      <c r="N121" s="671"/>
      <c r="O121" s="672">
        <f t="shared" si="35"/>
        <v>2</v>
      </c>
      <c r="P121" s="684">
        <v>700000</v>
      </c>
      <c r="Q121" s="679">
        <f t="shared" si="38"/>
        <v>1400000</v>
      </c>
      <c r="R121" s="374">
        <f t="shared" si="33"/>
        <v>1400000</v>
      </c>
      <c r="S121" s="674">
        <f t="shared" si="36"/>
        <v>0</v>
      </c>
      <c r="T121" s="675">
        <f t="shared" si="34"/>
        <v>16091.954022988506</v>
      </c>
      <c r="U121" s="674">
        <v>5298</v>
      </c>
      <c r="V121" s="685">
        <f t="shared" si="39"/>
        <v>10596</v>
      </c>
      <c r="W121" s="677" t="s">
        <v>710</v>
      </c>
      <c r="X121" s="556"/>
    </row>
    <row r="122" spans="1:24" ht="62.4">
      <c r="A122" s="683"/>
      <c r="B122" s="664"/>
      <c r="C122" s="569" t="s">
        <v>711</v>
      </c>
      <c r="D122" s="569" t="s">
        <v>711</v>
      </c>
      <c r="E122" s="569"/>
      <c r="F122" s="569"/>
      <c r="G122" s="569">
        <v>1</v>
      </c>
      <c r="H122" s="569"/>
      <c r="I122" s="569"/>
      <c r="J122" s="569"/>
      <c r="K122" s="569"/>
      <c r="L122" s="569"/>
      <c r="M122" s="569"/>
      <c r="N122" s="569"/>
      <c r="O122" s="619">
        <v>0</v>
      </c>
      <c r="P122" s="595">
        <v>60000</v>
      </c>
      <c r="Q122" s="621">
        <f t="shared" si="38"/>
        <v>0</v>
      </c>
      <c r="R122" s="556">
        <f t="shared" si="33"/>
        <v>0</v>
      </c>
      <c r="S122" s="578">
        <f t="shared" si="36"/>
        <v>0</v>
      </c>
      <c r="T122" s="579">
        <f t="shared" si="34"/>
        <v>0</v>
      </c>
      <c r="U122" s="579">
        <f>R122/83.42042542</f>
        <v>0</v>
      </c>
      <c r="V122" s="580">
        <f t="shared" si="39"/>
        <v>0</v>
      </c>
      <c r="W122" s="581" t="s">
        <v>712</v>
      </c>
      <c r="X122" s="556"/>
    </row>
    <row r="123" spans="1:24" ht="46.8">
      <c r="A123" s="683"/>
      <c r="B123" s="664"/>
      <c r="C123" s="569" t="s">
        <v>713</v>
      </c>
      <c r="D123" s="569" t="s">
        <v>713</v>
      </c>
      <c r="E123" s="569"/>
      <c r="F123" s="569"/>
      <c r="G123" s="569">
        <v>2</v>
      </c>
      <c r="H123" s="569"/>
      <c r="I123" s="569"/>
      <c r="J123" s="569"/>
      <c r="K123" s="569"/>
      <c r="L123" s="569"/>
      <c r="M123" s="569"/>
      <c r="N123" s="569"/>
      <c r="O123" s="619">
        <v>0</v>
      </c>
      <c r="P123" s="595">
        <v>20000</v>
      </c>
      <c r="Q123" s="621">
        <f t="shared" si="38"/>
        <v>0</v>
      </c>
      <c r="R123" s="556">
        <f t="shared" si="33"/>
        <v>0</v>
      </c>
      <c r="S123" s="578">
        <f t="shared" si="36"/>
        <v>0</v>
      </c>
      <c r="T123" s="579">
        <f t="shared" si="34"/>
        <v>0</v>
      </c>
      <c r="U123" s="579">
        <f>R123/83.42042542</f>
        <v>0</v>
      </c>
      <c r="V123" s="580">
        <f t="shared" si="39"/>
        <v>0</v>
      </c>
      <c r="W123" s="581" t="s">
        <v>712</v>
      </c>
      <c r="X123" s="556"/>
    </row>
    <row r="124" spans="1:24" ht="78">
      <c r="A124" s="184" t="s">
        <v>856</v>
      </c>
      <c r="B124" s="30"/>
      <c r="C124" s="671" t="s">
        <v>829</v>
      </c>
      <c r="D124" s="671" t="s">
        <v>829</v>
      </c>
      <c r="E124" s="672">
        <v>2</v>
      </c>
      <c r="F124" s="671"/>
      <c r="G124" s="671"/>
      <c r="H124" s="671"/>
      <c r="I124" s="671"/>
      <c r="J124" s="671"/>
      <c r="K124" s="671"/>
      <c r="L124" s="671"/>
      <c r="M124" s="671"/>
      <c r="N124" s="671"/>
      <c r="O124" s="672">
        <f t="shared" si="35"/>
        <v>2</v>
      </c>
      <c r="P124" s="684">
        <v>20000</v>
      </c>
      <c r="Q124" s="679">
        <f t="shared" si="38"/>
        <v>40000</v>
      </c>
      <c r="R124" s="374">
        <f t="shared" si="33"/>
        <v>40000</v>
      </c>
      <c r="S124" s="674">
        <f t="shared" si="36"/>
        <v>0</v>
      </c>
      <c r="T124" s="675">
        <f t="shared" si="34"/>
        <v>459.77011494252872</v>
      </c>
      <c r="U124" s="675">
        <f>R124/83.42042542</f>
        <v>479.49887331082851</v>
      </c>
      <c r="V124" s="685">
        <f t="shared" si="39"/>
        <v>958.99774662165703</v>
      </c>
      <c r="W124" s="677" t="s">
        <v>712</v>
      </c>
      <c r="X124" s="556"/>
    </row>
    <row r="125" spans="1:24" ht="31.2">
      <c r="A125" s="683"/>
      <c r="B125" s="664"/>
      <c r="C125" s="569" t="s">
        <v>714</v>
      </c>
      <c r="D125" s="569" t="s">
        <v>714</v>
      </c>
      <c r="E125" s="595">
        <v>5</v>
      </c>
      <c r="F125" s="595">
        <v>5</v>
      </c>
      <c r="G125" s="595">
        <v>5</v>
      </c>
      <c r="H125" s="595">
        <v>2</v>
      </c>
      <c r="I125" s="595">
        <v>2</v>
      </c>
      <c r="J125" s="595">
        <v>2</v>
      </c>
      <c r="K125" s="595">
        <v>2</v>
      </c>
      <c r="L125" s="595">
        <v>2</v>
      </c>
      <c r="M125" s="595">
        <v>2</v>
      </c>
      <c r="N125" s="595">
        <v>2</v>
      </c>
      <c r="O125" s="619">
        <v>0</v>
      </c>
      <c r="P125" s="595">
        <v>1500</v>
      </c>
      <c r="Q125" s="621">
        <f t="shared" si="38"/>
        <v>0</v>
      </c>
      <c r="R125" s="556">
        <f t="shared" si="33"/>
        <v>0</v>
      </c>
      <c r="S125" s="578">
        <f t="shared" si="36"/>
        <v>0</v>
      </c>
      <c r="T125" s="579">
        <f>Q125/87</f>
        <v>0</v>
      </c>
      <c r="U125" s="579">
        <f>R125/83.42042542</f>
        <v>0</v>
      </c>
      <c r="V125" s="579">
        <f>T125</f>
        <v>0</v>
      </c>
      <c r="W125" s="581" t="s">
        <v>712</v>
      </c>
      <c r="X125" s="556"/>
    </row>
    <row r="126" spans="1:24" ht="15.6">
      <c r="C126" s="556"/>
      <c r="D126" s="556"/>
      <c r="E126" s="556"/>
      <c r="F126" s="556"/>
      <c r="G126" s="556"/>
      <c r="H126" s="556"/>
      <c r="I126" s="556"/>
      <c r="J126" s="556"/>
      <c r="K126" s="556"/>
      <c r="L126" s="556"/>
      <c r="M126" s="556"/>
      <c r="N126" s="556"/>
      <c r="O126" s="556"/>
      <c r="P126" s="597" t="s">
        <v>715</v>
      </c>
      <c r="Q126" s="598">
        <f>SUM(Q74:Q125)</f>
        <v>32679754</v>
      </c>
      <c r="R126" s="556">
        <f>SUM(R80:R125)</f>
        <v>20707754</v>
      </c>
      <c r="S126" s="556"/>
      <c r="T126" s="556"/>
      <c r="U126" s="556"/>
      <c r="V126" s="556"/>
      <c r="W126" s="556"/>
      <c r="X126" s="556"/>
    </row>
    <row r="127" spans="1:24">
      <c r="C127" s="556"/>
      <c r="D127" s="556"/>
      <c r="E127" s="556"/>
      <c r="F127" s="556"/>
      <c r="G127" s="556"/>
      <c r="H127" s="556"/>
      <c r="I127" s="556"/>
      <c r="J127" s="556"/>
      <c r="K127" s="556"/>
      <c r="L127" s="556"/>
      <c r="M127" s="556"/>
      <c r="N127" s="556"/>
      <c r="O127" s="556"/>
      <c r="P127" s="601"/>
      <c r="Q127" s="556"/>
      <c r="R127" s="556"/>
      <c r="S127" s="556"/>
      <c r="T127" s="556"/>
      <c r="U127" s="556"/>
      <c r="V127" s="556"/>
      <c r="W127" s="556"/>
      <c r="X127" s="556"/>
    </row>
    <row r="128" spans="1:24" ht="15.6">
      <c r="C128" s="556"/>
      <c r="D128" s="556"/>
      <c r="E128" s="556"/>
      <c r="F128" s="556"/>
      <c r="G128" s="556"/>
      <c r="H128" s="556"/>
      <c r="I128" s="556"/>
      <c r="J128" s="556"/>
      <c r="K128" s="556"/>
      <c r="L128" s="556"/>
      <c r="M128" s="556"/>
      <c r="N128" s="556"/>
      <c r="O128" s="556"/>
      <c r="P128" s="598" t="s">
        <v>806</v>
      </c>
      <c r="Q128" s="598">
        <f>Q126/83.4</f>
        <v>391843.57314148679</v>
      </c>
      <c r="R128" s="556"/>
      <c r="S128" s="556"/>
      <c r="T128" s="599">
        <f>SUM(T80:T127)</f>
        <v>237560.39080459773</v>
      </c>
      <c r="U128" s="556"/>
      <c r="V128" s="600">
        <f>SUM(V80:V127)</f>
        <v>421886.74004227604</v>
      </c>
      <c r="W128" s="556"/>
      <c r="X128" s="556"/>
    </row>
    <row r="129" spans="3:24">
      <c r="C129" s="556"/>
      <c r="D129" s="556"/>
      <c r="E129" s="556"/>
      <c r="F129" s="556"/>
      <c r="G129" s="556"/>
      <c r="H129" s="556"/>
      <c r="I129" s="556"/>
      <c r="J129" s="556"/>
      <c r="K129" s="556"/>
      <c r="L129" s="556"/>
      <c r="M129" s="556"/>
      <c r="N129" s="556"/>
      <c r="O129" s="556"/>
      <c r="P129" s="601"/>
      <c r="Q129" s="556"/>
      <c r="R129" s="556"/>
      <c r="S129" s="556"/>
      <c r="T129" s="556"/>
      <c r="U129" s="556"/>
      <c r="V129" s="556"/>
      <c r="W129" s="556"/>
      <c r="X129" s="556"/>
    </row>
    <row r="130" spans="3:24">
      <c r="C130" s="556"/>
      <c r="D130" s="556"/>
      <c r="E130" s="556"/>
      <c r="F130" s="556"/>
      <c r="G130" s="556"/>
      <c r="H130" s="556"/>
      <c r="I130" s="556"/>
      <c r="J130" s="556"/>
      <c r="K130" s="556"/>
      <c r="L130" s="556"/>
      <c r="M130" s="556"/>
      <c r="N130" s="556"/>
      <c r="O130" s="556"/>
      <c r="P130" s="601"/>
      <c r="Q130" s="556"/>
      <c r="R130" s="556"/>
      <c r="S130" s="556"/>
      <c r="T130" s="556"/>
      <c r="U130" s="556"/>
      <c r="V130" s="556"/>
      <c r="W130" s="556"/>
      <c r="X130" s="556"/>
    </row>
    <row r="131" spans="3:24">
      <c r="C131" s="556"/>
      <c r="D131" s="556"/>
      <c r="E131" s="556"/>
      <c r="F131" s="556"/>
      <c r="G131" s="556"/>
      <c r="H131" s="556"/>
      <c r="I131" s="556"/>
      <c r="J131" s="556"/>
      <c r="K131" s="556"/>
      <c r="L131" s="556"/>
      <c r="M131" s="556"/>
      <c r="N131" s="556"/>
      <c r="O131" s="556"/>
      <c r="P131" s="601"/>
      <c r="Q131" s="556"/>
      <c r="R131" s="556"/>
      <c r="S131" s="556"/>
      <c r="T131" s="556"/>
      <c r="U131" s="556"/>
      <c r="V131" s="556"/>
      <c r="W131" s="556"/>
      <c r="X131" s="556"/>
    </row>
    <row r="132" spans="3:24">
      <c r="C132" s="556"/>
      <c r="D132" s="556"/>
      <c r="E132" s="556"/>
      <c r="F132" s="556"/>
      <c r="G132" s="556"/>
      <c r="H132" s="556"/>
      <c r="I132" s="556"/>
      <c r="J132" s="556"/>
      <c r="K132" s="556"/>
      <c r="L132" s="556"/>
      <c r="M132" s="556"/>
      <c r="N132" s="556"/>
      <c r="O132" s="556"/>
      <c r="P132" s="601"/>
      <c r="Q132" s="602"/>
      <c r="R132" s="556"/>
      <c r="S132" s="556"/>
      <c r="T132" s="556"/>
      <c r="U132" s="556"/>
      <c r="V132" s="556"/>
      <c r="W132" s="556"/>
      <c r="X132" s="556"/>
    </row>
  </sheetData>
  <mergeCells count="34">
    <mergeCell ref="C14:D14"/>
    <mergeCell ref="C70:C73"/>
    <mergeCell ref="D70:D73"/>
    <mergeCell ref="E70:E73"/>
    <mergeCell ref="F70:F73"/>
    <mergeCell ref="G70:G73"/>
    <mergeCell ref="H70:H73"/>
    <mergeCell ref="I70:I73"/>
    <mergeCell ref="J70:J73"/>
    <mergeCell ref="K70:K73"/>
    <mergeCell ref="T70:T73"/>
    <mergeCell ref="U70:U73"/>
    <mergeCell ref="V70:V73"/>
    <mergeCell ref="L70:L73"/>
    <mergeCell ref="M70:M73"/>
    <mergeCell ref="N70:N73"/>
    <mergeCell ref="P70:P73"/>
    <mergeCell ref="Q70:Q73"/>
    <mergeCell ref="W70:W73"/>
    <mergeCell ref="D89:D95"/>
    <mergeCell ref="E89:E95"/>
    <mergeCell ref="F89:F95"/>
    <mergeCell ref="G89:G95"/>
    <mergeCell ref="H89:H95"/>
    <mergeCell ref="I89:I95"/>
    <mergeCell ref="J89:J95"/>
    <mergeCell ref="K89:K95"/>
    <mergeCell ref="L89:L95"/>
    <mergeCell ref="M89:M95"/>
    <mergeCell ref="N89:N95"/>
    <mergeCell ref="P89:P95"/>
    <mergeCell ref="Q89:Q95"/>
    <mergeCell ref="R70:R73"/>
    <mergeCell ref="S70:S73"/>
  </mergeCells>
  <hyperlinks>
    <hyperlink ref="W113" r:id="rId1"/>
    <hyperlink ref="W114" r:id="rId2"/>
  </hyperlinks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="110" zoomScaleNormal="110" workbookViewId="0">
      <selection activeCell="F8" sqref="F8"/>
    </sheetView>
  </sheetViews>
  <sheetFormatPr defaultRowHeight="14.4"/>
  <cols>
    <col min="2" max="2" width="31.33203125" customWidth="1"/>
    <col min="3" max="3" width="14.44140625" customWidth="1"/>
    <col min="9" max="9" width="13.5546875" customWidth="1"/>
  </cols>
  <sheetData>
    <row r="1" spans="1:9" ht="21.75" customHeight="1">
      <c r="B1" s="205"/>
      <c r="C1" s="205" t="s">
        <v>84</v>
      </c>
      <c r="D1" s="205">
        <v>0.17</v>
      </c>
      <c r="E1" s="205" t="s">
        <v>3</v>
      </c>
      <c r="F1" s="205" t="s">
        <v>75</v>
      </c>
      <c r="G1" s="205" t="s">
        <v>76</v>
      </c>
      <c r="H1" s="205" t="s">
        <v>77</v>
      </c>
      <c r="I1" s="205" t="s">
        <v>92</v>
      </c>
    </row>
    <row r="2" spans="1:9" s="30" customFormat="1">
      <c r="A2" s="232" t="s">
        <v>111</v>
      </c>
      <c r="B2" s="233" t="s">
        <v>501</v>
      </c>
      <c r="C2" s="30">
        <v>20000</v>
      </c>
      <c r="E2" s="30">
        <v>1</v>
      </c>
      <c r="F2" s="30">
        <f t="shared" ref="F2" si="0">C2*E2</f>
        <v>20000</v>
      </c>
      <c r="I2" s="30">
        <f t="shared" ref="I2" si="1">F2+G2+H2</f>
        <v>20000</v>
      </c>
    </row>
    <row r="3" spans="1:9" ht="43.2">
      <c r="A3" s="23" t="s">
        <v>111</v>
      </c>
      <c r="B3" s="206" t="s">
        <v>107</v>
      </c>
      <c r="C3" s="207">
        <v>1000</v>
      </c>
      <c r="D3" s="207"/>
      <c r="E3" s="207">
        <v>4</v>
      </c>
      <c r="F3" s="207">
        <f t="shared" ref="F3:F6" si="2">C3*E3</f>
        <v>4000</v>
      </c>
      <c r="G3" s="207"/>
      <c r="H3" s="207"/>
      <c r="I3" s="207">
        <f t="shared" ref="I3:I6" si="3">F3+G3+H3</f>
        <v>4000</v>
      </c>
    </row>
    <row r="4" spans="1:9" ht="43.2">
      <c r="A4" s="23" t="s">
        <v>111</v>
      </c>
      <c r="B4" s="206" t="s">
        <v>115</v>
      </c>
      <c r="C4" s="207">
        <v>3000</v>
      </c>
      <c r="D4" s="207"/>
      <c r="E4" s="207">
        <v>6</v>
      </c>
      <c r="F4" s="207">
        <f t="shared" si="2"/>
        <v>18000</v>
      </c>
      <c r="G4" s="207"/>
      <c r="H4" s="207"/>
      <c r="I4" s="207">
        <f t="shared" si="3"/>
        <v>18000</v>
      </c>
    </row>
    <row r="5" spans="1:9" ht="28.8">
      <c r="A5" s="23" t="s">
        <v>111</v>
      </c>
      <c r="B5" s="206" t="s">
        <v>110</v>
      </c>
      <c r="C5" s="207">
        <v>750</v>
      </c>
      <c r="D5" s="207"/>
      <c r="E5" s="207">
        <v>16</v>
      </c>
      <c r="F5" s="207">
        <f t="shared" si="2"/>
        <v>12000</v>
      </c>
      <c r="G5" s="207"/>
      <c r="H5" s="207"/>
      <c r="I5" s="207">
        <f t="shared" si="3"/>
        <v>12000</v>
      </c>
    </row>
    <row r="6" spans="1:9" ht="43.2">
      <c r="A6" s="23" t="s">
        <v>111</v>
      </c>
      <c r="B6" s="206" t="s">
        <v>109</v>
      </c>
      <c r="C6" s="207">
        <v>5000</v>
      </c>
      <c r="D6" s="207"/>
      <c r="E6" s="207">
        <v>2</v>
      </c>
      <c r="F6" s="207">
        <f t="shared" si="2"/>
        <v>10000</v>
      </c>
      <c r="G6" s="207"/>
      <c r="H6" s="207"/>
      <c r="I6" s="207">
        <f t="shared" si="3"/>
        <v>10000</v>
      </c>
    </row>
    <row r="7" spans="1:9">
      <c r="I7">
        <f>SUM(I2:I6)</f>
        <v>64000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="145" zoomScaleNormal="145" workbookViewId="0">
      <selection activeCell="B6" sqref="B6"/>
    </sheetView>
  </sheetViews>
  <sheetFormatPr defaultRowHeight="14.4"/>
  <cols>
    <col min="2" max="2" width="45.109375" customWidth="1"/>
  </cols>
  <sheetData>
    <row r="1" spans="1:9" ht="21.75" customHeight="1">
      <c r="B1" s="19"/>
      <c r="C1" s="23" t="s">
        <v>84</v>
      </c>
      <c r="D1" s="24">
        <v>0.17</v>
      </c>
      <c r="E1" s="25" t="s">
        <v>3</v>
      </c>
      <c r="F1" s="23" t="s">
        <v>75</v>
      </c>
      <c r="G1" s="23" t="s">
        <v>76</v>
      </c>
      <c r="H1" s="23" t="s">
        <v>77</v>
      </c>
      <c r="I1" s="23" t="s">
        <v>78</v>
      </c>
    </row>
    <row r="2" spans="1:9" ht="43.2">
      <c r="A2" s="23" t="s">
        <v>112</v>
      </c>
      <c r="B2" s="34" t="s">
        <v>113</v>
      </c>
      <c r="C2">
        <v>3000</v>
      </c>
      <c r="E2">
        <v>3</v>
      </c>
      <c r="F2">
        <f>C2*E2</f>
        <v>9000</v>
      </c>
      <c r="I2">
        <f>F2+G2+H2</f>
        <v>9000</v>
      </c>
    </row>
    <row r="3" spans="1:9" ht="43.2">
      <c r="A3" s="23" t="s">
        <v>112</v>
      </c>
      <c r="B3" s="34" t="s">
        <v>114</v>
      </c>
      <c r="C3">
        <v>3000</v>
      </c>
      <c r="E3">
        <v>2</v>
      </c>
      <c r="F3">
        <f>C3*E3</f>
        <v>6000</v>
      </c>
      <c r="I3">
        <f>F3+G3+H3</f>
        <v>6000</v>
      </c>
    </row>
    <row r="4" spans="1:9">
      <c r="I4">
        <f>SUM(I2:I3)</f>
        <v>15000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36"/>
  <sheetViews>
    <sheetView topLeftCell="A13" workbookViewId="0">
      <selection activeCell="H8" sqref="H8"/>
    </sheetView>
  </sheetViews>
  <sheetFormatPr defaultColWidth="14.44140625" defaultRowHeight="15" customHeight="1"/>
  <cols>
    <col min="1" max="1" width="8.88671875" style="99" customWidth="1"/>
    <col min="2" max="2" width="42.33203125" style="99" customWidth="1"/>
    <col min="3" max="3" width="8.88671875" style="99" customWidth="1"/>
    <col min="4" max="4" width="12.44140625" style="99" customWidth="1"/>
    <col min="5" max="5" width="8.88671875" style="99" customWidth="1"/>
    <col min="6" max="6" width="10.33203125" style="99" customWidth="1"/>
    <col min="7" max="8" width="9.88671875" style="99" customWidth="1"/>
    <col min="9" max="9" width="13.6640625" style="99" customWidth="1"/>
    <col min="10" max="11" width="13.44140625" style="99" customWidth="1"/>
    <col min="12" max="12" width="14.88671875" style="99" customWidth="1"/>
    <col min="13" max="13" width="14.44140625" style="99"/>
    <col min="14" max="14" width="6.33203125" style="99" customWidth="1"/>
    <col min="15" max="16384" width="14.44140625" style="99"/>
  </cols>
  <sheetData>
    <row r="1" spans="1:27" ht="14.4">
      <c r="A1" s="96"/>
      <c r="B1" s="96"/>
      <c r="C1" s="96"/>
      <c r="D1" s="96"/>
      <c r="E1" s="96"/>
      <c r="F1" s="96"/>
      <c r="G1" s="96"/>
      <c r="H1" s="96"/>
      <c r="I1" s="96"/>
      <c r="J1" s="97"/>
      <c r="K1" s="96"/>
      <c r="L1" s="98"/>
    </row>
    <row r="2" spans="1:27" ht="21" customHeight="1">
      <c r="A2" s="891" t="s">
        <v>273</v>
      </c>
      <c r="B2" s="892"/>
      <c r="C2" s="892"/>
      <c r="D2" s="892"/>
      <c r="E2" s="892"/>
      <c r="F2" s="892"/>
      <c r="G2" s="892"/>
      <c r="H2" s="892"/>
      <c r="I2" s="892"/>
      <c r="J2" s="892"/>
      <c r="K2" s="892"/>
      <c r="L2" s="98"/>
    </row>
    <row r="3" spans="1:27" ht="32.25" customHeight="1">
      <c r="A3" s="893" t="s">
        <v>274</v>
      </c>
      <c r="B3" s="894"/>
      <c r="C3" s="893" t="s">
        <v>275</v>
      </c>
      <c r="D3" s="895"/>
      <c r="E3" s="895"/>
      <c r="F3" s="895"/>
      <c r="G3" s="894"/>
      <c r="H3" s="125"/>
      <c r="I3" s="100" t="s">
        <v>276</v>
      </c>
      <c r="J3" s="100" t="s">
        <v>277</v>
      </c>
      <c r="K3" s="100" t="s">
        <v>278</v>
      </c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</row>
    <row r="4" spans="1:27" ht="17.25" customHeight="1">
      <c r="A4" s="896" t="s">
        <v>279</v>
      </c>
      <c r="B4" s="895"/>
      <c r="C4" s="895"/>
      <c r="D4" s="895"/>
      <c r="E4" s="895"/>
      <c r="F4" s="895"/>
      <c r="G4" s="895"/>
      <c r="H4" s="895"/>
      <c r="I4" s="895"/>
      <c r="J4" s="895"/>
      <c r="K4" s="102"/>
      <c r="L4" s="98"/>
    </row>
    <row r="5" spans="1:27" ht="24" customHeight="1">
      <c r="A5" s="897" t="s">
        <v>280</v>
      </c>
      <c r="B5" s="894"/>
      <c r="C5" s="897" t="s">
        <v>416</v>
      </c>
      <c r="D5" s="895"/>
      <c r="E5" s="895"/>
      <c r="F5" s="895"/>
      <c r="G5" s="894"/>
      <c r="H5" s="125">
        <v>500</v>
      </c>
      <c r="I5" s="103">
        <f>H5*12*3</f>
        <v>18000</v>
      </c>
      <c r="J5" s="103">
        <f t="shared" ref="J5:K8" si="0">I5</f>
        <v>18000</v>
      </c>
      <c r="K5" s="103">
        <f t="shared" si="0"/>
        <v>18000</v>
      </c>
      <c r="L5" s="104"/>
    </row>
    <row r="6" spans="1:27" ht="24" customHeight="1">
      <c r="A6" s="897" t="s">
        <v>280</v>
      </c>
      <c r="B6" s="894"/>
      <c r="C6" s="897" t="s">
        <v>281</v>
      </c>
      <c r="D6" s="895"/>
      <c r="E6" s="895"/>
      <c r="F6" s="895"/>
      <c r="G6" s="894"/>
      <c r="H6" s="125">
        <v>350</v>
      </c>
      <c r="I6" s="103">
        <f>H6*12*3</f>
        <v>12600</v>
      </c>
      <c r="J6" s="103">
        <f t="shared" si="0"/>
        <v>12600</v>
      </c>
      <c r="K6" s="103">
        <f t="shared" si="0"/>
        <v>12600</v>
      </c>
      <c r="L6" s="104"/>
    </row>
    <row r="7" spans="1:27" ht="30" customHeight="1">
      <c r="A7" s="897" t="s">
        <v>280</v>
      </c>
      <c r="B7" s="894"/>
      <c r="C7" s="897" t="s">
        <v>417</v>
      </c>
      <c r="D7" s="895"/>
      <c r="E7" s="895"/>
      <c r="F7" s="895"/>
      <c r="G7" s="894"/>
      <c r="H7" s="125">
        <v>350</v>
      </c>
      <c r="I7" s="103">
        <f>H7*12*3</f>
        <v>12600</v>
      </c>
      <c r="J7" s="103">
        <f t="shared" si="0"/>
        <v>12600</v>
      </c>
      <c r="K7" s="103">
        <f t="shared" si="0"/>
        <v>12600</v>
      </c>
      <c r="L7" s="104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</row>
    <row r="8" spans="1:27" ht="28.5" customHeight="1">
      <c r="A8" s="897" t="s">
        <v>280</v>
      </c>
      <c r="B8" s="890"/>
      <c r="C8" s="897" t="s">
        <v>782</v>
      </c>
      <c r="D8" s="889"/>
      <c r="E8" s="889"/>
      <c r="F8" s="889"/>
      <c r="G8" s="890"/>
      <c r="H8" s="736">
        <v>180</v>
      </c>
      <c r="I8" s="103">
        <f>H8*12*50</f>
        <v>108000</v>
      </c>
      <c r="J8" s="103">
        <f t="shared" si="0"/>
        <v>108000</v>
      </c>
      <c r="K8" s="103">
        <f t="shared" si="0"/>
        <v>108000</v>
      </c>
      <c r="L8" s="104"/>
    </row>
    <row r="9" spans="1:27" ht="28.5" customHeight="1">
      <c r="A9" s="897" t="s">
        <v>282</v>
      </c>
      <c r="B9" s="890"/>
      <c r="C9" s="897" t="s">
        <v>418</v>
      </c>
      <c r="D9" s="889"/>
      <c r="E9" s="889"/>
      <c r="F9" s="889"/>
      <c r="G9" s="890"/>
      <c r="H9" s="736">
        <v>200</v>
      </c>
      <c r="I9" s="103">
        <f>250*12*3</f>
        <v>9000</v>
      </c>
      <c r="J9" s="103">
        <f t="shared" ref="J9:K9" si="1">I9</f>
        <v>9000</v>
      </c>
      <c r="K9" s="103">
        <f t="shared" si="1"/>
        <v>9000</v>
      </c>
      <c r="L9" s="98"/>
    </row>
    <row r="10" spans="1:27" ht="29.25" customHeight="1">
      <c r="A10" s="897" t="s">
        <v>283</v>
      </c>
      <c r="B10" s="890"/>
      <c r="C10" s="897" t="s">
        <v>284</v>
      </c>
      <c r="D10" s="889"/>
      <c r="E10" s="889"/>
      <c r="F10" s="889"/>
      <c r="G10" s="890"/>
      <c r="H10" s="736">
        <v>150</v>
      </c>
      <c r="I10" s="103">
        <f t="shared" ref="I10" si="2">150*12*3</f>
        <v>5400</v>
      </c>
      <c r="J10" s="103">
        <f t="shared" ref="J10:K10" si="3">I10</f>
        <v>5400</v>
      </c>
      <c r="K10" s="103">
        <f t="shared" si="3"/>
        <v>5400</v>
      </c>
      <c r="L10" s="98"/>
    </row>
    <row r="11" spans="1:27" ht="67.2" customHeight="1">
      <c r="A11" s="897" t="s">
        <v>285</v>
      </c>
      <c r="B11" s="890"/>
      <c r="C11" s="898" t="s">
        <v>419</v>
      </c>
      <c r="D11" s="899"/>
      <c r="E11" s="899"/>
      <c r="F11" s="899"/>
      <c r="G11" s="900"/>
      <c r="H11" s="737"/>
      <c r="I11" s="737">
        <v>7020</v>
      </c>
      <c r="J11" s="103">
        <f t="shared" ref="J11:K11" si="4">I11</f>
        <v>7020</v>
      </c>
      <c r="K11" s="103">
        <f t="shared" si="4"/>
        <v>7020</v>
      </c>
      <c r="L11" s="98"/>
    </row>
    <row r="12" spans="1:27" ht="46.5" customHeight="1">
      <c r="A12" s="897" t="s">
        <v>286</v>
      </c>
      <c r="B12" s="890"/>
      <c r="C12" s="898" t="s">
        <v>420</v>
      </c>
      <c r="D12" s="899"/>
      <c r="E12" s="899"/>
      <c r="F12" s="899"/>
      <c r="G12" s="900"/>
      <c r="H12" s="737"/>
      <c r="I12" s="737">
        <v>2160</v>
      </c>
      <c r="J12" s="103">
        <f t="shared" ref="J12:K12" si="5">I12</f>
        <v>2160</v>
      </c>
      <c r="K12" s="103">
        <f t="shared" si="5"/>
        <v>2160</v>
      </c>
      <c r="L12" s="98"/>
    </row>
    <row r="13" spans="1:27" ht="32.25" customHeight="1">
      <c r="A13" s="897" t="s">
        <v>282</v>
      </c>
      <c r="B13" s="890"/>
      <c r="C13" s="901" t="s">
        <v>395</v>
      </c>
      <c r="D13" s="902"/>
      <c r="E13" s="902"/>
      <c r="F13" s="902"/>
      <c r="G13" s="903"/>
      <c r="H13" s="738">
        <v>350</v>
      </c>
      <c r="I13" s="103">
        <f>350*12</f>
        <v>4200</v>
      </c>
      <c r="J13" s="103">
        <f t="shared" ref="J13:K13" si="6">I13</f>
        <v>4200</v>
      </c>
      <c r="K13" s="103">
        <f t="shared" si="6"/>
        <v>4200</v>
      </c>
      <c r="L13" s="98"/>
    </row>
    <row r="14" spans="1:27" ht="24" customHeight="1">
      <c r="A14" s="897" t="s">
        <v>282</v>
      </c>
      <c r="B14" s="890"/>
      <c r="C14" s="901" t="s">
        <v>421</v>
      </c>
      <c r="D14" s="902"/>
      <c r="E14" s="902"/>
      <c r="F14" s="902"/>
      <c r="G14" s="903"/>
      <c r="H14" s="738">
        <v>150</v>
      </c>
      <c r="I14" s="103">
        <f>150*12</f>
        <v>1800</v>
      </c>
      <c r="J14" s="103">
        <f t="shared" ref="J14:K14" si="7">I14</f>
        <v>1800</v>
      </c>
      <c r="K14" s="103">
        <f t="shared" si="7"/>
        <v>1800</v>
      </c>
      <c r="L14" s="98"/>
    </row>
    <row r="15" spans="1:27" ht="31.5" customHeight="1">
      <c r="A15" s="897" t="s">
        <v>282</v>
      </c>
      <c r="B15" s="890"/>
      <c r="C15" s="901" t="s">
        <v>396</v>
      </c>
      <c r="D15" s="902"/>
      <c r="E15" s="902"/>
      <c r="F15" s="902"/>
      <c r="G15" s="903"/>
      <c r="H15" s="738">
        <v>400</v>
      </c>
      <c r="I15" s="103">
        <f>400*3*12</f>
        <v>14400</v>
      </c>
      <c r="J15" s="103">
        <f t="shared" ref="J15:K15" si="8">I15</f>
        <v>14400</v>
      </c>
      <c r="K15" s="103">
        <f t="shared" si="8"/>
        <v>14400</v>
      </c>
      <c r="L15" s="98"/>
    </row>
    <row r="16" spans="1:27" ht="24" customHeight="1">
      <c r="A16" s="897" t="s">
        <v>280</v>
      </c>
      <c r="B16" s="890"/>
      <c r="C16" s="897" t="s">
        <v>287</v>
      </c>
      <c r="D16" s="889"/>
      <c r="E16" s="889"/>
      <c r="F16" s="889"/>
      <c r="G16" s="890"/>
      <c r="H16" s="736"/>
      <c r="I16" s="103">
        <f>(I5+I6+I7+I8+I9+I13+I10+I11+I12+I14+I15)*17%</f>
        <v>33180.600000000006</v>
      </c>
      <c r="J16" s="103">
        <f t="shared" ref="J16:K16" si="9">(J5+J6+J7+J8+J9+J13+J10+J11+J12+J14+J15)*17%</f>
        <v>33180.600000000006</v>
      </c>
      <c r="K16" s="103">
        <f t="shared" si="9"/>
        <v>33180.600000000006</v>
      </c>
      <c r="L16" s="98"/>
    </row>
    <row r="17" spans="1:27" ht="18" customHeight="1">
      <c r="A17" s="896" t="s">
        <v>288</v>
      </c>
      <c r="B17" s="890"/>
      <c r="C17" s="896"/>
      <c r="D17" s="889"/>
      <c r="E17" s="889"/>
      <c r="F17" s="889"/>
      <c r="G17" s="890"/>
      <c r="H17" s="736"/>
      <c r="I17" s="106">
        <f>SUM(I5:I16)</f>
        <v>228360.6</v>
      </c>
      <c r="J17" s="106">
        <f>SUM(J5:J16)</f>
        <v>228360.6</v>
      </c>
      <c r="K17" s="106">
        <f>SUM(K5:K16)</f>
        <v>228360.6</v>
      </c>
      <c r="L17" s="504">
        <f>SUM(K13:K15)</f>
        <v>20400</v>
      </c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</row>
    <row r="18" spans="1:27" ht="22.5" customHeight="1">
      <c r="A18" s="904" t="s">
        <v>289</v>
      </c>
      <c r="B18" s="889"/>
      <c r="C18" s="889"/>
      <c r="D18" s="889"/>
      <c r="E18" s="889"/>
      <c r="F18" s="889"/>
      <c r="G18" s="889"/>
      <c r="H18" s="889"/>
      <c r="I18" s="889"/>
      <c r="J18" s="889"/>
      <c r="K18" s="102"/>
      <c r="L18" s="98"/>
    </row>
    <row r="19" spans="1:27" ht="20.25" customHeight="1">
      <c r="A19" s="905" t="s">
        <v>290</v>
      </c>
      <c r="B19" s="902"/>
      <c r="C19" s="902"/>
      <c r="D19" s="902"/>
      <c r="E19" s="902"/>
      <c r="F19" s="902"/>
      <c r="G19" s="902"/>
      <c r="H19" s="902"/>
      <c r="I19" s="902"/>
      <c r="J19" s="902"/>
      <c r="K19" s="902"/>
      <c r="L19" s="98"/>
    </row>
    <row r="20" spans="1:27" ht="49.5" customHeight="1">
      <c r="A20" s="897" t="s">
        <v>291</v>
      </c>
      <c r="B20" s="890"/>
      <c r="C20" s="901" t="s">
        <v>779</v>
      </c>
      <c r="D20" s="902"/>
      <c r="E20" s="902"/>
      <c r="F20" s="902"/>
      <c r="G20" s="903"/>
      <c r="H20" s="738"/>
      <c r="I20" s="103">
        <f>(800+800+600+300+300)*12</f>
        <v>33600</v>
      </c>
      <c r="J20" s="103">
        <f t="shared" ref="J20:K20" si="10">(800+800+600+300+300)*12</f>
        <v>33600</v>
      </c>
      <c r="K20" s="103">
        <f t="shared" si="10"/>
        <v>33600</v>
      </c>
      <c r="L20" s="98"/>
    </row>
    <row r="21" spans="1:27" ht="27" customHeight="1">
      <c r="A21" s="906" t="s">
        <v>292</v>
      </c>
      <c r="B21" s="907"/>
      <c r="C21" s="897" t="s">
        <v>780</v>
      </c>
      <c r="D21" s="889"/>
      <c r="E21" s="889"/>
      <c r="F21" s="889"/>
      <c r="G21" s="890"/>
      <c r="H21" s="739"/>
      <c r="I21" s="107">
        <f>800*12</f>
        <v>9600</v>
      </c>
      <c r="J21" s="107">
        <f t="shared" ref="J21:K21" si="11">800*12</f>
        <v>9600</v>
      </c>
      <c r="K21" s="107">
        <f t="shared" si="11"/>
        <v>9600</v>
      </c>
      <c r="L21" s="98"/>
    </row>
    <row r="22" spans="1:27" ht="59.25" customHeight="1">
      <c r="A22" s="897" t="s">
        <v>293</v>
      </c>
      <c r="B22" s="890"/>
      <c r="C22" s="915" t="s">
        <v>781</v>
      </c>
      <c r="D22" s="899"/>
      <c r="E22" s="899"/>
      <c r="F22" s="899"/>
      <c r="G22" s="899"/>
      <c r="H22" s="740"/>
      <c r="I22" s="211">
        <f>250*12</f>
        <v>3000</v>
      </c>
      <c r="J22" s="211">
        <f t="shared" ref="J22:K22" si="12">250*12</f>
        <v>3000</v>
      </c>
      <c r="K22" s="211">
        <f t="shared" si="12"/>
        <v>3000</v>
      </c>
      <c r="L22" s="98"/>
    </row>
    <row r="23" spans="1:27" ht="31.5" customHeight="1">
      <c r="A23" s="913" t="s">
        <v>87</v>
      </c>
      <c r="B23" s="890"/>
      <c r="C23" s="914" t="s">
        <v>294</v>
      </c>
      <c r="D23" s="889"/>
      <c r="E23" s="889"/>
      <c r="F23" s="889"/>
      <c r="G23" s="889"/>
      <c r="H23" s="740"/>
      <c r="I23" s="741">
        <f t="shared" ref="I23:K23" si="13">20*5*12</f>
        <v>1200</v>
      </c>
      <c r="J23" s="741">
        <f t="shared" si="13"/>
        <v>1200</v>
      </c>
      <c r="K23" s="741">
        <f t="shared" si="13"/>
        <v>1200</v>
      </c>
      <c r="L23" s="98"/>
    </row>
    <row r="24" spans="1:27" ht="27.75" customHeight="1">
      <c r="A24" s="897" t="s">
        <v>295</v>
      </c>
      <c r="B24" s="890"/>
      <c r="C24" s="908" t="s">
        <v>422</v>
      </c>
      <c r="D24" s="909"/>
      <c r="E24" s="909"/>
      <c r="F24" s="909"/>
      <c r="G24" s="910"/>
      <c r="H24" s="212"/>
      <c r="I24" s="212">
        <f t="shared" ref="I24:K24" si="14">15*45*12</f>
        <v>8100</v>
      </c>
      <c r="J24" s="212">
        <f t="shared" si="14"/>
        <v>8100</v>
      </c>
      <c r="K24" s="212">
        <f t="shared" si="14"/>
        <v>8100</v>
      </c>
      <c r="L24" s="98"/>
    </row>
    <row r="25" spans="1:27" ht="27.75" customHeight="1">
      <c r="A25" s="911" t="s">
        <v>296</v>
      </c>
      <c r="B25" s="890"/>
      <c r="C25" s="912" t="s">
        <v>783</v>
      </c>
      <c r="D25" s="889"/>
      <c r="E25" s="889"/>
      <c r="F25" s="889"/>
      <c r="G25" s="890"/>
      <c r="H25" s="736"/>
      <c r="I25" s="742">
        <f>40*5*12</f>
        <v>2400</v>
      </c>
      <c r="J25" s="742">
        <f t="shared" ref="J25:K25" si="15">40*5*12</f>
        <v>2400</v>
      </c>
      <c r="K25" s="742">
        <f t="shared" si="15"/>
        <v>2400</v>
      </c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</row>
    <row r="26" spans="1:27" ht="62.4" customHeight="1">
      <c r="A26" s="916" t="s">
        <v>423</v>
      </c>
      <c r="B26" s="917"/>
      <c r="C26" s="918" t="s">
        <v>784</v>
      </c>
      <c r="D26" s="919"/>
      <c r="E26" s="919"/>
      <c r="F26" s="919"/>
      <c r="G26" s="917"/>
      <c r="H26" s="743"/>
      <c r="I26" s="743">
        <f>4160*2</f>
        <v>8320</v>
      </c>
      <c r="J26" s="743">
        <f t="shared" ref="J26:K26" si="16">4160*2</f>
        <v>8320</v>
      </c>
      <c r="K26" s="743">
        <f t="shared" si="16"/>
        <v>8320</v>
      </c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</row>
    <row r="27" spans="1:27" ht="21.75" customHeight="1">
      <c r="A27" s="920" t="s">
        <v>252</v>
      </c>
      <c r="B27" s="903"/>
      <c r="C27" s="921"/>
      <c r="D27" s="902"/>
      <c r="E27" s="902"/>
      <c r="F27" s="902"/>
      <c r="G27" s="903"/>
      <c r="H27" s="738"/>
      <c r="I27" s="744">
        <f>SUM(I20:I26)</f>
        <v>66220</v>
      </c>
      <c r="J27" s="744">
        <f t="shared" ref="J27:K27" si="17">SUM(J20:J26)</f>
        <v>66220</v>
      </c>
      <c r="K27" s="744">
        <f t="shared" si="17"/>
        <v>66220</v>
      </c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</row>
    <row r="28" spans="1:27" ht="21.75" customHeight="1">
      <c r="A28" s="922" t="s">
        <v>297</v>
      </c>
      <c r="B28" s="902"/>
      <c r="C28" s="902"/>
      <c r="D28" s="902"/>
      <c r="E28" s="902"/>
      <c r="F28" s="902"/>
      <c r="G28" s="902"/>
      <c r="H28" s="902"/>
      <c r="I28" s="902"/>
      <c r="J28" s="902"/>
      <c r="K28" s="903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</row>
    <row r="29" spans="1:27" ht="58.5" customHeight="1">
      <c r="A29" s="908" t="s">
        <v>785</v>
      </c>
      <c r="B29" s="910"/>
      <c r="C29" s="908" t="s">
        <v>786</v>
      </c>
      <c r="D29" s="909"/>
      <c r="E29" s="909"/>
      <c r="F29" s="909"/>
      <c r="G29" s="910"/>
      <c r="H29" s="211"/>
      <c r="I29" s="211">
        <f>400+4000</f>
        <v>4400</v>
      </c>
      <c r="J29" s="211">
        <f>400</f>
        <v>400</v>
      </c>
      <c r="K29" s="211">
        <f>400</f>
        <v>400</v>
      </c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</row>
    <row r="30" spans="1:27" ht="25.5" customHeight="1">
      <c r="A30" s="924" t="s">
        <v>252</v>
      </c>
      <c r="B30" s="902"/>
      <c r="C30" s="897"/>
      <c r="D30" s="889"/>
      <c r="E30" s="889"/>
      <c r="F30" s="889"/>
      <c r="G30" s="890"/>
      <c r="H30" s="106"/>
      <c r="I30" s="106">
        <f>SUM(I29)</f>
        <v>4400</v>
      </c>
      <c r="J30" s="106">
        <f t="shared" ref="J30:K30" si="18">SUM(J29)</f>
        <v>400</v>
      </c>
      <c r="K30" s="106">
        <f t="shared" si="18"/>
        <v>400</v>
      </c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</row>
    <row r="31" spans="1:27" ht="20.25" customHeight="1">
      <c r="A31" s="925"/>
      <c r="B31" s="902"/>
      <c r="C31" s="902"/>
      <c r="D31" s="902"/>
      <c r="E31" s="902"/>
      <c r="F31" s="902"/>
      <c r="G31" s="902"/>
      <c r="H31" s="902"/>
      <c r="I31" s="902"/>
      <c r="J31" s="902"/>
      <c r="K31" s="902"/>
      <c r="L31" s="98"/>
    </row>
    <row r="32" spans="1:27" ht="102" customHeight="1">
      <c r="A32" s="908"/>
      <c r="B32" s="926"/>
      <c r="C32" s="927"/>
      <c r="D32" s="928"/>
      <c r="E32" s="928"/>
      <c r="F32" s="928"/>
      <c r="G32" s="929"/>
      <c r="H32" s="736"/>
      <c r="I32" s="211"/>
      <c r="J32" s="211"/>
      <c r="K32" s="211"/>
      <c r="L32" s="219" t="s">
        <v>298</v>
      </c>
    </row>
    <row r="33" spans="1:12" ht="27" customHeight="1">
      <c r="A33" s="930" t="s">
        <v>252</v>
      </c>
      <c r="B33" s="931"/>
      <c r="C33" s="906"/>
      <c r="D33" s="931"/>
      <c r="E33" s="931"/>
      <c r="F33" s="931"/>
      <c r="G33" s="931"/>
      <c r="H33" s="745"/>
      <c r="I33" s="109">
        <f>SUM(I32)</f>
        <v>0</v>
      </c>
      <c r="J33" s="109">
        <f>SUM(J32)</f>
        <v>0</v>
      </c>
      <c r="K33" s="109">
        <f>SUM(K32)</f>
        <v>0</v>
      </c>
      <c r="L33" s="104"/>
    </row>
    <row r="34" spans="1:12" ht="21" customHeight="1">
      <c r="A34" s="932" t="s">
        <v>299</v>
      </c>
      <c r="B34" s="931"/>
      <c r="C34" s="931"/>
      <c r="D34" s="931"/>
      <c r="E34" s="931"/>
      <c r="F34" s="931"/>
      <c r="G34" s="931"/>
      <c r="H34" s="931"/>
      <c r="I34" s="931"/>
      <c r="J34" s="931"/>
      <c r="K34" s="746"/>
      <c r="L34" s="98"/>
    </row>
    <row r="35" spans="1:12" ht="88.5" customHeight="1">
      <c r="A35" s="933" t="s">
        <v>300</v>
      </c>
      <c r="B35" s="903"/>
      <c r="C35" s="908" t="s">
        <v>424</v>
      </c>
      <c r="D35" s="909"/>
      <c r="E35" s="909"/>
      <c r="F35" s="909"/>
      <c r="G35" s="910"/>
      <c r="H35" s="738"/>
      <c r="I35" s="212">
        <v>10000</v>
      </c>
      <c r="J35" s="212">
        <f t="shared" ref="J35:K35" si="19">12.5*17</f>
        <v>212.5</v>
      </c>
      <c r="K35" s="212">
        <f t="shared" si="19"/>
        <v>212.5</v>
      </c>
      <c r="L35" s="98"/>
    </row>
    <row r="36" spans="1:12" ht="73.5" customHeight="1">
      <c r="A36" s="897" t="s">
        <v>301</v>
      </c>
      <c r="B36" s="890"/>
      <c r="C36" s="923" t="s">
        <v>302</v>
      </c>
      <c r="D36" s="902"/>
      <c r="E36" s="902"/>
      <c r="F36" s="902"/>
      <c r="G36" s="903"/>
      <c r="H36" s="738"/>
      <c r="I36" s="103">
        <v>110</v>
      </c>
      <c r="J36" s="103">
        <v>110</v>
      </c>
      <c r="K36" s="103">
        <v>110</v>
      </c>
      <c r="L36" s="98"/>
    </row>
    <row r="37" spans="1:12" ht="24" customHeight="1">
      <c r="A37" s="935" t="s">
        <v>252</v>
      </c>
      <c r="B37" s="903"/>
      <c r="C37" s="936"/>
      <c r="D37" s="889"/>
      <c r="E37" s="889"/>
      <c r="F37" s="889"/>
      <c r="G37" s="890"/>
      <c r="H37" s="738"/>
      <c r="I37" s="110">
        <f>SUM(I35:I36)</f>
        <v>10110</v>
      </c>
      <c r="J37" s="110">
        <f t="shared" ref="J37:K37" si="20">SUM(J35:J36)</f>
        <v>322.5</v>
      </c>
      <c r="K37" s="110">
        <f t="shared" si="20"/>
        <v>322.5</v>
      </c>
      <c r="L37" s="98"/>
    </row>
    <row r="38" spans="1:12" ht="21.75" customHeight="1">
      <c r="A38" s="937" t="s">
        <v>425</v>
      </c>
      <c r="B38" s="910"/>
      <c r="C38" s="908" t="s">
        <v>426</v>
      </c>
      <c r="D38" s="909"/>
      <c r="E38" s="909"/>
      <c r="F38" s="909"/>
      <c r="G38" s="910"/>
      <c r="H38" s="213"/>
      <c r="I38" s="213">
        <f t="shared" ref="I38:K38" si="21">8*3*12</f>
        <v>288</v>
      </c>
      <c r="J38" s="213">
        <f t="shared" si="21"/>
        <v>288</v>
      </c>
      <c r="K38" s="213">
        <f t="shared" si="21"/>
        <v>288</v>
      </c>
      <c r="L38" s="98"/>
    </row>
    <row r="39" spans="1:12" ht="24" customHeight="1">
      <c r="A39" s="934"/>
      <c r="B39" s="890"/>
      <c r="C39" s="888" t="s">
        <v>303</v>
      </c>
      <c r="D39" s="889"/>
      <c r="E39" s="889"/>
      <c r="F39" s="889"/>
      <c r="G39" s="890"/>
      <c r="H39" s="736"/>
      <c r="I39" s="747">
        <f>I17+I27+I30+I33+I37+I38</f>
        <v>309378.59999999998</v>
      </c>
      <c r="J39" s="747">
        <f>J17+J27+J30+J33+J37+J38</f>
        <v>295591.09999999998</v>
      </c>
      <c r="K39" s="747">
        <f>K17+K27+K30+K33+K37+K38</f>
        <v>295591.09999999998</v>
      </c>
      <c r="L39" s="98"/>
    </row>
    <row r="40" spans="1:12" ht="15.75" customHeight="1">
      <c r="A40" s="111"/>
      <c r="B40" s="111"/>
      <c r="C40" s="111"/>
      <c r="D40" s="111"/>
      <c r="E40" s="111"/>
      <c r="F40" s="111"/>
      <c r="G40" s="111"/>
      <c r="H40" s="111"/>
      <c r="I40" s="111"/>
      <c r="J40" s="112"/>
      <c r="K40" s="111"/>
      <c r="L40" s="98"/>
    </row>
    <row r="41" spans="1:12" ht="15.75" customHeight="1">
      <c r="A41" s="111"/>
      <c r="B41" s="111" t="s">
        <v>316</v>
      </c>
      <c r="C41" s="111"/>
      <c r="D41" s="111"/>
      <c r="E41" s="111"/>
      <c r="F41" s="111"/>
      <c r="G41" s="111"/>
      <c r="H41" s="111"/>
      <c r="I41" s="111">
        <f>'ИМН к модулю 9'!B6+'ИМН к модулю 9'!B8+'ИМН к модулю 9'!B10</f>
        <v>28999.731041666673</v>
      </c>
      <c r="J41" s="111">
        <f>'ИМН к модулю 9'!C6+'ИМН к модулю 9'!C8+'ИМН к модулю 9'!C10</f>
        <v>29386.394122222227</v>
      </c>
      <c r="K41" s="111">
        <f>'ИМН к модулю 9'!D6+'ИМН к модулю 9'!D8+'ИМН к модулю 9'!D10</f>
        <v>29773.057202777782</v>
      </c>
      <c r="L41" s="98"/>
    </row>
    <row r="42" spans="1:12" ht="15.75" customHeight="1">
      <c r="A42" s="111"/>
      <c r="B42" s="111"/>
      <c r="C42" s="111"/>
      <c r="D42" s="111"/>
      <c r="E42" s="111"/>
      <c r="F42" s="111"/>
      <c r="G42" s="111"/>
      <c r="H42" s="111"/>
      <c r="I42" s="111"/>
      <c r="J42" s="112"/>
      <c r="K42" s="111"/>
      <c r="L42" s="98"/>
    </row>
    <row r="43" spans="1:12" ht="15.75" customHeight="1">
      <c r="A43" s="111"/>
      <c r="B43" s="111"/>
      <c r="C43" s="888" t="s">
        <v>303</v>
      </c>
      <c r="D43" s="889"/>
      <c r="E43" s="889"/>
      <c r="F43" s="889"/>
      <c r="G43" s="890"/>
      <c r="H43" s="736"/>
      <c r="I43" s="747">
        <f>I39+I41</f>
        <v>338378.33104166668</v>
      </c>
      <c r="J43" s="747">
        <f>J39+J41</f>
        <v>324977.49412222218</v>
      </c>
      <c r="K43" s="747">
        <f>K39+K41</f>
        <v>325364.15720277774</v>
      </c>
      <c r="L43" s="505">
        <f>SUM(I43:K43)</f>
        <v>988719.98236666666</v>
      </c>
    </row>
    <row r="44" spans="1:12" ht="15.75" customHeight="1">
      <c r="A44" s="111"/>
      <c r="B44" s="111"/>
      <c r="C44" s="111"/>
      <c r="D44" s="111"/>
      <c r="E44" s="111"/>
      <c r="F44" s="111"/>
      <c r="G44" s="111"/>
      <c r="H44" s="111"/>
      <c r="I44" s="214"/>
      <c r="J44" s="112"/>
      <c r="K44" s="111"/>
      <c r="L44" s="98"/>
    </row>
    <row r="45" spans="1:12" ht="15.75" customHeight="1">
      <c r="A45" s="111"/>
      <c r="B45" s="111"/>
      <c r="C45" s="111"/>
      <c r="D45" s="111"/>
      <c r="E45" s="111"/>
      <c r="F45" s="111"/>
      <c r="G45" s="111"/>
      <c r="H45" s="111"/>
      <c r="I45" s="111"/>
      <c r="J45" s="112"/>
      <c r="K45" s="111"/>
      <c r="L45" s="98"/>
    </row>
    <row r="46" spans="1:12" ht="15.75" customHeight="1">
      <c r="A46" s="111"/>
      <c r="B46" s="111"/>
      <c r="C46" s="111"/>
      <c r="D46" s="111"/>
      <c r="E46" s="111"/>
      <c r="F46" s="111"/>
      <c r="G46" s="111"/>
      <c r="H46" s="111"/>
      <c r="I46" s="111"/>
      <c r="J46" s="112"/>
      <c r="K46" s="111"/>
      <c r="L46" s="98"/>
    </row>
    <row r="47" spans="1:12" ht="15.75" customHeight="1">
      <c r="A47" s="111"/>
      <c r="B47" s="111"/>
      <c r="C47" s="111"/>
      <c r="D47" s="111"/>
      <c r="E47" s="111"/>
      <c r="F47" s="111"/>
      <c r="G47" s="111"/>
      <c r="H47" s="111"/>
      <c r="I47" s="111"/>
      <c r="J47" s="112"/>
      <c r="K47" s="111"/>
      <c r="L47" s="98"/>
    </row>
    <row r="48" spans="1:12" ht="15.75" customHeight="1">
      <c r="A48" s="111"/>
      <c r="B48" s="111"/>
      <c r="C48" s="111"/>
      <c r="D48" s="111"/>
      <c r="E48" s="111"/>
      <c r="F48" s="111"/>
      <c r="G48" s="111"/>
      <c r="H48" s="111"/>
      <c r="I48" s="111"/>
      <c r="J48" s="112"/>
      <c r="K48" s="111"/>
      <c r="L48" s="98"/>
    </row>
    <row r="49" spans="1:12" ht="15.75" customHeight="1">
      <c r="A49" s="111"/>
      <c r="B49" s="111"/>
      <c r="C49" s="111"/>
      <c r="D49" s="111"/>
      <c r="E49" s="111"/>
      <c r="F49" s="111"/>
      <c r="G49" s="111"/>
      <c r="H49" s="111"/>
      <c r="I49" s="111"/>
      <c r="J49" s="112"/>
      <c r="K49" s="111"/>
      <c r="L49" s="98"/>
    </row>
    <row r="50" spans="1:12" ht="15.75" customHeight="1">
      <c r="A50" s="111"/>
      <c r="B50" s="111"/>
      <c r="C50" s="111"/>
      <c r="D50" s="111"/>
      <c r="E50" s="111"/>
      <c r="F50" s="111"/>
      <c r="G50" s="111"/>
      <c r="H50" s="111"/>
      <c r="I50" s="111"/>
      <c r="J50" s="112"/>
      <c r="K50" s="111"/>
      <c r="L50" s="98"/>
    </row>
    <row r="51" spans="1:12" ht="15.75" customHeight="1">
      <c r="A51" s="111"/>
      <c r="B51" s="111"/>
      <c r="C51" s="111"/>
      <c r="D51" s="111"/>
      <c r="E51" s="111"/>
      <c r="F51" s="111"/>
      <c r="G51" s="111"/>
      <c r="H51" s="111"/>
      <c r="I51" s="111"/>
      <c r="J51" s="112"/>
      <c r="K51" s="111"/>
      <c r="L51" s="98"/>
    </row>
    <row r="52" spans="1:12" ht="15.75" customHeight="1">
      <c r="A52" s="111"/>
      <c r="B52" s="111"/>
      <c r="C52" s="111"/>
      <c r="D52" s="111"/>
      <c r="E52" s="111"/>
      <c r="F52" s="111"/>
      <c r="G52" s="111"/>
      <c r="H52" s="111"/>
      <c r="I52" s="111"/>
      <c r="J52" s="112"/>
      <c r="K52" s="111"/>
      <c r="L52" s="98"/>
    </row>
    <row r="53" spans="1:12" ht="15.75" customHeight="1">
      <c r="A53" s="111"/>
      <c r="B53" s="111"/>
      <c r="C53" s="111"/>
      <c r="D53" s="111"/>
      <c r="E53" s="111"/>
      <c r="F53" s="111"/>
      <c r="G53" s="111"/>
      <c r="H53" s="111"/>
      <c r="I53" s="111"/>
      <c r="J53" s="112"/>
      <c r="K53" s="111"/>
      <c r="L53" s="98"/>
    </row>
    <row r="54" spans="1:12" ht="15.75" customHeight="1">
      <c r="A54" s="111"/>
      <c r="B54" s="111"/>
      <c r="C54" s="111"/>
      <c r="D54" s="111"/>
      <c r="E54" s="111"/>
      <c r="F54" s="111"/>
      <c r="G54" s="111"/>
      <c r="H54" s="111"/>
      <c r="I54" s="111"/>
      <c r="J54" s="112"/>
      <c r="K54" s="111"/>
      <c r="L54" s="98"/>
    </row>
    <row r="55" spans="1:12" ht="15.75" customHeight="1">
      <c r="A55" s="111"/>
      <c r="B55" s="111"/>
      <c r="C55" s="111"/>
      <c r="D55" s="111"/>
      <c r="E55" s="111"/>
      <c r="F55" s="111"/>
      <c r="G55" s="111"/>
      <c r="H55" s="111"/>
      <c r="I55" s="111"/>
      <c r="J55" s="112"/>
      <c r="K55" s="111"/>
      <c r="L55" s="98"/>
    </row>
    <row r="56" spans="1:12" ht="15.75" customHeight="1">
      <c r="A56" s="111"/>
      <c r="B56" s="111"/>
      <c r="C56" s="111"/>
      <c r="D56" s="111"/>
      <c r="E56" s="111"/>
      <c r="F56" s="111"/>
      <c r="G56" s="111"/>
      <c r="H56" s="111"/>
      <c r="I56" s="111"/>
      <c r="J56" s="112"/>
      <c r="K56" s="111"/>
      <c r="L56" s="98"/>
    </row>
    <row r="57" spans="1:12" ht="15.75" customHeight="1">
      <c r="A57" s="111"/>
      <c r="B57" s="111"/>
      <c r="C57" s="111"/>
      <c r="D57" s="111"/>
      <c r="E57" s="111"/>
      <c r="F57" s="111"/>
      <c r="G57" s="111"/>
      <c r="H57" s="111"/>
      <c r="I57" s="111"/>
      <c r="J57" s="112"/>
      <c r="K57" s="111"/>
      <c r="L57" s="98"/>
    </row>
    <row r="58" spans="1:12" ht="15.75" customHeight="1">
      <c r="A58" s="111"/>
      <c r="B58" s="111"/>
      <c r="C58" s="111"/>
      <c r="D58" s="111"/>
      <c r="E58" s="111"/>
      <c r="F58" s="111"/>
      <c r="G58" s="111"/>
      <c r="H58" s="111"/>
      <c r="I58" s="111"/>
      <c r="J58" s="112"/>
      <c r="K58" s="111"/>
      <c r="L58" s="98"/>
    </row>
    <row r="59" spans="1:12" ht="15.75" customHeight="1">
      <c r="A59" s="111"/>
      <c r="B59" s="111"/>
      <c r="C59" s="111"/>
      <c r="D59" s="111"/>
      <c r="E59" s="111"/>
      <c r="F59" s="111"/>
      <c r="G59" s="111"/>
      <c r="H59" s="111"/>
      <c r="I59" s="111"/>
      <c r="J59" s="112"/>
      <c r="K59" s="111"/>
      <c r="L59" s="98"/>
    </row>
    <row r="60" spans="1:12" ht="15.75" customHeight="1">
      <c r="A60" s="111"/>
      <c r="B60" s="111"/>
      <c r="C60" s="111"/>
      <c r="D60" s="111"/>
      <c r="E60" s="111"/>
      <c r="F60" s="111"/>
      <c r="G60" s="111"/>
      <c r="H60" s="111"/>
      <c r="I60" s="111"/>
      <c r="J60" s="112"/>
      <c r="K60" s="111"/>
      <c r="L60" s="98"/>
    </row>
    <row r="61" spans="1:12" ht="15.75" customHeight="1">
      <c r="A61" s="111"/>
      <c r="B61" s="111"/>
      <c r="C61" s="111"/>
      <c r="D61" s="111"/>
      <c r="E61" s="111"/>
      <c r="F61" s="111"/>
      <c r="G61" s="111"/>
      <c r="H61" s="111"/>
      <c r="I61" s="111"/>
      <c r="J61" s="112"/>
      <c r="K61" s="111"/>
      <c r="L61" s="98"/>
    </row>
    <row r="62" spans="1:12" ht="15.75" customHeight="1">
      <c r="A62" s="111"/>
      <c r="B62" s="111"/>
      <c r="C62" s="111"/>
      <c r="D62" s="111"/>
      <c r="E62" s="111"/>
      <c r="F62" s="111"/>
      <c r="G62" s="111"/>
      <c r="H62" s="111"/>
      <c r="I62" s="111"/>
      <c r="J62" s="112"/>
      <c r="K62" s="111"/>
      <c r="L62" s="98"/>
    </row>
    <row r="63" spans="1:12" ht="15.75" customHeight="1">
      <c r="A63" s="111"/>
      <c r="B63" s="111"/>
      <c r="C63" s="111"/>
      <c r="D63" s="111"/>
      <c r="E63" s="111"/>
      <c r="F63" s="111"/>
      <c r="G63" s="111"/>
      <c r="H63" s="111"/>
      <c r="I63" s="111"/>
      <c r="J63" s="112"/>
      <c r="K63" s="111"/>
      <c r="L63" s="98"/>
    </row>
    <row r="64" spans="1:12" ht="15.75" customHeight="1">
      <c r="A64" s="111"/>
      <c r="B64" s="111"/>
      <c r="C64" s="111"/>
      <c r="D64" s="111"/>
      <c r="E64" s="111"/>
      <c r="F64" s="111"/>
      <c r="G64" s="111"/>
      <c r="H64" s="111"/>
      <c r="I64" s="111"/>
      <c r="J64" s="112"/>
      <c r="K64" s="111"/>
      <c r="L64" s="98"/>
    </row>
    <row r="65" spans="1:12" ht="15.75" customHeight="1">
      <c r="A65" s="111"/>
      <c r="B65" s="111"/>
      <c r="C65" s="111"/>
      <c r="D65" s="111"/>
      <c r="E65" s="111"/>
      <c r="F65" s="111"/>
      <c r="G65" s="111"/>
      <c r="H65" s="111"/>
      <c r="I65" s="111"/>
      <c r="J65" s="112"/>
      <c r="K65" s="111"/>
      <c r="L65" s="98"/>
    </row>
    <row r="66" spans="1:12" ht="15.75" customHeight="1">
      <c r="A66" s="111"/>
      <c r="B66" s="111"/>
      <c r="C66" s="111"/>
      <c r="D66" s="111"/>
      <c r="E66" s="111"/>
      <c r="F66" s="111"/>
      <c r="G66" s="111"/>
      <c r="H66" s="111"/>
      <c r="I66" s="111"/>
      <c r="J66" s="112"/>
      <c r="K66" s="111"/>
      <c r="L66" s="98"/>
    </row>
    <row r="67" spans="1:12" ht="15.75" customHeight="1">
      <c r="A67" s="111"/>
      <c r="B67" s="111"/>
      <c r="C67" s="111"/>
      <c r="D67" s="111"/>
      <c r="E67" s="111"/>
      <c r="F67" s="111"/>
      <c r="G67" s="111"/>
      <c r="H67" s="111"/>
      <c r="I67" s="111"/>
      <c r="J67" s="112"/>
      <c r="K67" s="111"/>
      <c r="L67" s="98"/>
    </row>
    <row r="68" spans="1:12" ht="15.75" customHeight="1">
      <c r="A68" s="111"/>
      <c r="B68" s="111"/>
      <c r="C68" s="111"/>
      <c r="D68" s="111"/>
      <c r="E68" s="111"/>
      <c r="F68" s="111"/>
      <c r="G68" s="111"/>
      <c r="H68" s="111"/>
      <c r="I68" s="111"/>
      <c r="J68" s="112"/>
      <c r="K68" s="111"/>
      <c r="L68" s="98"/>
    </row>
    <row r="69" spans="1:12" ht="15.75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2"/>
      <c r="K69" s="111"/>
      <c r="L69" s="98"/>
    </row>
    <row r="70" spans="1:12" ht="15.75" customHeight="1">
      <c r="A70" s="111"/>
      <c r="B70" s="111"/>
      <c r="C70" s="111"/>
      <c r="D70" s="111"/>
      <c r="E70" s="111"/>
      <c r="F70" s="111"/>
      <c r="G70" s="111"/>
      <c r="H70" s="111"/>
      <c r="I70" s="111"/>
      <c r="J70" s="112"/>
      <c r="K70" s="111"/>
      <c r="L70" s="98"/>
    </row>
    <row r="71" spans="1:12" ht="15.75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2"/>
      <c r="K71" s="111"/>
      <c r="L71" s="98"/>
    </row>
    <row r="72" spans="1:12" ht="15.75" customHeight="1">
      <c r="A72" s="111"/>
      <c r="B72" s="111"/>
      <c r="C72" s="111"/>
      <c r="D72" s="111"/>
      <c r="E72" s="111"/>
      <c r="F72" s="111"/>
      <c r="G72" s="111"/>
      <c r="H72" s="111"/>
      <c r="I72" s="111"/>
      <c r="J72" s="112"/>
      <c r="K72" s="111"/>
      <c r="L72" s="98"/>
    </row>
    <row r="73" spans="1:12" ht="15.75" customHeight="1">
      <c r="A73" s="111"/>
      <c r="B73" s="111"/>
      <c r="C73" s="111"/>
      <c r="D73" s="111"/>
      <c r="E73" s="111"/>
      <c r="F73" s="111"/>
      <c r="G73" s="111"/>
      <c r="H73" s="111"/>
      <c r="I73" s="111"/>
      <c r="J73" s="112"/>
      <c r="K73" s="111"/>
      <c r="L73" s="98"/>
    </row>
    <row r="74" spans="1:12" ht="15.75" customHeight="1">
      <c r="A74" s="111"/>
      <c r="B74" s="111"/>
      <c r="C74" s="111"/>
      <c r="D74" s="111"/>
      <c r="E74" s="111"/>
      <c r="F74" s="111"/>
      <c r="G74" s="111"/>
      <c r="H74" s="111"/>
      <c r="I74" s="111"/>
      <c r="J74" s="112"/>
      <c r="K74" s="111"/>
      <c r="L74" s="98"/>
    </row>
    <row r="75" spans="1:12" ht="15.75" customHeight="1">
      <c r="A75" s="111"/>
      <c r="B75" s="111"/>
      <c r="C75" s="111"/>
      <c r="D75" s="111"/>
      <c r="E75" s="111"/>
      <c r="F75" s="111"/>
      <c r="G75" s="111"/>
      <c r="H75" s="111"/>
      <c r="I75" s="111"/>
      <c r="J75" s="112"/>
      <c r="K75" s="111"/>
      <c r="L75" s="98"/>
    </row>
    <row r="76" spans="1:12" ht="15.75" customHeight="1">
      <c r="A76" s="111"/>
      <c r="B76" s="111"/>
      <c r="C76" s="111"/>
      <c r="D76" s="111"/>
      <c r="E76" s="111"/>
      <c r="F76" s="111"/>
      <c r="G76" s="111"/>
      <c r="H76" s="111"/>
      <c r="I76" s="111"/>
      <c r="J76" s="112"/>
      <c r="K76" s="111"/>
      <c r="L76" s="98"/>
    </row>
    <row r="77" spans="1:12" ht="15.75" customHeight="1">
      <c r="A77" s="111"/>
      <c r="B77" s="111"/>
      <c r="C77" s="111"/>
      <c r="D77" s="111"/>
      <c r="E77" s="111"/>
      <c r="F77" s="111"/>
      <c r="G77" s="111"/>
      <c r="H77" s="111"/>
      <c r="I77" s="111"/>
      <c r="J77" s="112"/>
      <c r="K77" s="111"/>
      <c r="L77" s="98"/>
    </row>
    <row r="78" spans="1:12" ht="15.75" customHeight="1">
      <c r="A78" s="111"/>
      <c r="B78" s="111"/>
      <c r="C78" s="111"/>
      <c r="D78" s="111"/>
      <c r="E78" s="111"/>
      <c r="F78" s="111"/>
      <c r="G78" s="111"/>
      <c r="H78" s="111"/>
      <c r="I78" s="111"/>
      <c r="J78" s="112"/>
      <c r="K78" s="111"/>
      <c r="L78" s="98"/>
    </row>
    <row r="79" spans="1:12" ht="15.75" customHeight="1">
      <c r="A79" s="111"/>
      <c r="B79" s="111"/>
      <c r="C79" s="111"/>
      <c r="D79" s="111"/>
      <c r="E79" s="111"/>
      <c r="F79" s="111"/>
      <c r="G79" s="111"/>
      <c r="H79" s="111"/>
      <c r="I79" s="111"/>
      <c r="J79" s="112"/>
      <c r="K79" s="111"/>
      <c r="L79" s="98"/>
    </row>
    <row r="80" spans="1:12" ht="15.75" customHeight="1">
      <c r="A80" s="111"/>
      <c r="B80" s="111"/>
      <c r="C80" s="111"/>
      <c r="D80" s="111"/>
      <c r="E80" s="111"/>
      <c r="F80" s="111"/>
      <c r="G80" s="111"/>
      <c r="H80" s="111"/>
      <c r="I80" s="111"/>
      <c r="J80" s="112"/>
      <c r="K80" s="111"/>
      <c r="L80" s="98"/>
    </row>
    <row r="81" spans="1:12" ht="15.75" customHeight="1">
      <c r="A81" s="111"/>
      <c r="B81" s="111"/>
      <c r="C81" s="111"/>
      <c r="D81" s="111"/>
      <c r="E81" s="111"/>
      <c r="F81" s="111"/>
      <c r="G81" s="111"/>
      <c r="H81" s="111"/>
      <c r="I81" s="111"/>
      <c r="J81" s="112"/>
      <c r="K81" s="111"/>
      <c r="L81" s="98"/>
    </row>
    <row r="82" spans="1:12" ht="15.75" customHeight="1">
      <c r="A82" s="111"/>
      <c r="B82" s="111"/>
      <c r="C82" s="111"/>
      <c r="D82" s="111"/>
      <c r="E82" s="111"/>
      <c r="F82" s="111"/>
      <c r="G82" s="111"/>
      <c r="H82" s="111"/>
      <c r="I82" s="111"/>
      <c r="J82" s="112"/>
      <c r="K82" s="111"/>
      <c r="L82" s="98"/>
    </row>
    <row r="83" spans="1:12" ht="15.75" customHeight="1">
      <c r="A83" s="111"/>
      <c r="B83" s="111"/>
      <c r="C83" s="111"/>
      <c r="D83" s="111"/>
      <c r="E83" s="111"/>
      <c r="F83" s="111"/>
      <c r="G83" s="111"/>
      <c r="H83" s="111"/>
      <c r="I83" s="111"/>
      <c r="J83" s="112"/>
      <c r="K83" s="111"/>
      <c r="L83" s="98"/>
    </row>
    <row r="84" spans="1:12" ht="15.75" customHeight="1">
      <c r="A84" s="111"/>
      <c r="B84" s="111"/>
      <c r="C84" s="111"/>
      <c r="D84" s="111"/>
      <c r="E84" s="111"/>
      <c r="F84" s="111"/>
      <c r="G84" s="111"/>
      <c r="H84" s="111"/>
      <c r="I84" s="111"/>
      <c r="J84" s="112"/>
      <c r="K84" s="111"/>
      <c r="L84" s="98"/>
    </row>
    <row r="85" spans="1:12" ht="15.75" customHeight="1">
      <c r="A85" s="111"/>
      <c r="B85" s="111"/>
      <c r="C85" s="111"/>
      <c r="D85" s="111"/>
      <c r="E85" s="111"/>
      <c r="F85" s="111"/>
      <c r="G85" s="111"/>
      <c r="H85" s="111"/>
      <c r="I85" s="111"/>
      <c r="J85" s="112"/>
      <c r="K85" s="111"/>
      <c r="L85" s="98"/>
    </row>
    <row r="86" spans="1:12" ht="15.75" customHeight="1">
      <c r="A86" s="111"/>
      <c r="B86" s="111"/>
      <c r="C86" s="111"/>
      <c r="D86" s="111"/>
      <c r="E86" s="111"/>
      <c r="F86" s="111"/>
      <c r="G86" s="111"/>
      <c r="H86" s="111"/>
      <c r="I86" s="111"/>
      <c r="J86" s="112"/>
      <c r="K86" s="111"/>
      <c r="L86" s="98"/>
    </row>
    <row r="87" spans="1:12" ht="15.75" customHeight="1">
      <c r="A87" s="111"/>
      <c r="B87" s="111"/>
      <c r="C87" s="111"/>
      <c r="D87" s="111"/>
      <c r="E87" s="111"/>
      <c r="F87" s="111"/>
      <c r="G87" s="111"/>
      <c r="H87" s="111"/>
      <c r="I87" s="111"/>
      <c r="J87" s="112"/>
      <c r="K87" s="111"/>
      <c r="L87" s="98"/>
    </row>
    <row r="88" spans="1:12" ht="15.75" customHeight="1">
      <c r="A88" s="111"/>
      <c r="B88" s="111"/>
      <c r="C88" s="111"/>
      <c r="D88" s="111"/>
      <c r="E88" s="111"/>
      <c r="F88" s="111"/>
      <c r="G88" s="111"/>
      <c r="H88" s="111"/>
      <c r="I88" s="111"/>
      <c r="J88" s="112"/>
      <c r="K88" s="111"/>
      <c r="L88" s="98"/>
    </row>
    <row r="89" spans="1:12" ht="15.75" customHeight="1">
      <c r="A89" s="111"/>
      <c r="B89" s="111"/>
      <c r="C89" s="111"/>
      <c r="D89" s="111"/>
      <c r="E89" s="111"/>
      <c r="F89" s="111"/>
      <c r="G89" s="111"/>
      <c r="H89" s="111"/>
      <c r="I89" s="111"/>
      <c r="J89" s="112"/>
      <c r="K89" s="111"/>
      <c r="L89" s="98"/>
    </row>
    <row r="90" spans="1:12" ht="15.75" customHeight="1">
      <c r="A90" s="111"/>
      <c r="B90" s="111"/>
      <c r="C90" s="111"/>
      <c r="D90" s="111"/>
      <c r="E90" s="111"/>
      <c r="F90" s="111"/>
      <c r="G90" s="111"/>
      <c r="H90" s="111"/>
      <c r="I90" s="111"/>
      <c r="J90" s="112"/>
      <c r="K90" s="111"/>
      <c r="L90" s="98"/>
    </row>
    <row r="91" spans="1:12" ht="15.75" customHeight="1">
      <c r="A91" s="111"/>
      <c r="B91" s="111"/>
      <c r="C91" s="111"/>
      <c r="D91" s="111"/>
      <c r="E91" s="111"/>
      <c r="F91" s="111"/>
      <c r="G91" s="111"/>
      <c r="H91" s="111"/>
      <c r="I91" s="111"/>
      <c r="J91" s="112"/>
      <c r="K91" s="111"/>
      <c r="L91" s="98"/>
    </row>
    <row r="92" spans="1:12" ht="15.75" customHeight="1">
      <c r="A92" s="111"/>
      <c r="B92" s="111"/>
      <c r="C92" s="111"/>
      <c r="D92" s="111"/>
      <c r="E92" s="111"/>
      <c r="F92" s="111"/>
      <c r="G92" s="111"/>
      <c r="H92" s="111"/>
      <c r="I92" s="111"/>
      <c r="J92" s="112"/>
      <c r="K92" s="111"/>
      <c r="L92" s="98"/>
    </row>
    <row r="93" spans="1:12" ht="15.75" customHeight="1">
      <c r="A93" s="111"/>
      <c r="B93" s="111"/>
      <c r="C93" s="111"/>
      <c r="D93" s="111"/>
      <c r="E93" s="111"/>
      <c r="F93" s="111"/>
      <c r="G93" s="111"/>
      <c r="H93" s="111"/>
      <c r="I93" s="111"/>
      <c r="J93" s="112"/>
      <c r="K93" s="111"/>
      <c r="L93" s="98"/>
    </row>
    <row r="94" spans="1:12" ht="15.75" customHeight="1">
      <c r="A94" s="111"/>
      <c r="B94" s="111"/>
      <c r="C94" s="111"/>
      <c r="D94" s="111"/>
      <c r="E94" s="111"/>
      <c r="F94" s="111"/>
      <c r="G94" s="111"/>
      <c r="H94" s="111"/>
      <c r="I94" s="111"/>
      <c r="J94" s="112"/>
      <c r="K94" s="111"/>
      <c r="L94" s="98"/>
    </row>
    <row r="95" spans="1:12" ht="15.75" customHeight="1">
      <c r="A95" s="111"/>
      <c r="B95" s="111"/>
      <c r="C95" s="111"/>
      <c r="D95" s="111"/>
      <c r="E95" s="111"/>
      <c r="F95" s="111"/>
      <c r="G95" s="111"/>
      <c r="H95" s="111"/>
      <c r="I95" s="111"/>
      <c r="J95" s="112"/>
      <c r="K95" s="111"/>
      <c r="L95" s="98"/>
    </row>
    <row r="96" spans="1:12" ht="15.75" customHeight="1">
      <c r="A96" s="111"/>
      <c r="B96" s="111"/>
      <c r="C96" s="111"/>
      <c r="D96" s="111"/>
      <c r="E96" s="111"/>
      <c r="F96" s="111"/>
      <c r="G96" s="111"/>
      <c r="H96" s="111"/>
      <c r="I96" s="111"/>
      <c r="J96" s="112"/>
      <c r="K96" s="111"/>
      <c r="L96" s="98"/>
    </row>
    <row r="97" spans="1:12" ht="15.75" customHeight="1">
      <c r="A97" s="111"/>
      <c r="B97" s="111"/>
      <c r="C97" s="111"/>
      <c r="D97" s="111"/>
      <c r="E97" s="111"/>
      <c r="F97" s="111"/>
      <c r="G97" s="111"/>
      <c r="H97" s="111"/>
      <c r="I97" s="111"/>
      <c r="J97" s="112"/>
      <c r="K97" s="111"/>
      <c r="L97" s="98"/>
    </row>
    <row r="98" spans="1:12" ht="15.75" customHeight="1">
      <c r="A98" s="111"/>
      <c r="B98" s="111"/>
      <c r="C98" s="111"/>
      <c r="D98" s="111"/>
      <c r="E98" s="111"/>
      <c r="F98" s="111"/>
      <c r="G98" s="111"/>
      <c r="H98" s="111"/>
      <c r="I98" s="111"/>
      <c r="J98" s="112"/>
      <c r="K98" s="111"/>
      <c r="L98" s="98"/>
    </row>
    <row r="99" spans="1:12" ht="15.75" customHeight="1">
      <c r="A99" s="111"/>
      <c r="B99" s="111"/>
      <c r="C99" s="111"/>
      <c r="D99" s="111"/>
      <c r="E99" s="111"/>
      <c r="F99" s="111"/>
      <c r="G99" s="111"/>
      <c r="H99" s="111"/>
      <c r="I99" s="111"/>
      <c r="J99" s="112"/>
      <c r="K99" s="111"/>
      <c r="L99" s="98"/>
    </row>
    <row r="100" spans="1:12" ht="15.75" customHeight="1">
      <c r="A100" s="111"/>
      <c r="B100" s="111"/>
      <c r="C100" s="111"/>
      <c r="D100" s="111"/>
      <c r="E100" s="111"/>
      <c r="F100" s="111"/>
      <c r="G100" s="111"/>
      <c r="H100" s="111"/>
      <c r="I100" s="111"/>
      <c r="J100" s="112"/>
      <c r="K100" s="111"/>
      <c r="L100" s="98"/>
    </row>
    <row r="101" spans="1:12" ht="15.75" customHeight="1">
      <c r="A101" s="111"/>
      <c r="B101" s="111"/>
      <c r="C101" s="111"/>
      <c r="D101" s="111"/>
      <c r="E101" s="111"/>
      <c r="F101" s="111"/>
      <c r="G101" s="111"/>
      <c r="H101" s="111"/>
      <c r="I101" s="111"/>
      <c r="J101" s="112"/>
      <c r="K101" s="111"/>
      <c r="L101" s="98"/>
    </row>
    <row r="102" spans="1:12" ht="15.75" customHeight="1">
      <c r="A102" s="111"/>
      <c r="B102" s="111"/>
      <c r="C102" s="111"/>
      <c r="D102" s="111"/>
      <c r="E102" s="111"/>
      <c r="F102" s="111"/>
      <c r="G102" s="111"/>
      <c r="H102" s="111"/>
      <c r="I102" s="111"/>
      <c r="J102" s="112"/>
      <c r="K102" s="111"/>
      <c r="L102" s="98"/>
    </row>
    <row r="103" spans="1:12" ht="15.75" customHeight="1">
      <c r="A103" s="111"/>
      <c r="B103" s="111"/>
      <c r="C103" s="111"/>
      <c r="D103" s="111"/>
      <c r="E103" s="111"/>
      <c r="F103" s="111"/>
      <c r="G103" s="111"/>
      <c r="H103" s="111"/>
      <c r="I103" s="111"/>
      <c r="J103" s="112"/>
      <c r="K103" s="111"/>
      <c r="L103" s="98"/>
    </row>
    <row r="104" spans="1:12" ht="15.75" customHeight="1">
      <c r="A104" s="111"/>
      <c r="B104" s="111"/>
      <c r="C104" s="111"/>
      <c r="D104" s="111"/>
      <c r="E104" s="111"/>
      <c r="F104" s="111"/>
      <c r="G104" s="111"/>
      <c r="H104" s="111"/>
      <c r="I104" s="111"/>
      <c r="J104" s="112"/>
      <c r="K104" s="111"/>
      <c r="L104" s="98"/>
    </row>
    <row r="105" spans="1:12" ht="15.75" customHeight="1">
      <c r="A105" s="111"/>
      <c r="B105" s="111"/>
      <c r="C105" s="111"/>
      <c r="D105" s="111"/>
      <c r="E105" s="111"/>
      <c r="F105" s="111"/>
      <c r="G105" s="111"/>
      <c r="H105" s="111"/>
      <c r="I105" s="111"/>
      <c r="J105" s="112"/>
      <c r="K105" s="111"/>
      <c r="L105" s="98"/>
    </row>
    <row r="106" spans="1:12" ht="15.75" customHeight="1">
      <c r="A106" s="111"/>
      <c r="B106" s="111"/>
      <c r="C106" s="111"/>
      <c r="D106" s="111"/>
      <c r="E106" s="111"/>
      <c r="F106" s="111"/>
      <c r="G106" s="111"/>
      <c r="H106" s="111"/>
      <c r="I106" s="111"/>
      <c r="J106" s="112"/>
      <c r="K106" s="111"/>
      <c r="L106" s="98"/>
    </row>
    <row r="107" spans="1:12" ht="15.75" customHeight="1">
      <c r="A107" s="111"/>
      <c r="B107" s="111"/>
      <c r="C107" s="111"/>
      <c r="D107" s="111"/>
      <c r="E107" s="111"/>
      <c r="F107" s="111"/>
      <c r="G107" s="111"/>
      <c r="H107" s="111"/>
      <c r="I107" s="111"/>
      <c r="J107" s="112"/>
      <c r="K107" s="111"/>
      <c r="L107" s="98"/>
    </row>
    <row r="108" spans="1:12" ht="15.75" customHeight="1">
      <c r="A108" s="111"/>
      <c r="B108" s="111"/>
      <c r="C108" s="111"/>
      <c r="D108" s="111"/>
      <c r="E108" s="111"/>
      <c r="F108" s="111"/>
      <c r="G108" s="111"/>
      <c r="H108" s="111"/>
      <c r="I108" s="111"/>
      <c r="J108" s="112"/>
      <c r="K108" s="111"/>
      <c r="L108" s="98"/>
    </row>
    <row r="109" spans="1:12" ht="15.75" customHeight="1">
      <c r="A109" s="111"/>
      <c r="B109" s="111"/>
      <c r="C109" s="111"/>
      <c r="D109" s="111"/>
      <c r="E109" s="111"/>
      <c r="F109" s="111"/>
      <c r="G109" s="111"/>
      <c r="H109" s="111"/>
      <c r="I109" s="111"/>
      <c r="J109" s="112"/>
      <c r="K109" s="111"/>
      <c r="L109" s="98"/>
    </row>
    <row r="110" spans="1:12" ht="15.75" customHeight="1">
      <c r="A110" s="111"/>
      <c r="B110" s="111"/>
      <c r="C110" s="111"/>
      <c r="D110" s="111"/>
      <c r="E110" s="111"/>
      <c r="F110" s="111"/>
      <c r="G110" s="111"/>
      <c r="H110" s="111"/>
      <c r="I110" s="111"/>
      <c r="J110" s="112"/>
      <c r="K110" s="111"/>
      <c r="L110" s="98"/>
    </row>
    <row r="111" spans="1:12" ht="15.75" customHeight="1">
      <c r="A111" s="111"/>
      <c r="B111" s="111"/>
      <c r="C111" s="111"/>
      <c r="D111" s="111"/>
      <c r="E111" s="111"/>
      <c r="F111" s="111"/>
      <c r="G111" s="111"/>
      <c r="H111" s="111"/>
      <c r="I111" s="111"/>
      <c r="J111" s="112"/>
      <c r="K111" s="111"/>
      <c r="L111" s="98"/>
    </row>
    <row r="112" spans="1:12" ht="15.75" customHeight="1">
      <c r="A112" s="111"/>
      <c r="B112" s="111"/>
      <c r="C112" s="111"/>
      <c r="D112" s="111"/>
      <c r="E112" s="111"/>
      <c r="F112" s="111"/>
      <c r="G112" s="111"/>
      <c r="H112" s="111"/>
      <c r="I112" s="111"/>
      <c r="J112" s="112"/>
      <c r="K112" s="111"/>
      <c r="L112" s="98"/>
    </row>
    <row r="113" spans="1:12" ht="15.75" customHeight="1">
      <c r="A113" s="111"/>
      <c r="B113" s="111"/>
      <c r="C113" s="111"/>
      <c r="D113" s="111"/>
      <c r="E113" s="111"/>
      <c r="F113" s="111"/>
      <c r="G113" s="111"/>
      <c r="H113" s="111"/>
      <c r="I113" s="111"/>
      <c r="J113" s="112"/>
      <c r="K113" s="111"/>
      <c r="L113" s="98"/>
    </row>
    <row r="114" spans="1:12" ht="15.75" customHeight="1">
      <c r="A114" s="111"/>
      <c r="B114" s="111"/>
      <c r="C114" s="111"/>
      <c r="D114" s="111"/>
      <c r="E114" s="111"/>
      <c r="F114" s="111"/>
      <c r="G114" s="111"/>
      <c r="H114" s="111"/>
      <c r="I114" s="111"/>
      <c r="J114" s="112"/>
      <c r="K114" s="111"/>
      <c r="L114" s="98"/>
    </row>
    <row r="115" spans="1:12" ht="15.75" customHeight="1">
      <c r="A115" s="111"/>
      <c r="B115" s="111"/>
      <c r="C115" s="111"/>
      <c r="D115" s="111"/>
      <c r="E115" s="111"/>
      <c r="F115" s="111"/>
      <c r="G115" s="111"/>
      <c r="H115" s="111"/>
      <c r="I115" s="111"/>
      <c r="J115" s="112"/>
      <c r="K115" s="111"/>
      <c r="L115" s="98"/>
    </row>
    <row r="116" spans="1:12" ht="15.75" customHeight="1">
      <c r="A116" s="111"/>
      <c r="B116" s="111"/>
      <c r="C116" s="111"/>
      <c r="D116" s="111"/>
      <c r="E116" s="111"/>
      <c r="F116" s="111"/>
      <c r="G116" s="111"/>
      <c r="H116" s="111"/>
      <c r="I116" s="111"/>
      <c r="J116" s="112"/>
      <c r="K116" s="111"/>
      <c r="L116" s="98"/>
    </row>
    <row r="117" spans="1:12" ht="15.75" customHeight="1">
      <c r="A117" s="111"/>
      <c r="B117" s="111"/>
      <c r="C117" s="111"/>
      <c r="D117" s="111"/>
      <c r="E117" s="111"/>
      <c r="F117" s="111"/>
      <c r="G117" s="111"/>
      <c r="H117" s="111"/>
      <c r="I117" s="111"/>
      <c r="J117" s="112"/>
      <c r="K117" s="111"/>
      <c r="L117" s="98"/>
    </row>
    <row r="118" spans="1:12" ht="15.75" customHeight="1">
      <c r="A118" s="111"/>
      <c r="B118" s="111"/>
      <c r="C118" s="111"/>
      <c r="D118" s="111"/>
      <c r="E118" s="111"/>
      <c r="F118" s="111"/>
      <c r="G118" s="111"/>
      <c r="H118" s="111"/>
      <c r="I118" s="111"/>
      <c r="J118" s="112"/>
      <c r="K118" s="111"/>
      <c r="L118" s="98"/>
    </row>
    <row r="119" spans="1:12" ht="15.75" customHeight="1">
      <c r="A119" s="111"/>
      <c r="B119" s="111"/>
      <c r="C119" s="111"/>
      <c r="D119" s="111"/>
      <c r="E119" s="111"/>
      <c r="F119" s="111"/>
      <c r="G119" s="111"/>
      <c r="H119" s="111"/>
      <c r="I119" s="111"/>
      <c r="J119" s="112"/>
      <c r="K119" s="111"/>
      <c r="L119" s="98"/>
    </row>
    <row r="120" spans="1:12" ht="15.75" customHeight="1">
      <c r="A120" s="111"/>
      <c r="B120" s="111"/>
      <c r="C120" s="111"/>
      <c r="D120" s="111"/>
      <c r="E120" s="111"/>
      <c r="F120" s="111"/>
      <c r="G120" s="111"/>
      <c r="H120" s="111"/>
      <c r="I120" s="111"/>
      <c r="J120" s="112"/>
      <c r="K120" s="111"/>
      <c r="L120" s="98"/>
    </row>
    <row r="121" spans="1:12" ht="15.75" customHeight="1">
      <c r="A121" s="111"/>
      <c r="B121" s="111"/>
      <c r="C121" s="111"/>
      <c r="D121" s="111"/>
      <c r="E121" s="111"/>
      <c r="F121" s="111"/>
      <c r="G121" s="111"/>
      <c r="H121" s="111"/>
      <c r="I121" s="111"/>
      <c r="J121" s="112"/>
      <c r="K121" s="111"/>
      <c r="L121" s="98"/>
    </row>
    <row r="122" spans="1:12" ht="15.75" customHeight="1">
      <c r="A122" s="111"/>
      <c r="B122" s="111"/>
      <c r="C122" s="111"/>
      <c r="D122" s="111"/>
      <c r="E122" s="111"/>
      <c r="F122" s="111"/>
      <c r="G122" s="111"/>
      <c r="H122" s="111"/>
      <c r="I122" s="111"/>
      <c r="J122" s="112"/>
      <c r="K122" s="111"/>
      <c r="L122" s="98"/>
    </row>
    <row r="123" spans="1:12" ht="15.75" customHeight="1">
      <c r="A123" s="111"/>
      <c r="B123" s="111"/>
      <c r="C123" s="111"/>
      <c r="D123" s="111"/>
      <c r="E123" s="111"/>
      <c r="F123" s="111"/>
      <c r="G123" s="111"/>
      <c r="H123" s="111"/>
      <c r="I123" s="111"/>
      <c r="J123" s="112"/>
      <c r="K123" s="111"/>
      <c r="L123" s="98"/>
    </row>
    <row r="124" spans="1:12" ht="15.75" customHeight="1">
      <c r="A124" s="111"/>
      <c r="B124" s="111"/>
      <c r="C124" s="111"/>
      <c r="D124" s="111"/>
      <c r="E124" s="111"/>
      <c r="F124" s="111"/>
      <c r="G124" s="111"/>
      <c r="H124" s="111"/>
      <c r="I124" s="111"/>
      <c r="J124" s="112"/>
      <c r="K124" s="111"/>
      <c r="L124" s="98"/>
    </row>
    <row r="125" spans="1:12" ht="15.75" customHeight="1">
      <c r="A125" s="111"/>
      <c r="B125" s="111"/>
      <c r="C125" s="111"/>
      <c r="D125" s="111"/>
      <c r="E125" s="111"/>
      <c r="F125" s="111"/>
      <c r="G125" s="111"/>
      <c r="H125" s="111"/>
      <c r="I125" s="111"/>
      <c r="J125" s="112"/>
      <c r="K125" s="111"/>
      <c r="L125" s="98"/>
    </row>
    <row r="126" spans="1:12" ht="15.75" customHeight="1">
      <c r="A126" s="111"/>
      <c r="B126" s="111"/>
      <c r="C126" s="111"/>
      <c r="D126" s="111"/>
      <c r="E126" s="111"/>
      <c r="F126" s="111"/>
      <c r="G126" s="111"/>
      <c r="H126" s="111"/>
      <c r="I126" s="111"/>
      <c r="J126" s="112"/>
      <c r="K126" s="111"/>
      <c r="L126" s="98"/>
    </row>
    <row r="127" spans="1:12" ht="15.75" customHeight="1">
      <c r="A127" s="111"/>
      <c r="B127" s="111"/>
      <c r="C127" s="111"/>
      <c r="D127" s="111"/>
      <c r="E127" s="111"/>
      <c r="F127" s="111"/>
      <c r="G127" s="111"/>
      <c r="H127" s="111"/>
      <c r="I127" s="111"/>
      <c r="J127" s="112"/>
      <c r="K127" s="111"/>
      <c r="L127" s="98"/>
    </row>
    <row r="128" spans="1:12" ht="15.75" customHeight="1">
      <c r="A128" s="111"/>
      <c r="B128" s="111"/>
      <c r="C128" s="111"/>
      <c r="D128" s="111"/>
      <c r="E128" s="111"/>
      <c r="F128" s="111"/>
      <c r="G128" s="111"/>
      <c r="H128" s="111"/>
      <c r="I128" s="111"/>
      <c r="J128" s="112"/>
      <c r="K128" s="111"/>
      <c r="L128" s="98"/>
    </row>
    <row r="129" spans="1:12" ht="15.75" customHeight="1">
      <c r="A129" s="111"/>
      <c r="B129" s="111"/>
      <c r="C129" s="111"/>
      <c r="D129" s="111"/>
      <c r="E129" s="111"/>
      <c r="F129" s="111"/>
      <c r="G129" s="111"/>
      <c r="H129" s="111"/>
      <c r="I129" s="111"/>
      <c r="J129" s="112"/>
      <c r="K129" s="111"/>
      <c r="L129" s="98"/>
    </row>
    <row r="130" spans="1:12" ht="15.75" customHeight="1">
      <c r="A130" s="111"/>
      <c r="B130" s="111"/>
      <c r="C130" s="111"/>
      <c r="D130" s="111"/>
      <c r="E130" s="111"/>
      <c r="F130" s="111"/>
      <c r="G130" s="111"/>
      <c r="H130" s="111"/>
      <c r="I130" s="111"/>
      <c r="J130" s="112"/>
      <c r="K130" s="111"/>
      <c r="L130" s="98"/>
    </row>
    <row r="131" spans="1:12" ht="15.75" customHeight="1">
      <c r="A131" s="111"/>
      <c r="B131" s="111"/>
      <c r="C131" s="111"/>
      <c r="D131" s="111"/>
      <c r="E131" s="111"/>
      <c r="F131" s="111"/>
      <c r="G131" s="111"/>
      <c r="H131" s="111"/>
      <c r="I131" s="111"/>
      <c r="J131" s="112"/>
      <c r="K131" s="111"/>
      <c r="L131" s="98"/>
    </row>
    <row r="132" spans="1:12" ht="15.75" customHeight="1">
      <c r="A132" s="111"/>
      <c r="B132" s="111"/>
      <c r="C132" s="111"/>
      <c r="D132" s="111"/>
      <c r="E132" s="111"/>
      <c r="F132" s="111"/>
      <c r="G132" s="111"/>
      <c r="H132" s="111"/>
      <c r="I132" s="111"/>
      <c r="J132" s="112"/>
      <c r="K132" s="111"/>
      <c r="L132" s="98"/>
    </row>
    <row r="133" spans="1:12" ht="15.75" customHeight="1">
      <c r="A133" s="111"/>
      <c r="B133" s="111"/>
      <c r="C133" s="111"/>
      <c r="D133" s="111"/>
      <c r="E133" s="111"/>
      <c r="F133" s="111"/>
      <c r="G133" s="111"/>
      <c r="H133" s="111"/>
      <c r="I133" s="111"/>
      <c r="J133" s="112"/>
      <c r="K133" s="111"/>
      <c r="L133" s="98"/>
    </row>
    <row r="134" spans="1:12" ht="15.75" customHeight="1">
      <c r="A134" s="111"/>
      <c r="B134" s="111"/>
      <c r="C134" s="111"/>
      <c r="D134" s="111"/>
      <c r="E134" s="111"/>
      <c r="F134" s="111"/>
      <c r="G134" s="111"/>
      <c r="H134" s="111"/>
      <c r="I134" s="111"/>
      <c r="J134" s="112"/>
      <c r="K134" s="111"/>
      <c r="L134" s="98"/>
    </row>
    <row r="135" spans="1:12" ht="15.75" customHeight="1">
      <c r="A135" s="111"/>
      <c r="B135" s="111"/>
      <c r="C135" s="111"/>
      <c r="D135" s="111"/>
      <c r="E135" s="111"/>
      <c r="F135" s="111"/>
      <c r="G135" s="111"/>
      <c r="H135" s="111"/>
      <c r="I135" s="111"/>
      <c r="J135" s="112"/>
      <c r="K135" s="111"/>
      <c r="L135" s="98"/>
    </row>
    <row r="136" spans="1:12" ht="15.75" customHeight="1">
      <c r="A136" s="111"/>
      <c r="B136" s="111"/>
      <c r="C136" s="111"/>
      <c r="D136" s="111"/>
      <c r="E136" s="111"/>
      <c r="F136" s="111"/>
      <c r="G136" s="111"/>
      <c r="H136" s="111"/>
      <c r="I136" s="111"/>
      <c r="J136" s="112"/>
      <c r="K136" s="111"/>
      <c r="L136" s="98"/>
    </row>
    <row r="137" spans="1:12" ht="15.75" customHeight="1">
      <c r="A137" s="111"/>
      <c r="B137" s="111"/>
      <c r="C137" s="111"/>
      <c r="D137" s="111"/>
      <c r="E137" s="111"/>
      <c r="F137" s="111"/>
      <c r="G137" s="111"/>
      <c r="H137" s="111"/>
      <c r="I137" s="111"/>
      <c r="J137" s="112"/>
      <c r="K137" s="111"/>
      <c r="L137" s="98"/>
    </row>
    <row r="138" spans="1:12" ht="15.75" customHeight="1">
      <c r="A138" s="111"/>
      <c r="B138" s="111"/>
      <c r="C138" s="111"/>
      <c r="D138" s="111"/>
      <c r="E138" s="111"/>
      <c r="F138" s="111"/>
      <c r="G138" s="111"/>
      <c r="H138" s="111"/>
      <c r="I138" s="111"/>
      <c r="J138" s="112"/>
      <c r="K138" s="111"/>
      <c r="L138" s="98"/>
    </row>
    <row r="139" spans="1:12" ht="15.75" customHeight="1">
      <c r="A139" s="111"/>
      <c r="B139" s="111"/>
      <c r="C139" s="111"/>
      <c r="D139" s="111"/>
      <c r="E139" s="111"/>
      <c r="F139" s="111"/>
      <c r="G139" s="111"/>
      <c r="H139" s="111"/>
      <c r="I139" s="111"/>
      <c r="J139" s="112"/>
      <c r="K139" s="111"/>
      <c r="L139" s="98"/>
    </row>
    <row r="140" spans="1:12" ht="15.75" customHeight="1">
      <c r="A140" s="111"/>
      <c r="B140" s="111"/>
      <c r="C140" s="111"/>
      <c r="D140" s="111"/>
      <c r="E140" s="111"/>
      <c r="F140" s="111"/>
      <c r="G140" s="111"/>
      <c r="H140" s="111"/>
      <c r="I140" s="111"/>
      <c r="J140" s="112"/>
      <c r="K140" s="111"/>
      <c r="L140" s="98"/>
    </row>
    <row r="141" spans="1:12" ht="15.75" customHeigh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2"/>
      <c r="K141" s="111"/>
      <c r="L141" s="98"/>
    </row>
    <row r="142" spans="1:12" ht="15.75" customHeight="1">
      <c r="A142" s="111"/>
      <c r="B142" s="111"/>
      <c r="C142" s="111"/>
      <c r="D142" s="111"/>
      <c r="E142" s="111"/>
      <c r="F142" s="111"/>
      <c r="G142" s="111"/>
      <c r="H142" s="111"/>
      <c r="I142" s="111"/>
      <c r="J142" s="112"/>
      <c r="K142" s="111"/>
      <c r="L142" s="98"/>
    </row>
    <row r="143" spans="1:12" ht="15.75" customHeight="1">
      <c r="A143" s="111"/>
      <c r="B143" s="111"/>
      <c r="C143" s="111"/>
      <c r="D143" s="111"/>
      <c r="E143" s="111"/>
      <c r="F143" s="111"/>
      <c r="G143" s="111"/>
      <c r="H143" s="111"/>
      <c r="I143" s="111"/>
      <c r="J143" s="112"/>
      <c r="K143" s="111"/>
      <c r="L143" s="98"/>
    </row>
    <row r="144" spans="1:12" ht="15.75" customHeight="1">
      <c r="A144" s="111"/>
      <c r="B144" s="111"/>
      <c r="C144" s="111"/>
      <c r="D144" s="111"/>
      <c r="E144" s="111"/>
      <c r="F144" s="111"/>
      <c r="G144" s="111"/>
      <c r="H144" s="111"/>
      <c r="I144" s="111"/>
      <c r="J144" s="112"/>
      <c r="K144" s="111"/>
      <c r="L144" s="98"/>
    </row>
    <row r="145" spans="1:12" ht="15.75" customHeight="1">
      <c r="A145" s="111"/>
      <c r="B145" s="111"/>
      <c r="C145" s="111"/>
      <c r="D145" s="111"/>
      <c r="E145" s="111"/>
      <c r="F145" s="111"/>
      <c r="G145" s="111"/>
      <c r="H145" s="111"/>
      <c r="I145" s="111"/>
      <c r="J145" s="112"/>
      <c r="K145" s="111"/>
      <c r="L145" s="98"/>
    </row>
    <row r="146" spans="1:12" ht="15.75" customHeight="1">
      <c r="A146" s="111"/>
      <c r="B146" s="111"/>
      <c r="C146" s="111"/>
      <c r="D146" s="111"/>
      <c r="E146" s="111"/>
      <c r="F146" s="111"/>
      <c r="G146" s="111"/>
      <c r="H146" s="111"/>
      <c r="I146" s="111"/>
      <c r="J146" s="112"/>
      <c r="K146" s="111"/>
      <c r="L146" s="98"/>
    </row>
    <row r="147" spans="1:12" ht="15.75" customHeight="1">
      <c r="A147" s="111"/>
      <c r="B147" s="111"/>
      <c r="C147" s="111"/>
      <c r="D147" s="111"/>
      <c r="E147" s="111"/>
      <c r="F147" s="111"/>
      <c r="G147" s="111"/>
      <c r="H147" s="111"/>
      <c r="I147" s="111"/>
      <c r="J147" s="112"/>
      <c r="K147" s="111"/>
      <c r="L147" s="98"/>
    </row>
    <row r="148" spans="1:12" ht="15.75" customHeight="1">
      <c r="A148" s="111"/>
      <c r="B148" s="111"/>
      <c r="C148" s="111"/>
      <c r="D148" s="111"/>
      <c r="E148" s="111"/>
      <c r="F148" s="111"/>
      <c r="G148" s="111"/>
      <c r="H148" s="111"/>
      <c r="I148" s="111"/>
      <c r="J148" s="112"/>
      <c r="K148" s="111"/>
      <c r="L148" s="98"/>
    </row>
    <row r="149" spans="1:12" ht="15.75" customHeight="1">
      <c r="A149" s="111"/>
      <c r="B149" s="111"/>
      <c r="C149" s="111"/>
      <c r="D149" s="111"/>
      <c r="E149" s="111"/>
      <c r="F149" s="111"/>
      <c r="G149" s="111"/>
      <c r="H149" s="111"/>
      <c r="I149" s="111"/>
      <c r="J149" s="112"/>
      <c r="K149" s="111"/>
      <c r="L149" s="98"/>
    </row>
    <row r="150" spans="1:12" ht="15.75" customHeight="1">
      <c r="A150" s="111"/>
      <c r="B150" s="111"/>
      <c r="C150" s="111"/>
      <c r="D150" s="111"/>
      <c r="E150" s="111"/>
      <c r="F150" s="111"/>
      <c r="G150" s="111"/>
      <c r="H150" s="111"/>
      <c r="I150" s="111"/>
      <c r="J150" s="112"/>
      <c r="K150" s="111"/>
      <c r="L150" s="98"/>
    </row>
    <row r="151" spans="1:12" ht="15.75" customHeight="1">
      <c r="A151" s="111"/>
      <c r="B151" s="111"/>
      <c r="C151" s="111"/>
      <c r="D151" s="111"/>
      <c r="E151" s="111"/>
      <c r="F151" s="111"/>
      <c r="G151" s="111"/>
      <c r="H151" s="111"/>
      <c r="I151" s="111"/>
      <c r="J151" s="112"/>
      <c r="K151" s="111"/>
      <c r="L151" s="98"/>
    </row>
    <row r="152" spans="1:12" ht="15.75" customHeight="1">
      <c r="A152" s="111"/>
      <c r="B152" s="111"/>
      <c r="C152" s="111"/>
      <c r="D152" s="111"/>
      <c r="E152" s="111"/>
      <c r="F152" s="111"/>
      <c r="G152" s="111"/>
      <c r="H152" s="111"/>
      <c r="I152" s="111"/>
      <c r="J152" s="112"/>
      <c r="K152" s="111"/>
      <c r="L152" s="98"/>
    </row>
    <row r="153" spans="1:12" ht="15.75" customHeight="1">
      <c r="A153" s="111"/>
      <c r="B153" s="111"/>
      <c r="C153" s="111"/>
      <c r="D153" s="111"/>
      <c r="E153" s="111"/>
      <c r="F153" s="111"/>
      <c r="G153" s="111"/>
      <c r="H153" s="111"/>
      <c r="I153" s="111"/>
      <c r="J153" s="112"/>
      <c r="K153" s="111"/>
      <c r="L153" s="98"/>
    </row>
    <row r="154" spans="1:12" ht="15.75" customHeight="1">
      <c r="A154" s="111"/>
      <c r="B154" s="111"/>
      <c r="C154" s="111"/>
      <c r="D154" s="111"/>
      <c r="E154" s="111"/>
      <c r="F154" s="111"/>
      <c r="G154" s="111"/>
      <c r="H154" s="111"/>
      <c r="I154" s="111"/>
      <c r="J154" s="112"/>
      <c r="K154" s="111"/>
      <c r="L154" s="98"/>
    </row>
    <row r="155" spans="1:12" ht="15.75" customHeight="1">
      <c r="A155" s="111"/>
      <c r="B155" s="111"/>
      <c r="C155" s="111"/>
      <c r="D155" s="111"/>
      <c r="E155" s="111"/>
      <c r="F155" s="111"/>
      <c r="G155" s="111"/>
      <c r="H155" s="111"/>
      <c r="I155" s="111"/>
      <c r="J155" s="112"/>
      <c r="K155" s="111"/>
      <c r="L155" s="98"/>
    </row>
    <row r="156" spans="1:12" ht="15.75" customHeight="1">
      <c r="A156" s="111"/>
      <c r="B156" s="111"/>
      <c r="C156" s="111"/>
      <c r="D156" s="111"/>
      <c r="E156" s="111"/>
      <c r="F156" s="111"/>
      <c r="G156" s="111"/>
      <c r="H156" s="111"/>
      <c r="I156" s="111"/>
      <c r="J156" s="112"/>
      <c r="K156" s="111"/>
      <c r="L156" s="98"/>
    </row>
    <row r="157" spans="1:12" ht="15.75" customHeight="1">
      <c r="A157" s="111"/>
      <c r="B157" s="111"/>
      <c r="C157" s="111"/>
      <c r="D157" s="111"/>
      <c r="E157" s="111"/>
      <c r="F157" s="111"/>
      <c r="G157" s="111"/>
      <c r="H157" s="111"/>
      <c r="I157" s="111"/>
      <c r="J157" s="112"/>
      <c r="K157" s="111"/>
      <c r="L157" s="98"/>
    </row>
    <row r="158" spans="1:12" ht="15.75" customHeight="1">
      <c r="A158" s="111"/>
      <c r="B158" s="111"/>
      <c r="C158" s="111"/>
      <c r="D158" s="111"/>
      <c r="E158" s="111"/>
      <c r="F158" s="111"/>
      <c r="G158" s="111"/>
      <c r="H158" s="111"/>
      <c r="I158" s="111"/>
      <c r="J158" s="112"/>
      <c r="K158" s="111"/>
      <c r="L158" s="98"/>
    </row>
    <row r="159" spans="1:12" ht="15.75" customHeight="1">
      <c r="A159" s="111"/>
      <c r="B159" s="111"/>
      <c r="C159" s="111"/>
      <c r="D159" s="111"/>
      <c r="E159" s="111"/>
      <c r="F159" s="111"/>
      <c r="G159" s="111"/>
      <c r="H159" s="111"/>
      <c r="I159" s="111"/>
      <c r="J159" s="112"/>
      <c r="K159" s="111"/>
      <c r="L159" s="98"/>
    </row>
    <row r="160" spans="1:12" ht="15.75" customHeight="1">
      <c r="A160" s="111"/>
      <c r="B160" s="111"/>
      <c r="C160" s="111"/>
      <c r="D160" s="111"/>
      <c r="E160" s="111"/>
      <c r="F160" s="111"/>
      <c r="G160" s="111"/>
      <c r="H160" s="111"/>
      <c r="I160" s="111"/>
      <c r="J160" s="112"/>
      <c r="K160" s="111"/>
      <c r="L160" s="98"/>
    </row>
    <row r="161" spans="1:12" ht="15.75" customHeight="1">
      <c r="A161" s="111"/>
      <c r="B161" s="111"/>
      <c r="C161" s="111"/>
      <c r="D161" s="111"/>
      <c r="E161" s="111"/>
      <c r="F161" s="111"/>
      <c r="G161" s="111"/>
      <c r="H161" s="111"/>
      <c r="I161" s="111"/>
      <c r="J161" s="112"/>
      <c r="K161" s="111"/>
      <c r="L161" s="98"/>
    </row>
    <row r="162" spans="1:12" ht="15.75" customHeight="1">
      <c r="A162" s="111"/>
      <c r="B162" s="111"/>
      <c r="C162" s="111"/>
      <c r="D162" s="111"/>
      <c r="E162" s="111"/>
      <c r="F162" s="111"/>
      <c r="G162" s="111"/>
      <c r="H162" s="111"/>
      <c r="I162" s="111"/>
      <c r="J162" s="112"/>
      <c r="K162" s="111"/>
      <c r="L162" s="98"/>
    </row>
    <row r="163" spans="1:12" ht="15.75" customHeight="1">
      <c r="A163" s="111"/>
      <c r="B163" s="111"/>
      <c r="C163" s="111"/>
      <c r="D163" s="111"/>
      <c r="E163" s="111"/>
      <c r="F163" s="111"/>
      <c r="G163" s="111"/>
      <c r="H163" s="111"/>
      <c r="I163" s="111"/>
      <c r="J163" s="112"/>
      <c r="K163" s="111"/>
      <c r="L163" s="98"/>
    </row>
    <row r="164" spans="1:12" ht="15.75" customHeight="1">
      <c r="A164" s="111"/>
      <c r="B164" s="111"/>
      <c r="C164" s="111"/>
      <c r="D164" s="111"/>
      <c r="E164" s="111"/>
      <c r="F164" s="111"/>
      <c r="G164" s="111"/>
      <c r="H164" s="111"/>
      <c r="I164" s="111"/>
      <c r="J164" s="112"/>
      <c r="K164" s="111"/>
      <c r="L164" s="98"/>
    </row>
    <row r="165" spans="1:12" ht="15.75" customHeight="1">
      <c r="A165" s="111"/>
      <c r="B165" s="111"/>
      <c r="C165" s="111"/>
      <c r="D165" s="111"/>
      <c r="E165" s="111"/>
      <c r="F165" s="111"/>
      <c r="G165" s="111"/>
      <c r="H165" s="111"/>
      <c r="I165" s="111"/>
      <c r="J165" s="112"/>
      <c r="K165" s="111"/>
      <c r="L165" s="98"/>
    </row>
    <row r="166" spans="1:12" ht="15.75" customHeight="1">
      <c r="A166" s="111"/>
      <c r="B166" s="111"/>
      <c r="C166" s="111"/>
      <c r="D166" s="111"/>
      <c r="E166" s="111"/>
      <c r="F166" s="111"/>
      <c r="G166" s="111"/>
      <c r="H166" s="111"/>
      <c r="I166" s="111"/>
      <c r="J166" s="112"/>
      <c r="K166" s="111"/>
      <c r="L166" s="98"/>
    </row>
    <row r="167" spans="1:12" ht="15.75" customHeight="1">
      <c r="A167" s="111"/>
      <c r="B167" s="111"/>
      <c r="C167" s="111"/>
      <c r="D167" s="111"/>
      <c r="E167" s="111"/>
      <c r="F167" s="111"/>
      <c r="G167" s="111"/>
      <c r="H167" s="111"/>
      <c r="I167" s="111"/>
      <c r="J167" s="112"/>
      <c r="K167" s="111"/>
      <c r="L167" s="98"/>
    </row>
    <row r="168" spans="1:12" ht="15.75" customHeight="1">
      <c r="A168" s="111"/>
      <c r="B168" s="111"/>
      <c r="C168" s="111"/>
      <c r="D168" s="111"/>
      <c r="E168" s="111"/>
      <c r="F168" s="111"/>
      <c r="G168" s="111"/>
      <c r="H168" s="111"/>
      <c r="I168" s="111"/>
      <c r="J168" s="112"/>
      <c r="K168" s="111"/>
      <c r="L168" s="98"/>
    </row>
    <row r="169" spans="1:12" ht="15.75" customHeight="1">
      <c r="A169" s="111"/>
      <c r="B169" s="111"/>
      <c r="C169" s="111"/>
      <c r="D169" s="111"/>
      <c r="E169" s="111"/>
      <c r="F169" s="111"/>
      <c r="G169" s="111"/>
      <c r="H169" s="111"/>
      <c r="I169" s="111"/>
      <c r="J169" s="112"/>
      <c r="K169" s="111"/>
      <c r="L169" s="98"/>
    </row>
    <row r="170" spans="1:12" ht="15.75" customHeight="1">
      <c r="A170" s="111"/>
      <c r="B170" s="111"/>
      <c r="C170" s="111"/>
      <c r="D170" s="111"/>
      <c r="E170" s="111"/>
      <c r="F170" s="111"/>
      <c r="G170" s="111"/>
      <c r="H170" s="111"/>
      <c r="I170" s="111"/>
      <c r="J170" s="112"/>
      <c r="K170" s="111"/>
      <c r="L170" s="98"/>
    </row>
    <row r="171" spans="1:12" ht="15.75" customHeight="1">
      <c r="A171" s="111"/>
      <c r="B171" s="111"/>
      <c r="C171" s="111"/>
      <c r="D171" s="111"/>
      <c r="E171" s="111"/>
      <c r="F171" s="111"/>
      <c r="G171" s="111"/>
      <c r="H171" s="111"/>
      <c r="I171" s="111"/>
      <c r="J171" s="112"/>
      <c r="K171" s="111"/>
      <c r="L171" s="98"/>
    </row>
    <row r="172" spans="1:12" ht="15.75" customHeight="1">
      <c r="A172" s="111"/>
      <c r="B172" s="111"/>
      <c r="C172" s="111"/>
      <c r="D172" s="111"/>
      <c r="E172" s="111"/>
      <c r="F172" s="111"/>
      <c r="G172" s="111"/>
      <c r="H172" s="111"/>
      <c r="I172" s="111"/>
      <c r="J172" s="112"/>
      <c r="K172" s="111"/>
      <c r="L172" s="98"/>
    </row>
    <row r="173" spans="1:12" ht="15.75" customHeight="1">
      <c r="A173" s="111"/>
      <c r="B173" s="111"/>
      <c r="C173" s="111"/>
      <c r="D173" s="111"/>
      <c r="E173" s="111"/>
      <c r="F173" s="111"/>
      <c r="G173" s="111"/>
      <c r="H173" s="111"/>
      <c r="I173" s="111"/>
      <c r="J173" s="112"/>
      <c r="K173" s="111"/>
      <c r="L173" s="98"/>
    </row>
    <row r="174" spans="1:12" ht="15.75" customHeight="1">
      <c r="A174" s="111"/>
      <c r="B174" s="111"/>
      <c r="C174" s="111"/>
      <c r="D174" s="111"/>
      <c r="E174" s="111"/>
      <c r="F174" s="111"/>
      <c r="G174" s="111"/>
      <c r="H174" s="111"/>
      <c r="I174" s="111"/>
      <c r="J174" s="112"/>
      <c r="K174" s="111"/>
      <c r="L174" s="98"/>
    </row>
    <row r="175" spans="1:12" ht="15.75" customHeight="1">
      <c r="A175" s="111"/>
      <c r="B175" s="111"/>
      <c r="C175" s="111"/>
      <c r="D175" s="111"/>
      <c r="E175" s="111"/>
      <c r="F175" s="111"/>
      <c r="G175" s="111"/>
      <c r="H175" s="111"/>
      <c r="I175" s="111"/>
      <c r="J175" s="112"/>
      <c r="K175" s="111"/>
      <c r="L175" s="98"/>
    </row>
    <row r="176" spans="1:12" ht="15.75" customHeight="1">
      <c r="A176" s="111"/>
      <c r="B176" s="111"/>
      <c r="C176" s="111"/>
      <c r="D176" s="111"/>
      <c r="E176" s="111"/>
      <c r="F176" s="111"/>
      <c r="G176" s="111"/>
      <c r="H176" s="111"/>
      <c r="I176" s="111"/>
      <c r="J176" s="112"/>
      <c r="K176" s="111"/>
      <c r="L176" s="98"/>
    </row>
    <row r="177" spans="1:12" ht="15.75" customHeight="1">
      <c r="A177" s="111"/>
      <c r="B177" s="111"/>
      <c r="C177" s="111"/>
      <c r="D177" s="111"/>
      <c r="E177" s="111"/>
      <c r="F177" s="111"/>
      <c r="G177" s="111"/>
      <c r="H177" s="111"/>
      <c r="I177" s="111"/>
      <c r="J177" s="112"/>
      <c r="K177" s="111"/>
      <c r="L177" s="98"/>
    </row>
    <row r="178" spans="1:12" ht="15.75" customHeight="1">
      <c r="A178" s="111"/>
      <c r="B178" s="111"/>
      <c r="C178" s="111"/>
      <c r="D178" s="111"/>
      <c r="E178" s="111"/>
      <c r="F178" s="111"/>
      <c r="G178" s="111"/>
      <c r="H178" s="111"/>
      <c r="I178" s="111"/>
      <c r="J178" s="112"/>
      <c r="K178" s="111"/>
      <c r="L178" s="98"/>
    </row>
    <row r="179" spans="1:12" ht="15.75" customHeight="1">
      <c r="A179" s="111"/>
      <c r="B179" s="111"/>
      <c r="C179" s="111"/>
      <c r="D179" s="111"/>
      <c r="E179" s="111"/>
      <c r="F179" s="111"/>
      <c r="G179" s="111"/>
      <c r="H179" s="111"/>
      <c r="I179" s="111"/>
      <c r="J179" s="112"/>
      <c r="K179" s="111"/>
      <c r="L179" s="98"/>
    </row>
    <row r="180" spans="1:12" ht="15.75" customHeight="1">
      <c r="A180" s="111"/>
      <c r="B180" s="111"/>
      <c r="C180" s="111"/>
      <c r="D180" s="111"/>
      <c r="E180" s="111"/>
      <c r="F180" s="111"/>
      <c r="G180" s="111"/>
      <c r="H180" s="111"/>
      <c r="I180" s="111"/>
      <c r="J180" s="112"/>
      <c r="K180" s="111"/>
      <c r="L180" s="98"/>
    </row>
    <row r="181" spans="1:12" ht="15.75" customHeight="1">
      <c r="A181" s="111"/>
      <c r="B181" s="111"/>
      <c r="C181" s="111"/>
      <c r="D181" s="111"/>
      <c r="E181" s="111"/>
      <c r="F181" s="111"/>
      <c r="G181" s="111"/>
      <c r="H181" s="111"/>
      <c r="I181" s="111"/>
      <c r="J181" s="112"/>
      <c r="K181" s="111"/>
      <c r="L181" s="98"/>
    </row>
    <row r="182" spans="1:12" ht="15.75" customHeight="1">
      <c r="A182" s="111"/>
      <c r="B182" s="111"/>
      <c r="C182" s="111"/>
      <c r="D182" s="111"/>
      <c r="E182" s="111"/>
      <c r="F182" s="111"/>
      <c r="G182" s="111"/>
      <c r="H182" s="111"/>
      <c r="I182" s="111"/>
      <c r="J182" s="112"/>
      <c r="K182" s="111"/>
      <c r="L182" s="98"/>
    </row>
    <row r="183" spans="1:12" ht="15.75" customHeight="1">
      <c r="A183" s="111"/>
      <c r="B183" s="111"/>
      <c r="C183" s="111"/>
      <c r="D183" s="111"/>
      <c r="E183" s="111"/>
      <c r="F183" s="111"/>
      <c r="G183" s="111"/>
      <c r="H183" s="111"/>
      <c r="I183" s="111"/>
      <c r="J183" s="112"/>
      <c r="K183" s="111"/>
      <c r="L183" s="98"/>
    </row>
    <row r="184" spans="1:12" ht="15.75" customHeight="1">
      <c r="A184" s="111"/>
      <c r="B184" s="111"/>
      <c r="C184" s="111"/>
      <c r="D184" s="111"/>
      <c r="E184" s="111"/>
      <c r="F184" s="111"/>
      <c r="G184" s="111"/>
      <c r="H184" s="111"/>
      <c r="I184" s="111"/>
      <c r="J184" s="112"/>
      <c r="K184" s="111"/>
      <c r="L184" s="98"/>
    </row>
    <row r="185" spans="1:12" ht="15.75" customHeight="1">
      <c r="A185" s="111"/>
      <c r="B185" s="111"/>
      <c r="C185" s="111"/>
      <c r="D185" s="111"/>
      <c r="E185" s="111"/>
      <c r="F185" s="111"/>
      <c r="G185" s="111"/>
      <c r="H185" s="111"/>
      <c r="I185" s="111"/>
      <c r="J185" s="112"/>
      <c r="K185" s="111"/>
      <c r="L185" s="98"/>
    </row>
    <row r="186" spans="1:12" ht="15.75" customHeight="1">
      <c r="A186" s="111"/>
      <c r="B186" s="111"/>
      <c r="C186" s="111"/>
      <c r="D186" s="111"/>
      <c r="E186" s="111"/>
      <c r="F186" s="111"/>
      <c r="G186" s="111"/>
      <c r="H186" s="111"/>
      <c r="I186" s="111"/>
      <c r="J186" s="112"/>
      <c r="K186" s="111"/>
      <c r="L186" s="98"/>
    </row>
    <row r="187" spans="1:12" ht="15.75" customHeight="1">
      <c r="A187" s="111"/>
      <c r="B187" s="111"/>
      <c r="C187" s="111"/>
      <c r="D187" s="111"/>
      <c r="E187" s="111"/>
      <c r="F187" s="111"/>
      <c r="G187" s="111"/>
      <c r="H187" s="111"/>
      <c r="I187" s="111"/>
      <c r="J187" s="112"/>
      <c r="K187" s="111"/>
      <c r="L187" s="98"/>
    </row>
    <row r="188" spans="1:12" ht="15.75" customHeight="1">
      <c r="A188" s="111"/>
      <c r="B188" s="111"/>
      <c r="C188" s="111"/>
      <c r="D188" s="111"/>
      <c r="E188" s="111"/>
      <c r="F188" s="111"/>
      <c r="G188" s="111"/>
      <c r="H188" s="111"/>
      <c r="I188" s="111"/>
      <c r="J188" s="112"/>
      <c r="K188" s="111"/>
      <c r="L188" s="98"/>
    </row>
    <row r="189" spans="1:12" ht="15.75" customHeight="1">
      <c r="A189" s="111"/>
      <c r="B189" s="111"/>
      <c r="C189" s="111"/>
      <c r="D189" s="111"/>
      <c r="E189" s="111"/>
      <c r="F189" s="111"/>
      <c r="G189" s="111"/>
      <c r="H189" s="111"/>
      <c r="I189" s="111"/>
      <c r="J189" s="112"/>
      <c r="K189" s="111"/>
      <c r="L189" s="98"/>
    </row>
    <row r="190" spans="1:12" ht="15.75" customHeight="1">
      <c r="A190" s="111"/>
      <c r="B190" s="111"/>
      <c r="C190" s="111"/>
      <c r="D190" s="111"/>
      <c r="E190" s="111"/>
      <c r="F190" s="111"/>
      <c r="G190" s="111"/>
      <c r="H190" s="111"/>
      <c r="I190" s="111"/>
      <c r="J190" s="112"/>
      <c r="K190" s="111"/>
      <c r="L190" s="98"/>
    </row>
    <row r="191" spans="1:12" ht="15.75" customHeight="1">
      <c r="A191" s="111"/>
      <c r="B191" s="111"/>
      <c r="C191" s="111"/>
      <c r="D191" s="111"/>
      <c r="E191" s="111"/>
      <c r="F191" s="111"/>
      <c r="G191" s="111"/>
      <c r="H191" s="111"/>
      <c r="I191" s="111"/>
      <c r="J191" s="112"/>
      <c r="K191" s="111"/>
      <c r="L191" s="98"/>
    </row>
    <row r="192" spans="1:12" ht="15.75" customHeight="1">
      <c r="A192" s="111"/>
      <c r="B192" s="111"/>
      <c r="C192" s="111"/>
      <c r="D192" s="111"/>
      <c r="E192" s="111"/>
      <c r="F192" s="111"/>
      <c r="G192" s="111"/>
      <c r="H192" s="111"/>
      <c r="I192" s="111"/>
      <c r="J192" s="112"/>
      <c r="K192" s="111"/>
      <c r="L192" s="98"/>
    </row>
    <row r="193" spans="1:12" ht="15.75" customHeight="1">
      <c r="A193" s="111"/>
      <c r="B193" s="111"/>
      <c r="C193" s="111"/>
      <c r="D193" s="111"/>
      <c r="E193" s="111"/>
      <c r="F193" s="111"/>
      <c r="G193" s="111"/>
      <c r="H193" s="111"/>
      <c r="I193" s="111"/>
      <c r="J193" s="112"/>
      <c r="K193" s="111"/>
      <c r="L193" s="98"/>
    </row>
    <row r="194" spans="1:12" ht="15.75" customHeight="1">
      <c r="A194" s="111"/>
      <c r="B194" s="111"/>
      <c r="C194" s="111"/>
      <c r="D194" s="111"/>
      <c r="E194" s="111"/>
      <c r="F194" s="111"/>
      <c r="G194" s="111"/>
      <c r="H194" s="111"/>
      <c r="I194" s="111"/>
      <c r="J194" s="112"/>
      <c r="K194" s="111"/>
      <c r="L194" s="98"/>
    </row>
    <row r="195" spans="1:12" ht="15.75" customHeight="1">
      <c r="A195" s="111"/>
      <c r="B195" s="111"/>
      <c r="C195" s="111"/>
      <c r="D195" s="111"/>
      <c r="E195" s="111"/>
      <c r="F195" s="111"/>
      <c r="G195" s="111"/>
      <c r="H195" s="111"/>
      <c r="I195" s="111"/>
      <c r="J195" s="112"/>
      <c r="K195" s="111"/>
      <c r="L195" s="98"/>
    </row>
    <row r="196" spans="1:12" ht="15.75" customHeight="1">
      <c r="A196" s="111"/>
      <c r="B196" s="111"/>
      <c r="C196" s="111"/>
      <c r="D196" s="111"/>
      <c r="E196" s="111"/>
      <c r="F196" s="111"/>
      <c r="G196" s="111"/>
      <c r="H196" s="111"/>
      <c r="I196" s="111"/>
      <c r="J196" s="112"/>
      <c r="K196" s="111"/>
      <c r="L196" s="98"/>
    </row>
    <row r="197" spans="1:12" ht="15.75" customHeight="1">
      <c r="A197" s="111"/>
      <c r="B197" s="111"/>
      <c r="C197" s="111"/>
      <c r="D197" s="111"/>
      <c r="E197" s="111"/>
      <c r="F197" s="111"/>
      <c r="G197" s="111"/>
      <c r="H197" s="111"/>
      <c r="I197" s="111"/>
      <c r="J197" s="112"/>
      <c r="K197" s="111"/>
      <c r="L197" s="98"/>
    </row>
    <row r="198" spans="1:12" ht="15.75" customHeight="1">
      <c r="A198" s="111"/>
      <c r="B198" s="111"/>
      <c r="C198" s="111"/>
      <c r="D198" s="111"/>
      <c r="E198" s="111"/>
      <c r="F198" s="111"/>
      <c r="G198" s="111"/>
      <c r="H198" s="111"/>
      <c r="I198" s="111"/>
      <c r="J198" s="112"/>
      <c r="K198" s="111"/>
      <c r="L198" s="98"/>
    </row>
    <row r="199" spans="1:12" ht="15.75" customHeight="1">
      <c r="A199" s="111"/>
      <c r="B199" s="111"/>
      <c r="C199" s="111"/>
      <c r="D199" s="111"/>
      <c r="E199" s="111"/>
      <c r="F199" s="111"/>
      <c r="G199" s="111"/>
      <c r="H199" s="111"/>
      <c r="I199" s="111"/>
      <c r="J199" s="112"/>
      <c r="K199" s="111"/>
      <c r="L199" s="98"/>
    </row>
    <row r="200" spans="1:12" ht="15.75" customHeight="1">
      <c r="A200" s="111"/>
      <c r="B200" s="111"/>
      <c r="C200" s="111"/>
      <c r="D200" s="111"/>
      <c r="E200" s="111"/>
      <c r="F200" s="111"/>
      <c r="G200" s="111"/>
      <c r="H200" s="111"/>
      <c r="I200" s="111"/>
      <c r="J200" s="112"/>
      <c r="K200" s="111"/>
      <c r="L200" s="98"/>
    </row>
    <row r="201" spans="1:12" ht="15.75" customHeight="1">
      <c r="A201" s="111"/>
      <c r="B201" s="111"/>
      <c r="C201" s="111"/>
      <c r="D201" s="111"/>
      <c r="E201" s="111"/>
      <c r="F201" s="111"/>
      <c r="G201" s="111"/>
      <c r="H201" s="111"/>
      <c r="I201" s="111"/>
      <c r="J201" s="112"/>
      <c r="K201" s="111"/>
      <c r="L201" s="98"/>
    </row>
    <row r="202" spans="1:12" ht="15.75" customHeight="1">
      <c r="A202" s="111"/>
      <c r="B202" s="111"/>
      <c r="C202" s="111"/>
      <c r="D202" s="111"/>
      <c r="E202" s="111"/>
      <c r="F202" s="111"/>
      <c r="G202" s="111"/>
      <c r="H202" s="111"/>
      <c r="I202" s="111"/>
      <c r="J202" s="112"/>
      <c r="K202" s="111"/>
      <c r="L202" s="98"/>
    </row>
    <row r="203" spans="1:12" ht="15.75" customHeight="1">
      <c r="A203" s="111"/>
      <c r="B203" s="111"/>
      <c r="C203" s="111"/>
      <c r="D203" s="111"/>
      <c r="E203" s="111"/>
      <c r="F203" s="111"/>
      <c r="G203" s="111"/>
      <c r="H203" s="111"/>
      <c r="I203" s="111"/>
      <c r="J203" s="112"/>
      <c r="K203" s="111"/>
      <c r="L203" s="98"/>
    </row>
    <row r="204" spans="1:12" ht="15.75" customHeight="1">
      <c r="A204" s="111"/>
      <c r="B204" s="111"/>
      <c r="C204" s="111"/>
      <c r="D204" s="111"/>
      <c r="E204" s="111"/>
      <c r="F204" s="111"/>
      <c r="G204" s="111"/>
      <c r="H204" s="111"/>
      <c r="I204" s="111"/>
      <c r="J204" s="112"/>
      <c r="K204" s="111"/>
      <c r="L204" s="98"/>
    </row>
    <row r="205" spans="1:12" ht="15.75" customHeight="1">
      <c r="A205" s="111"/>
      <c r="B205" s="111"/>
      <c r="C205" s="111"/>
      <c r="D205" s="111"/>
      <c r="E205" s="111"/>
      <c r="F205" s="111"/>
      <c r="G205" s="111"/>
      <c r="H205" s="111"/>
      <c r="I205" s="111"/>
      <c r="J205" s="112"/>
      <c r="K205" s="111"/>
      <c r="L205" s="98"/>
    </row>
    <row r="206" spans="1:12" ht="15.75" customHeight="1">
      <c r="A206" s="111"/>
      <c r="B206" s="111"/>
      <c r="C206" s="111"/>
      <c r="D206" s="111"/>
      <c r="E206" s="111"/>
      <c r="F206" s="111"/>
      <c r="G206" s="111"/>
      <c r="H206" s="111"/>
      <c r="I206" s="111"/>
      <c r="J206" s="112"/>
      <c r="K206" s="111"/>
      <c r="L206" s="98"/>
    </row>
    <row r="207" spans="1:12" ht="15.75" customHeight="1">
      <c r="A207" s="111"/>
      <c r="B207" s="111"/>
      <c r="C207" s="111"/>
      <c r="D207" s="111"/>
      <c r="E207" s="111"/>
      <c r="F207" s="111"/>
      <c r="G207" s="111"/>
      <c r="H207" s="111"/>
      <c r="I207" s="111"/>
      <c r="J207" s="112"/>
      <c r="K207" s="111"/>
      <c r="L207" s="98"/>
    </row>
    <row r="208" spans="1:12" ht="15.75" customHeight="1">
      <c r="A208" s="111"/>
      <c r="B208" s="111"/>
      <c r="C208" s="111"/>
      <c r="D208" s="111"/>
      <c r="E208" s="111"/>
      <c r="F208" s="111"/>
      <c r="G208" s="111"/>
      <c r="H208" s="111"/>
      <c r="I208" s="111"/>
      <c r="J208" s="112"/>
      <c r="K208" s="111"/>
      <c r="L208" s="98"/>
    </row>
    <row r="209" spans="1:12" ht="15.75" customHeight="1">
      <c r="A209" s="111"/>
      <c r="B209" s="111"/>
      <c r="C209" s="111"/>
      <c r="D209" s="111"/>
      <c r="E209" s="111"/>
      <c r="F209" s="111"/>
      <c r="G209" s="111"/>
      <c r="H209" s="111"/>
      <c r="I209" s="111"/>
      <c r="J209" s="112"/>
      <c r="K209" s="111"/>
      <c r="L209" s="98"/>
    </row>
    <row r="210" spans="1:12" ht="15.75" customHeight="1">
      <c r="A210" s="111"/>
      <c r="B210" s="111"/>
      <c r="C210" s="111"/>
      <c r="D210" s="111"/>
      <c r="E210" s="111"/>
      <c r="F210" s="111"/>
      <c r="G210" s="111"/>
      <c r="H210" s="111"/>
      <c r="I210" s="111"/>
      <c r="J210" s="112"/>
      <c r="K210" s="111"/>
      <c r="L210" s="98"/>
    </row>
    <row r="211" spans="1:12" ht="15.75" customHeight="1">
      <c r="A211" s="111"/>
      <c r="B211" s="111"/>
      <c r="C211" s="111"/>
      <c r="D211" s="111"/>
      <c r="E211" s="111"/>
      <c r="F211" s="111"/>
      <c r="G211" s="111"/>
      <c r="H211" s="111"/>
      <c r="I211" s="111"/>
      <c r="J211" s="112"/>
      <c r="K211" s="111"/>
      <c r="L211" s="98"/>
    </row>
    <row r="212" spans="1:12" ht="15.75" customHeight="1">
      <c r="A212" s="111"/>
      <c r="B212" s="111"/>
      <c r="C212" s="111"/>
      <c r="D212" s="111"/>
      <c r="E212" s="111"/>
      <c r="F212" s="111"/>
      <c r="G212" s="111"/>
      <c r="H212" s="111"/>
      <c r="I212" s="111"/>
      <c r="J212" s="112"/>
      <c r="K212" s="111"/>
      <c r="L212" s="98"/>
    </row>
    <row r="213" spans="1:12" ht="15.75" customHeight="1">
      <c r="A213" s="111"/>
      <c r="B213" s="111"/>
      <c r="C213" s="111"/>
      <c r="D213" s="111"/>
      <c r="E213" s="111"/>
      <c r="F213" s="111"/>
      <c r="G213" s="111"/>
      <c r="H213" s="111"/>
      <c r="I213" s="111"/>
      <c r="J213" s="112"/>
      <c r="K213" s="111"/>
      <c r="L213" s="98"/>
    </row>
    <row r="214" spans="1:12" ht="15.75" customHeight="1">
      <c r="A214" s="111"/>
      <c r="B214" s="111"/>
      <c r="C214" s="111"/>
      <c r="D214" s="111"/>
      <c r="E214" s="111"/>
      <c r="F214" s="111"/>
      <c r="G214" s="111"/>
      <c r="H214" s="111"/>
      <c r="I214" s="111"/>
      <c r="J214" s="112"/>
      <c r="K214" s="111"/>
      <c r="L214" s="98"/>
    </row>
    <row r="215" spans="1:12" ht="15.75" customHeight="1">
      <c r="A215" s="111"/>
      <c r="B215" s="111"/>
      <c r="C215" s="111"/>
      <c r="D215" s="111"/>
      <c r="E215" s="111"/>
      <c r="F215" s="111"/>
      <c r="G215" s="111"/>
      <c r="H215" s="111"/>
      <c r="I215" s="111"/>
      <c r="J215" s="112"/>
      <c r="K215" s="111"/>
      <c r="L215" s="98"/>
    </row>
    <row r="216" spans="1:12" ht="15.75" customHeight="1">
      <c r="A216" s="111"/>
      <c r="B216" s="111"/>
      <c r="C216" s="111"/>
      <c r="D216" s="111"/>
      <c r="E216" s="111"/>
      <c r="F216" s="111"/>
      <c r="G216" s="111"/>
      <c r="H216" s="111"/>
      <c r="I216" s="111"/>
      <c r="J216" s="112"/>
      <c r="K216" s="111"/>
      <c r="L216" s="98"/>
    </row>
    <row r="217" spans="1:12" ht="15.75" customHeight="1">
      <c r="A217" s="111"/>
      <c r="B217" s="111"/>
      <c r="C217" s="111"/>
      <c r="D217" s="111"/>
      <c r="E217" s="111"/>
      <c r="F217" s="111"/>
      <c r="G217" s="111"/>
      <c r="H217" s="111"/>
      <c r="I217" s="111"/>
      <c r="J217" s="112"/>
      <c r="K217" s="111"/>
      <c r="L217" s="98"/>
    </row>
    <row r="218" spans="1:12" ht="15.75" customHeight="1">
      <c r="A218" s="111"/>
      <c r="B218" s="111"/>
      <c r="C218" s="111"/>
      <c r="D218" s="111"/>
      <c r="E218" s="111"/>
      <c r="F218" s="111"/>
      <c r="G218" s="111"/>
      <c r="H218" s="111"/>
      <c r="I218" s="111"/>
      <c r="J218" s="112"/>
      <c r="K218" s="111"/>
      <c r="L218" s="98"/>
    </row>
    <row r="219" spans="1:12" ht="15.75" customHeight="1">
      <c r="A219" s="111"/>
      <c r="B219" s="111"/>
      <c r="C219" s="111"/>
      <c r="D219" s="111"/>
      <c r="E219" s="111"/>
      <c r="F219" s="111"/>
      <c r="G219" s="111"/>
      <c r="H219" s="111"/>
      <c r="I219" s="111"/>
      <c r="J219" s="112"/>
      <c r="K219" s="111"/>
      <c r="L219" s="98"/>
    </row>
    <row r="220" spans="1:12" ht="15.75" customHeight="1">
      <c r="A220" s="111"/>
      <c r="B220" s="111"/>
      <c r="C220" s="111"/>
      <c r="D220" s="111"/>
      <c r="E220" s="111"/>
      <c r="F220" s="111"/>
      <c r="G220" s="111"/>
      <c r="H220" s="111"/>
      <c r="I220" s="111"/>
      <c r="J220" s="112"/>
      <c r="K220" s="111"/>
      <c r="L220" s="98"/>
    </row>
    <row r="221" spans="1:12" ht="15.75" customHeight="1">
      <c r="A221" s="111"/>
      <c r="B221" s="111"/>
      <c r="C221" s="111"/>
      <c r="D221" s="111"/>
      <c r="E221" s="111"/>
      <c r="F221" s="111"/>
      <c r="G221" s="111"/>
      <c r="H221" s="111"/>
      <c r="I221" s="111"/>
      <c r="J221" s="112"/>
      <c r="K221" s="111"/>
      <c r="L221" s="98"/>
    </row>
    <row r="222" spans="1:12" ht="15.75" customHeight="1">
      <c r="A222" s="111"/>
      <c r="B222" s="111"/>
      <c r="C222" s="111"/>
      <c r="D222" s="111"/>
      <c r="E222" s="111"/>
      <c r="F222" s="111"/>
      <c r="G222" s="111"/>
      <c r="H222" s="111"/>
      <c r="I222" s="111"/>
      <c r="J222" s="112"/>
      <c r="K222" s="111"/>
      <c r="L222" s="98"/>
    </row>
    <row r="223" spans="1:12" ht="15.75" customHeight="1">
      <c r="A223" s="111"/>
      <c r="B223" s="111"/>
      <c r="C223" s="111"/>
      <c r="D223" s="111"/>
      <c r="E223" s="111"/>
      <c r="F223" s="111"/>
      <c r="G223" s="111"/>
      <c r="H223" s="111"/>
      <c r="I223" s="111"/>
      <c r="J223" s="112"/>
      <c r="K223" s="111"/>
      <c r="L223" s="98"/>
    </row>
    <row r="224" spans="1:12" ht="15.75" customHeight="1">
      <c r="A224" s="111"/>
      <c r="B224" s="111"/>
      <c r="C224" s="111"/>
      <c r="D224" s="111"/>
      <c r="E224" s="111"/>
      <c r="F224" s="111"/>
      <c r="G224" s="111"/>
      <c r="H224" s="111"/>
      <c r="I224" s="111"/>
      <c r="J224" s="112"/>
      <c r="K224" s="111"/>
      <c r="L224" s="98"/>
    </row>
    <row r="225" spans="1:12" ht="15.75" customHeight="1">
      <c r="A225" s="111"/>
      <c r="B225" s="111"/>
      <c r="C225" s="111"/>
      <c r="D225" s="111"/>
      <c r="E225" s="111"/>
      <c r="F225" s="111"/>
      <c r="G225" s="111"/>
      <c r="H225" s="111"/>
      <c r="I225" s="111"/>
      <c r="J225" s="112"/>
      <c r="K225" s="111"/>
      <c r="L225" s="98"/>
    </row>
    <row r="226" spans="1:12" ht="15.75" customHeight="1">
      <c r="A226" s="111"/>
      <c r="B226" s="111"/>
      <c r="C226" s="111"/>
      <c r="D226" s="111"/>
      <c r="E226" s="111"/>
      <c r="F226" s="111"/>
      <c r="G226" s="111"/>
      <c r="H226" s="111"/>
      <c r="I226" s="111"/>
      <c r="J226" s="112"/>
      <c r="K226" s="111"/>
      <c r="L226" s="98"/>
    </row>
    <row r="227" spans="1:12" ht="15.75" customHeight="1">
      <c r="A227" s="111"/>
      <c r="B227" s="111"/>
      <c r="C227" s="111"/>
      <c r="D227" s="111"/>
      <c r="E227" s="111"/>
      <c r="F227" s="111"/>
      <c r="G227" s="111"/>
      <c r="H227" s="111"/>
      <c r="I227" s="111"/>
      <c r="J227" s="112"/>
      <c r="K227" s="111"/>
      <c r="L227" s="98"/>
    </row>
    <row r="228" spans="1:12" ht="15.75" customHeight="1">
      <c r="A228" s="111"/>
      <c r="B228" s="111"/>
      <c r="C228" s="111"/>
      <c r="D228" s="111"/>
      <c r="E228" s="111"/>
      <c r="F228" s="111"/>
      <c r="G228" s="111"/>
      <c r="H228" s="111"/>
      <c r="I228" s="111"/>
      <c r="J228" s="112"/>
      <c r="K228" s="111"/>
      <c r="L228" s="98"/>
    </row>
    <row r="229" spans="1:12" ht="15.75" customHeight="1">
      <c r="A229" s="111"/>
      <c r="B229" s="111"/>
      <c r="C229" s="111"/>
      <c r="D229" s="111"/>
      <c r="E229" s="111"/>
      <c r="F229" s="111"/>
      <c r="G229" s="111"/>
      <c r="H229" s="111"/>
      <c r="I229" s="111"/>
      <c r="J229" s="112"/>
      <c r="K229" s="111"/>
      <c r="L229" s="98"/>
    </row>
    <row r="230" spans="1:12" ht="15.75" customHeight="1">
      <c r="A230" s="111"/>
      <c r="B230" s="111"/>
      <c r="C230" s="111"/>
      <c r="D230" s="111"/>
      <c r="E230" s="111"/>
      <c r="F230" s="111"/>
      <c r="G230" s="111"/>
      <c r="H230" s="111"/>
      <c r="I230" s="111"/>
      <c r="J230" s="112"/>
      <c r="K230" s="111"/>
      <c r="L230" s="98"/>
    </row>
    <row r="231" spans="1:12" ht="15.75" customHeight="1">
      <c r="A231" s="111"/>
      <c r="B231" s="111"/>
      <c r="C231" s="111"/>
      <c r="D231" s="111"/>
      <c r="E231" s="111"/>
      <c r="F231" s="111"/>
      <c r="G231" s="111"/>
      <c r="H231" s="111"/>
      <c r="I231" s="111"/>
      <c r="J231" s="112"/>
      <c r="K231" s="111"/>
      <c r="L231" s="98"/>
    </row>
    <row r="232" spans="1:12" ht="15.75" customHeight="1">
      <c r="A232" s="111"/>
      <c r="B232" s="111"/>
      <c r="C232" s="111"/>
      <c r="D232" s="111"/>
      <c r="E232" s="111"/>
      <c r="F232" s="111"/>
      <c r="G232" s="111"/>
      <c r="H232" s="111"/>
      <c r="I232" s="111"/>
      <c r="J232" s="112"/>
      <c r="K232" s="111"/>
      <c r="L232" s="98"/>
    </row>
    <row r="233" spans="1:12" ht="15.75" customHeight="1">
      <c r="A233" s="111"/>
      <c r="B233" s="111"/>
      <c r="C233" s="111"/>
      <c r="D233" s="111"/>
      <c r="E233" s="111"/>
      <c r="F233" s="111"/>
      <c r="G233" s="111"/>
      <c r="H233" s="111"/>
      <c r="I233" s="111"/>
      <c r="J233" s="112"/>
      <c r="K233" s="111"/>
      <c r="L233" s="98"/>
    </row>
    <row r="234" spans="1:12" ht="15.75" customHeight="1">
      <c r="A234" s="111"/>
      <c r="B234" s="111"/>
      <c r="C234" s="111"/>
      <c r="D234" s="111"/>
      <c r="E234" s="111"/>
      <c r="F234" s="111"/>
      <c r="G234" s="111"/>
      <c r="H234" s="111"/>
      <c r="I234" s="111"/>
      <c r="J234" s="112"/>
      <c r="K234" s="111"/>
      <c r="L234" s="98"/>
    </row>
    <row r="235" spans="1:12" ht="15.75" customHeight="1">
      <c r="A235" s="111"/>
      <c r="B235" s="111"/>
      <c r="C235" s="111"/>
      <c r="D235" s="111"/>
      <c r="E235" s="111"/>
      <c r="F235" s="111"/>
      <c r="G235" s="111"/>
      <c r="H235" s="111"/>
      <c r="I235" s="111"/>
      <c r="J235" s="112"/>
      <c r="K235" s="111"/>
      <c r="L235" s="98"/>
    </row>
    <row r="236" spans="1:12" ht="15.75" customHeight="1">
      <c r="A236" s="111"/>
      <c r="B236" s="111"/>
      <c r="C236" s="111"/>
      <c r="D236" s="111"/>
      <c r="E236" s="111"/>
      <c r="F236" s="111"/>
      <c r="G236" s="111"/>
      <c r="H236" s="111"/>
      <c r="I236" s="111"/>
      <c r="J236" s="112"/>
      <c r="K236" s="111"/>
      <c r="L236" s="98"/>
    </row>
    <row r="237" spans="1:12" ht="15.75" customHeight="1">
      <c r="A237" s="111"/>
      <c r="B237" s="111"/>
      <c r="C237" s="111"/>
      <c r="D237" s="111"/>
      <c r="E237" s="111"/>
      <c r="F237" s="111"/>
      <c r="G237" s="111"/>
      <c r="H237" s="111"/>
      <c r="I237" s="111"/>
      <c r="J237" s="112"/>
      <c r="K237" s="111"/>
      <c r="L237" s="98"/>
    </row>
    <row r="238" spans="1:12" ht="15.75" customHeight="1">
      <c r="A238" s="111"/>
      <c r="B238" s="111"/>
      <c r="C238" s="111"/>
      <c r="D238" s="111"/>
      <c r="E238" s="111"/>
      <c r="F238" s="111"/>
      <c r="G238" s="111"/>
      <c r="H238" s="111"/>
      <c r="I238" s="111"/>
      <c r="J238" s="112"/>
      <c r="K238" s="111"/>
      <c r="L238" s="98"/>
    </row>
    <row r="239" spans="1:12" ht="15.75" customHeight="1">
      <c r="A239" s="111"/>
      <c r="B239" s="111"/>
      <c r="C239" s="111"/>
      <c r="D239" s="111"/>
      <c r="E239" s="111"/>
      <c r="F239" s="111"/>
      <c r="G239" s="111"/>
      <c r="H239" s="111"/>
      <c r="I239" s="111"/>
      <c r="J239" s="112"/>
      <c r="K239" s="111"/>
      <c r="L239" s="98"/>
    </row>
    <row r="240" spans="1:12" ht="15.75" customHeight="1">
      <c r="A240" s="111"/>
      <c r="B240" s="111"/>
      <c r="C240" s="111"/>
      <c r="D240" s="111"/>
      <c r="E240" s="111"/>
      <c r="F240" s="111"/>
      <c r="G240" s="111"/>
      <c r="H240" s="111"/>
      <c r="I240" s="111"/>
      <c r="J240" s="112"/>
      <c r="K240" s="111"/>
      <c r="L240" s="98"/>
    </row>
    <row r="241" spans="1:12" ht="15.75" customHeight="1">
      <c r="A241" s="111"/>
      <c r="B241" s="111"/>
      <c r="C241" s="111"/>
      <c r="D241" s="111"/>
      <c r="E241" s="111"/>
      <c r="F241" s="111"/>
      <c r="G241" s="111"/>
      <c r="H241" s="111"/>
      <c r="I241" s="111"/>
      <c r="J241" s="112"/>
      <c r="K241" s="111"/>
      <c r="L241" s="98"/>
    </row>
    <row r="242" spans="1:12" ht="15.75" customHeight="1">
      <c r="A242" s="111"/>
      <c r="B242" s="111"/>
      <c r="C242" s="111"/>
      <c r="D242" s="111"/>
      <c r="E242" s="111"/>
      <c r="F242" s="111"/>
      <c r="G242" s="111"/>
      <c r="H242" s="111"/>
      <c r="I242" s="111"/>
      <c r="J242" s="112"/>
      <c r="K242" s="111"/>
      <c r="L242" s="98"/>
    </row>
    <row r="243" spans="1:12" ht="15.75" customHeight="1">
      <c r="A243" s="111"/>
      <c r="B243" s="111"/>
      <c r="C243" s="111"/>
      <c r="D243" s="111"/>
      <c r="E243" s="111"/>
      <c r="F243" s="111"/>
      <c r="G243" s="111"/>
      <c r="H243" s="111"/>
      <c r="I243" s="111"/>
      <c r="J243" s="112"/>
      <c r="K243" s="111"/>
      <c r="L243" s="98"/>
    </row>
    <row r="244" spans="1:12" ht="15.75" customHeight="1">
      <c r="A244" s="111"/>
      <c r="B244" s="111"/>
      <c r="C244" s="111"/>
      <c r="D244" s="111"/>
      <c r="E244" s="111"/>
      <c r="F244" s="111"/>
      <c r="G244" s="111"/>
      <c r="H244" s="111"/>
      <c r="I244" s="111"/>
      <c r="J244" s="112"/>
      <c r="K244" s="111"/>
      <c r="L244" s="98"/>
    </row>
    <row r="245" spans="1:12" ht="15.75" customHeight="1">
      <c r="A245" s="111"/>
      <c r="B245" s="111"/>
      <c r="C245" s="111"/>
      <c r="D245" s="111"/>
      <c r="E245" s="111"/>
      <c r="F245" s="111"/>
      <c r="G245" s="111"/>
      <c r="H245" s="111"/>
      <c r="I245" s="111"/>
      <c r="J245" s="112"/>
      <c r="K245" s="111"/>
      <c r="L245" s="98"/>
    </row>
    <row r="246" spans="1:12" ht="15.75" customHeight="1">
      <c r="A246" s="111"/>
      <c r="B246" s="111"/>
      <c r="C246" s="111"/>
      <c r="D246" s="111"/>
      <c r="E246" s="111"/>
      <c r="F246" s="111"/>
      <c r="G246" s="111"/>
      <c r="H246" s="111"/>
      <c r="I246" s="111"/>
      <c r="J246" s="112"/>
      <c r="K246" s="111"/>
      <c r="L246" s="98"/>
    </row>
    <row r="247" spans="1:12" ht="15.75" customHeight="1">
      <c r="A247" s="111"/>
      <c r="B247" s="111"/>
      <c r="C247" s="111"/>
      <c r="D247" s="111"/>
      <c r="E247" s="111"/>
      <c r="F247" s="111"/>
      <c r="G247" s="111"/>
      <c r="H247" s="111"/>
      <c r="I247" s="111"/>
      <c r="J247" s="112"/>
      <c r="K247" s="111"/>
      <c r="L247" s="98"/>
    </row>
    <row r="248" spans="1:12" ht="15.75" customHeight="1">
      <c r="A248" s="111"/>
      <c r="B248" s="111"/>
      <c r="C248" s="111"/>
      <c r="D248" s="111"/>
      <c r="E248" s="111"/>
      <c r="F248" s="111"/>
      <c r="G248" s="111"/>
      <c r="H248" s="111"/>
      <c r="I248" s="111"/>
      <c r="J248" s="112"/>
      <c r="K248" s="111"/>
      <c r="L248" s="98"/>
    </row>
    <row r="249" spans="1:12" ht="15.75" customHeight="1">
      <c r="A249" s="111"/>
      <c r="B249" s="111"/>
      <c r="C249" s="111"/>
      <c r="D249" s="111"/>
      <c r="E249" s="111"/>
      <c r="F249" s="111"/>
      <c r="G249" s="111"/>
      <c r="H249" s="111"/>
      <c r="I249" s="111"/>
      <c r="J249" s="112"/>
      <c r="K249" s="111"/>
      <c r="L249" s="98"/>
    </row>
    <row r="250" spans="1:12" ht="15.75" customHeight="1">
      <c r="A250" s="111"/>
      <c r="B250" s="111"/>
      <c r="C250" s="111"/>
      <c r="D250" s="111"/>
      <c r="E250" s="111"/>
      <c r="F250" s="111"/>
      <c r="G250" s="111"/>
      <c r="H250" s="111"/>
      <c r="I250" s="111"/>
      <c r="J250" s="112"/>
      <c r="K250" s="111"/>
      <c r="L250" s="98"/>
    </row>
    <row r="251" spans="1:12" ht="15.75" customHeight="1">
      <c r="A251" s="111"/>
      <c r="B251" s="111"/>
      <c r="C251" s="111"/>
      <c r="D251" s="111"/>
      <c r="E251" s="111"/>
      <c r="F251" s="111"/>
      <c r="G251" s="111"/>
      <c r="H251" s="111"/>
      <c r="I251" s="111"/>
      <c r="J251" s="112"/>
      <c r="K251" s="111"/>
      <c r="L251" s="98"/>
    </row>
    <row r="252" spans="1:12" ht="15.75" customHeight="1">
      <c r="A252" s="111"/>
      <c r="B252" s="111"/>
      <c r="C252" s="111"/>
      <c r="D252" s="111"/>
      <c r="E252" s="111"/>
      <c r="F252" s="111"/>
      <c r="G252" s="111"/>
      <c r="H252" s="111"/>
      <c r="I252" s="111"/>
      <c r="J252" s="112"/>
      <c r="K252" s="111"/>
      <c r="L252" s="98"/>
    </row>
    <row r="253" spans="1:12" ht="15.75" customHeight="1">
      <c r="A253" s="111"/>
      <c r="B253" s="111"/>
      <c r="C253" s="111"/>
      <c r="D253" s="111"/>
      <c r="E253" s="111"/>
      <c r="F253" s="111"/>
      <c r="G253" s="111"/>
      <c r="H253" s="111"/>
      <c r="I253" s="111"/>
      <c r="J253" s="112"/>
      <c r="K253" s="111"/>
      <c r="L253" s="98"/>
    </row>
    <row r="254" spans="1:12" ht="15.75" customHeight="1">
      <c r="A254" s="111"/>
      <c r="B254" s="111"/>
      <c r="C254" s="111"/>
      <c r="D254" s="111"/>
      <c r="E254" s="111"/>
      <c r="F254" s="111"/>
      <c r="G254" s="111"/>
      <c r="H254" s="111"/>
      <c r="I254" s="111"/>
      <c r="J254" s="112"/>
      <c r="K254" s="111"/>
      <c r="L254" s="98"/>
    </row>
    <row r="255" spans="1:12" ht="15.75" customHeight="1">
      <c r="A255" s="111"/>
      <c r="B255" s="111"/>
      <c r="C255" s="111"/>
      <c r="D255" s="111"/>
      <c r="E255" s="111"/>
      <c r="F255" s="111"/>
      <c r="G255" s="111"/>
      <c r="H255" s="111"/>
      <c r="I255" s="111"/>
      <c r="J255" s="112"/>
      <c r="K255" s="111"/>
      <c r="L255" s="98"/>
    </row>
    <row r="256" spans="1:12" ht="15.75" customHeight="1">
      <c r="A256" s="111"/>
      <c r="B256" s="111"/>
      <c r="C256" s="111"/>
      <c r="D256" s="111"/>
      <c r="E256" s="111"/>
      <c r="F256" s="111"/>
      <c r="G256" s="111"/>
      <c r="H256" s="111"/>
      <c r="I256" s="111"/>
      <c r="J256" s="112"/>
      <c r="K256" s="111"/>
      <c r="L256" s="98"/>
    </row>
    <row r="257" spans="1:12" ht="15.75" customHeight="1">
      <c r="A257" s="111"/>
      <c r="B257" s="111"/>
      <c r="C257" s="111"/>
      <c r="D257" s="111"/>
      <c r="E257" s="111"/>
      <c r="F257" s="111"/>
      <c r="G257" s="111"/>
      <c r="H257" s="111"/>
      <c r="I257" s="111"/>
      <c r="J257" s="112"/>
      <c r="K257" s="111"/>
      <c r="L257" s="98"/>
    </row>
    <row r="258" spans="1:12" ht="15.75" customHeight="1">
      <c r="A258" s="111"/>
      <c r="B258" s="111"/>
      <c r="C258" s="111"/>
      <c r="D258" s="111"/>
      <c r="E258" s="111"/>
      <c r="F258" s="111"/>
      <c r="G258" s="111"/>
      <c r="H258" s="111"/>
      <c r="I258" s="111"/>
      <c r="J258" s="112"/>
      <c r="K258" s="111"/>
      <c r="L258" s="98"/>
    </row>
    <row r="259" spans="1:12" ht="15.75" customHeight="1">
      <c r="A259" s="111"/>
      <c r="B259" s="111"/>
      <c r="C259" s="111"/>
      <c r="D259" s="111"/>
      <c r="E259" s="111"/>
      <c r="F259" s="111"/>
      <c r="G259" s="111"/>
      <c r="H259" s="111"/>
      <c r="I259" s="111"/>
      <c r="J259" s="112"/>
      <c r="K259" s="111"/>
      <c r="L259" s="98"/>
    </row>
    <row r="260" spans="1:12" ht="15.75" customHeight="1">
      <c r="A260" s="111"/>
      <c r="B260" s="111"/>
      <c r="C260" s="111"/>
      <c r="D260" s="111"/>
      <c r="E260" s="111"/>
      <c r="F260" s="111"/>
      <c r="G260" s="111"/>
      <c r="H260" s="111"/>
      <c r="I260" s="111"/>
      <c r="J260" s="112"/>
      <c r="K260" s="111"/>
      <c r="L260" s="98"/>
    </row>
    <row r="261" spans="1:12" ht="15.75" customHeight="1">
      <c r="A261" s="111"/>
      <c r="B261" s="111"/>
      <c r="C261" s="111"/>
      <c r="D261" s="111"/>
      <c r="E261" s="111"/>
      <c r="F261" s="111"/>
      <c r="G261" s="111"/>
      <c r="H261" s="111"/>
      <c r="I261" s="111"/>
      <c r="J261" s="112"/>
      <c r="K261" s="111"/>
      <c r="L261" s="98"/>
    </row>
    <row r="262" spans="1:12" ht="15.75" customHeight="1">
      <c r="A262" s="111"/>
      <c r="B262" s="111"/>
      <c r="C262" s="111"/>
      <c r="D262" s="111"/>
      <c r="E262" s="111"/>
      <c r="F262" s="111"/>
      <c r="G262" s="111"/>
      <c r="H262" s="111"/>
      <c r="I262" s="111"/>
      <c r="J262" s="112"/>
      <c r="K262" s="111"/>
      <c r="L262" s="98"/>
    </row>
    <row r="263" spans="1:12" ht="15.75" customHeight="1">
      <c r="A263" s="111"/>
      <c r="B263" s="111"/>
      <c r="C263" s="111"/>
      <c r="D263" s="111"/>
      <c r="E263" s="111"/>
      <c r="F263" s="111"/>
      <c r="G263" s="111"/>
      <c r="H263" s="111"/>
      <c r="I263" s="111"/>
      <c r="J263" s="112"/>
      <c r="K263" s="111"/>
      <c r="L263" s="98"/>
    </row>
    <row r="264" spans="1:12" ht="15.75" customHeight="1">
      <c r="A264" s="111"/>
      <c r="B264" s="111"/>
      <c r="C264" s="111"/>
      <c r="D264" s="111"/>
      <c r="E264" s="111"/>
      <c r="F264" s="111"/>
      <c r="G264" s="111"/>
      <c r="H264" s="111"/>
      <c r="I264" s="111"/>
      <c r="J264" s="112"/>
      <c r="K264" s="111"/>
      <c r="L264" s="98"/>
    </row>
    <row r="265" spans="1:12" ht="15.75" customHeight="1">
      <c r="A265" s="111"/>
      <c r="B265" s="111"/>
      <c r="C265" s="111"/>
      <c r="D265" s="111"/>
      <c r="E265" s="111"/>
      <c r="F265" s="111"/>
      <c r="G265" s="111"/>
      <c r="H265" s="111"/>
      <c r="I265" s="111"/>
      <c r="J265" s="112"/>
      <c r="K265" s="111"/>
      <c r="L265" s="98"/>
    </row>
    <row r="266" spans="1:12" ht="15.75" customHeight="1">
      <c r="A266" s="111"/>
      <c r="B266" s="111"/>
      <c r="C266" s="111"/>
      <c r="D266" s="111"/>
      <c r="E266" s="111"/>
      <c r="F266" s="111"/>
      <c r="G266" s="111"/>
      <c r="H266" s="111"/>
      <c r="I266" s="111"/>
      <c r="J266" s="112"/>
      <c r="K266" s="111"/>
      <c r="L266" s="98"/>
    </row>
    <row r="267" spans="1:12" ht="15.75" customHeight="1">
      <c r="A267" s="111"/>
      <c r="B267" s="111"/>
      <c r="C267" s="111"/>
      <c r="D267" s="111"/>
      <c r="E267" s="111"/>
      <c r="F267" s="111"/>
      <c r="G267" s="111"/>
      <c r="H267" s="111"/>
      <c r="I267" s="111"/>
      <c r="J267" s="112"/>
      <c r="K267" s="111"/>
      <c r="L267" s="98"/>
    </row>
    <row r="268" spans="1:12" ht="15.75" customHeight="1">
      <c r="A268" s="111"/>
      <c r="B268" s="111"/>
      <c r="C268" s="111"/>
      <c r="D268" s="111"/>
      <c r="E268" s="111"/>
      <c r="F268" s="111"/>
      <c r="G268" s="111"/>
      <c r="H268" s="111"/>
      <c r="I268" s="111"/>
      <c r="J268" s="112"/>
      <c r="K268" s="111"/>
      <c r="L268" s="98"/>
    </row>
    <row r="269" spans="1:12" ht="15.75" customHeight="1">
      <c r="A269" s="111"/>
      <c r="B269" s="111"/>
      <c r="C269" s="111"/>
      <c r="D269" s="111"/>
      <c r="E269" s="111"/>
      <c r="F269" s="111"/>
      <c r="G269" s="111"/>
      <c r="H269" s="111"/>
      <c r="I269" s="111"/>
      <c r="J269" s="112"/>
      <c r="K269" s="111"/>
      <c r="L269" s="98"/>
    </row>
    <row r="270" spans="1:12" ht="15.75" customHeight="1">
      <c r="A270" s="111"/>
      <c r="B270" s="111"/>
      <c r="C270" s="111"/>
      <c r="D270" s="111"/>
      <c r="E270" s="111"/>
      <c r="F270" s="111"/>
      <c r="G270" s="111"/>
      <c r="H270" s="111"/>
      <c r="I270" s="111"/>
      <c r="J270" s="112"/>
      <c r="K270" s="111"/>
      <c r="L270" s="98"/>
    </row>
    <row r="271" spans="1:12" ht="15.75" customHeight="1">
      <c r="A271" s="111"/>
      <c r="B271" s="111"/>
      <c r="C271" s="111"/>
      <c r="D271" s="111"/>
      <c r="E271" s="111"/>
      <c r="F271" s="111"/>
      <c r="G271" s="111"/>
      <c r="H271" s="111"/>
      <c r="I271" s="111"/>
      <c r="J271" s="112"/>
      <c r="K271" s="111"/>
      <c r="L271" s="98"/>
    </row>
    <row r="272" spans="1:12" ht="15.75" customHeight="1">
      <c r="A272" s="111"/>
      <c r="B272" s="111"/>
      <c r="C272" s="111"/>
      <c r="D272" s="111"/>
      <c r="E272" s="111"/>
      <c r="F272" s="111"/>
      <c r="G272" s="111"/>
      <c r="H272" s="111"/>
      <c r="I272" s="111"/>
      <c r="J272" s="112"/>
      <c r="K272" s="111"/>
      <c r="L272" s="98"/>
    </row>
    <row r="273" spans="1:12" ht="15.75" customHeight="1">
      <c r="A273" s="111"/>
      <c r="B273" s="111"/>
      <c r="C273" s="111"/>
      <c r="D273" s="111"/>
      <c r="E273" s="111"/>
      <c r="F273" s="111"/>
      <c r="G273" s="111"/>
      <c r="H273" s="111"/>
      <c r="I273" s="111"/>
      <c r="J273" s="112"/>
      <c r="K273" s="111"/>
      <c r="L273" s="98"/>
    </row>
    <row r="274" spans="1:12" ht="15.75" customHeight="1">
      <c r="A274" s="111"/>
      <c r="B274" s="111"/>
      <c r="C274" s="111"/>
      <c r="D274" s="111"/>
      <c r="E274" s="111"/>
      <c r="F274" s="111"/>
      <c r="G274" s="111"/>
      <c r="H274" s="111"/>
      <c r="I274" s="111"/>
      <c r="J274" s="112"/>
      <c r="K274" s="111"/>
      <c r="L274" s="98"/>
    </row>
    <row r="275" spans="1:12" ht="15.75" customHeight="1">
      <c r="A275" s="111"/>
      <c r="B275" s="111"/>
      <c r="C275" s="111"/>
      <c r="D275" s="111"/>
      <c r="E275" s="111"/>
      <c r="F275" s="111"/>
      <c r="G275" s="111"/>
      <c r="H275" s="111"/>
      <c r="I275" s="111"/>
      <c r="J275" s="112"/>
      <c r="K275" s="111"/>
      <c r="L275" s="98"/>
    </row>
    <row r="276" spans="1:12" ht="15.75" customHeight="1">
      <c r="A276" s="111"/>
      <c r="B276" s="111"/>
      <c r="C276" s="111"/>
      <c r="D276" s="111"/>
      <c r="E276" s="111"/>
      <c r="F276" s="111"/>
      <c r="G276" s="111"/>
      <c r="H276" s="111"/>
      <c r="I276" s="111"/>
      <c r="J276" s="112"/>
      <c r="K276" s="111"/>
      <c r="L276" s="98"/>
    </row>
    <row r="277" spans="1:12" ht="15.75" customHeight="1">
      <c r="A277" s="111"/>
      <c r="B277" s="111"/>
      <c r="C277" s="111"/>
      <c r="D277" s="111"/>
      <c r="E277" s="111"/>
      <c r="F277" s="111"/>
      <c r="G277" s="111"/>
      <c r="H277" s="111"/>
      <c r="I277" s="111"/>
      <c r="J277" s="112"/>
      <c r="K277" s="111"/>
      <c r="L277" s="98"/>
    </row>
    <row r="278" spans="1:12" ht="15.75" customHeight="1">
      <c r="A278" s="111"/>
      <c r="B278" s="111"/>
      <c r="C278" s="111"/>
      <c r="D278" s="111"/>
      <c r="E278" s="111"/>
      <c r="F278" s="111"/>
      <c r="G278" s="111"/>
      <c r="H278" s="111"/>
      <c r="I278" s="111"/>
      <c r="J278" s="112"/>
      <c r="K278" s="111"/>
      <c r="L278" s="98"/>
    </row>
    <row r="279" spans="1:12" ht="15.75" customHeight="1">
      <c r="A279" s="111"/>
      <c r="B279" s="111"/>
      <c r="C279" s="111"/>
      <c r="D279" s="111"/>
      <c r="E279" s="111"/>
      <c r="F279" s="111"/>
      <c r="G279" s="111"/>
      <c r="H279" s="111"/>
      <c r="I279" s="111"/>
      <c r="J279" s="112"/>
      <c r="K279" s="111"/>
      <c r="L279" s="98"/>
    </row>
    <row r="280" spans="1:12" ht="15.75" customHeight="1">
      <c r="A280" s="111"/>
      <c r="B280" s="111"/>
      <c r="C280" s="111"/>
      <c r="D280" s="111"/>
      <c r="E280" s="111"/>
      <c r="F280" s="111"/>
      <c r="G280" s="111"/>
      <c r="H280" s="111"/>
      <c r="I280" s="111"/>
      <c r="J280" s="112"/>
      <c r="K280" s="111"/>
      <c r="L280" s="98"/>
    </row>
    <row r="281" spans="1:12" ht="15.75" customHeight="1">
      <c r="A281" s="111"/>
      <c r="B281" s="111"/>
      <c r="C281" s="111"/>
      <c r="D281" s="111"/>
      <c r="E281" s="111"/>
      <c r="F281" s="111"/>
      <c r="G281" s="111"/>
      <c r="H281" s="111"/>
      <c r="I281" s="111"/>
      <c r="J281" s="112"/>
      <c r="K281" s="111"/>
      <c r="L281" s="98"/>
    </row>
    <row r="282" spans="1:12" ht="15.75" customHeight="1">
      <c r="A282" s="111"/>
      <c r="B282" s="111"/>
      <c r="C282" s="111"/>
      <c r="D282" s="111"/>
      <c r="E282" s="111"/>
      <c r="F282" s="111"/>
      <c r="G282" s="111"/>
      <c r="H282" s="111"/>
      <c r="I282" s="111"/>
      <c r="J282" s="112"/>
      <c r="K282" s="111"/>
      <c r="L282" s="98"/>
    </row>
    <row r="283" spans="1:12" ht="15.75" customHeight="1">
      <c r="A283" s="111"/>
      <c r="B283" s="111"/>
      <c r="C283" s="111"/>
      <c r="D283" s="111"/>
      <c r="E283" s="111"/>
      <c r="F283" s="111"/>
      <c r="G283" s="111"/>
      <c r="H283" s="111"/>
      <c r="I283" s="111"/>
      <c r="J283" s="112"/>
      <c r="K283" s="111"/>
      <c r="L283" s="98"/>
    </row>
    <row r="284" spans="1:12" ht="15.75" customHeight="1">
      <c r="A284" s="111"/>
      <c r="B284" s="111"/>
      <c r="C284" s="111"/>
      <c r="D284" s="111"/>
      <c r="E284" s="111"/>
      <c r="F284" s="111"/>
      <c r="G284" s="111"/>
      <c r="H284" s="111"/>
      <c r="I284" s="111"/>
      <c r="J284" s="112"/>
      <c r="K284" s="111"/>
      <c r="L284" s="98"/>
    </row>
    <row r="285" spans="1:12" ht="15.75" customHeight="1">
      <c r="A285" s="111"/>
      <c r="B285" s="111"/>
      <c r="C285" s="111"/>
      <c r="D285" s="111"/>
      <c r="E285" s="111"/>
      <c r="F285" s="111"/>
      <c r="G285" s="111"/>
      <c r="H285" s="111"/>
      <c r="I285" s="111"/>
      <c r="J285" s="112"/>
      <c r="K285" s="111"/>
      <c r="L285" s="98"/>
    </row>
    <row r="286" spans="1:12" ht="15.75" customHeight="1">
      <c r="A286" s="111"/>
      <c r="B286" s="111"/>
      <c r="C286" s="111"/>
      <c r="D286" s="111"/>
      <c r="E286" s="111"/>
      <c r="F286" s="111"/>
      <c r="G286" s="111"/>
      <c r="H286" s="111"/>
      <c r="I286" s="111"/>
      <c r="J286" s="112"/>
      <c r="K286" s="111"/>
      <c r="L286" s="98"/>
    </row>
    <row r="287" spans="1:12" ht="15.75" customHeight="1">
      <c r="A287" s="111"/>
      <c r="B287" s="111"/>
      <c r="C287" s="111"/>
      <c r="D287" s="111"/>
      <c r="E287" s="111"/>
      <c r="F287" s="111"/>
      <c r="G287" s="111"/>
      <c r="H287" s="111"/>
      <c r="I287" s="111"/>
      <c r="J287" s="112"/>
      <c r="K287" s="111"/>
      <c r="L287" s="98"/>
    </row>
    <row r="288" spans="1:12" ht="15.75" customHeight="1">
      <c r="A288" s="111"/>
      <c r="B288" s="111"/>
      <c r="C288" s="111"/>
      <c r="D288" s="111"/>
      <c r="E288" s="111"/>
      <c r="F288" s="111"/>
      <c r="G288" s="111"/>
      <c r="H288" s="111"/>
      <c r="I288" s="111"/>
      <c r="J288" s="112"/>
      <c r="K288" s="111"/>
      <c r="L288" s="98"/>
    </row>
    <row r="289" spans="1:12" ht="15.75" customHeight="1">
      <c r="A289" s="111"/>
      <c r="B289" s="111"/>
      <c r="C289" s="111"/>
      <c r="D289" s="111"/>
      <c r="E289" s="111"/>
      <c r="F289" s="111"/>
      <c r="G289" s="111"/>
      <c r="H289" s="111"/>
      <c r="I289" s="111"/>
      <c r="J289" s="112"/>
      <c r="K289" s="111"/>
      <c r="L289" s="98"/>
    </row>
    <row r="290" spans="1:12" ht="15.75" customHeight="1">
      <c r="A290" s="111"/>
      <c r="B290" s="111"/>
      <c r="C290" s="111"/>
      <c r="D290" s="111"/>
      <c r="E290" s="111"/>
      <c r="F290" s="111"/>
      <c r="G290" s="111"/>
      <c r="H290" s="111"/>
      <c r="I290" s="111"/>
      <c r="J290" s="112"/>
      <c r="K290" s="111"/>
      <c r="L290" s="98"/>
    </row>
    <row r="291" spans="1:12" ht="15.75" customHeight="1">
      <c r="A291" s="111"/>
      <c r="B291" s="111"/>
      <c r="C291" s="111"/>
      <c r="D291" s="111"/>
      <c r="E291" s="111"/>
      <c r="F291" s="111"/>
      <c r="G291" s="111"/>
      <c r="H291" s="111"/>
      <c r="I291" s="111"/>
      <c r="J291" s="112"/>
      <c r="K291" s="111"/>
      <c r="L291" s="98"/>
    </row>
    <row r="292" spans="1:12" ht="15.75" customHeight="1">
      <c r="A292" s="111"/>
      <c r="B292" s="111"/>
      <c r="C292" s="111"/>
      <c r="D292" s="111"/>
      <c r="E292" s="111"/>
      <c r="F292" s="111"/>
      <c r="G292" s="111"/>
      <c r="H292" s="111"/>
      <c r="I292" s="111"/>
      <c r="J292" s="112"/>
      <c r="K292" s="111"/>
      <c r="L292" s="98"/>
    </row>
    <row r="293" spans="1:12" ht="15.75" customHeight="1">
      <c r="A293" s="111"/>
      <c r="B293" s="111"/>
      <c r="C293" s="111"/>
      <c r="D293" s="111"/>
      <c r="E293" s="111"/>
      <c r="F293" s="111"/>
      <c r="G293" s="111"/>
      <c r="H293" s="111"/>
      <c r="I293" s="111"/>
      <c r="J293" s="112"/>
      <c r="K293" s="111"/>
      <c r="L293" s="98"/>
    </row>
    <row r="294" spans="1:12" ht="15.75" customHeight="1">
      <c r="A294" s="111"/>
      <c r="B294" s="111"/>
      <c r="C294" s="111"/>
      <c r="D294" s="111"/>
      <c r="E294" s="111"/>
      <c r="F294" s="111"/>
      <c r="G294" s="111"/>
      <c r="H294" s="111"/>
      <c r="I294" s="111"/>
      <c r="J294" s="112"/>
      <c r="K294" s="111"/>
      <c r="L294" s="98"/>
    </row>
    <row r="295" spans="1:12" ht="15.75" customHeight="1">
      <c r="A295" s="111"/>
      <c r="B295" s="111"/>
      <c r="C295" s="111"/>
      <c r="D295" s="111"/>
      <c r="E295" s="111"/>
      <c r="F295" s="111"/>
      <c r="G295" s="111"/>
      <c r="H295" s="111"/>
      <c r="I295" s="111"/>
      <c r="J295" s="112"/>
      <c r="K295" s="111"/>
      <c r="L295" s="98"/>
    </row>
    <row r="296" spans="1:12" ht="15.75" customHeight="1">
      <c r="A296" s="111"/>
      <c r="B296" s="111"/>
      <c r="C296" s="111"/>
      <c r="D296" s="111"/>
      <c r="E296" s="111"/>
      <c r="F296" s="111"/>
      <c r="G296" s="111"/>
      <c r="H296" s="111"/>
      <c r="I296" s="111"/>
      <c r="J296" s="112"/>
      <c r="K296" s="111"/>
      <c r="L296" s="98"/>
    </row>
    <row r="297" spans="1:12" ht="15.75" customHeight="1">
      <c r="A297" s="111"/>
      <c r="B297" s="111"/>
      <c r="C297" s="111"/>
      <c r="D297" s="111"/>
      <c r="E297" s="111"/>
      <c r="F297" s="111"/>
      <c r="G297" s="111"/>
      <c r="H297" s="111"/>
      <c r="I297" s="111"/>
      <c r="J297" s="112"/>
      <c r="K297" s="111"/>
      <c r="L297" s="98"/>
    </row>
    <row r="298" spans="1:12" ht="15.75" customHeight="1">
      <c r="A298" s="111"/>
      <c r="B298" s="111"/>
      <c r="C298" s="111"/>
      <c r="D298" s="111"/>
      <c r="E298" s="111"/>
      <c r="F298" s="111"/>
      <c r="G298" s="111"/>
      <c r="H298" s="111"/>
      <c r="I298" s="111"/>
      <c r="J298" s="112"/>
      <c r="K298" s="111"/>
      <c r="L298" s="98"/>
    </row>
    <row r="299" spans="1:12" ht="15.75" customHeight="1">
      <c r="A299" s="111"/>
      <c r="B299" s="111"/>
      <c r="C299" s="111"/>
      <c r="D299" s="111"/>
      <c r="E299" s="111"/>
      <c r="F299" s="111"/>
      <c r="G299" s="111"/>
      <c r="H299" s="111"/>
      <c r="I299" s="111"/>
      <c r="J299" s="112"/>
      <c r="K299" s="111"/>
      <c r="L299" s="98"/>
    </row>
    <row r="300" spans="1:12" ht="15.75" customHeight="1">
      <c r="A300" s="111"/>
      <c r="B300" s="111"/>
      <c r="C300" s="111"/>
      <c r="D300" s="111"/>
      <c r="E300" s="111"/>
      <c r="F300" s="111"/>
      <c r="G300" s="111"/>
      <c r="H300" s="111"/>
      <c r="I300" s="111"/>
      <c r="J300" s="112"/>
      <c r="K300" s="111"/>
      <c r="L300" s="98"/>
    </row>
    <row r="301" spans="1:12" ht="15.75" customHeight="1">
      <c r="A301" s="111"/>
      <c r="B301" s="111"/>
      <c r="C301" s="111"/>
      <c r="D301" s="111"/>
      <c r="E301" s="111"/>
      <c r="F301" s="111"/>
      <c r="G301" s="111"/>
      <c r="H301" s="111"/>
      <c r="I301" s="111"/>
      <c r="J301" s="112"/>
      <c r="K301" s="111"/>
      <c r="L301" s="98"/>
    </row>
    <row r="302" spans="1:12" ht="15.75" customHeight="1">
      <c r="A302" s="111"/>
      <c r="B302" s="111"/>
      <c r="C302" s="111"/>
      <c r="D302" s="111"/>
      <c r="E302" s="111"/>
      <c r="F302" s="111"/>
      <c r="G302" s="111"/>
      <c r="H302" s="111"/>
      <c r="I302" s="111"/>
      <c r="J302" s="112"/>
      <c r="K302" s="111"/>
      <c r="L302" s="98"/>
    </row>
    <row r="303" spans="1:12" ht="15.75" customHeight="1">
      <c r="A303" s="111"/>
      <c r="B303" s="111"/>
      <c r="C303" s="111"/>
      <c r="D303" s="111"/>
      <c r="E303" s="111"/>
      <c r="F303" s="111"/>
      <c r="G303" s="111"/>
      <c r="H303" s="111"/>
      <c r="I303" s="111"/>
      <c r="J303" s="112"/>
      <c r="K303" s="111"/>
      <c r="L303" s="98"/>
    </row>
    <row r="304" spans="1:12" ht="15.75" customHeight="1">
      <c r="A304" s="111"/>
      <c r="B304" s="111"/>
      <c r="C304" s="111"/>
      <c r="D304" s="111"/>
      <c r="E304" s="111"/>
      <c r="F304" s="111"/>
      <c r="G304" s="111"/>
      <c r="H304" s="111"/>
      <c r="I304" s="111"/>
      <c r="J304" s="112"/>
      <c r="K304" s="111"/>
      <c r="L304" s="98"/>
    </row>
    <row r="305" spans="1:12" ht="15.75" customHeight="1">
      <c r="A305" s="111"/>
      <c r="B305" s="111"/>
      <c r="C305" s="111"/>
      <c r="D305" s="111"/>
      <c r="E305" s="111"/>
      <c r="F305" s="111"/>
      <c r="G305" s="111"/>
      <c r="H305" s="111"/>
      <c r="I305" s="111"/>
      <c r="J305" s="112"/>
      <c r="K305" s="111"/>
      <c r="L305" s="98"/>
    </row>
    <row r="306" spans="1:12" ht="15.75" customHeight="1">
      <c r="A306" s="111"/>
      <c r="B306" s="111"/>
      <c r="C306" s="111"/>
      <c r="D306" s="111"/>
      <c r="E306" s="111"/>
      <c r="F306" s="111"/>
      <c r="G306" s="111"/>
      <c r="H306" s="111"/>
      <c r="I306" s="111"/>
      <c r="J306" s="112"/>
      <c r="K306" s="111"/>
      <c r="L306" s="98"/>
    </row>
    <row r="307" spans="1:12" ht="15.75" customHeight="1">
      <c r="A307" s="111"/>
      <c r="B307" s="111"/>
      <c r="C307" s="111"/>
      <c r="D307" s="111"/>
      <c r="E307" s="111"/>
      <c r="F307" s="111"/>
      <c r="G307" s="111"/>
      <c r="H307" s="111"/>
      <c r="I307" s="111"/>
      <c r="J307" s="112"/>
      <c r="K307" s="111"/>
      <c r="L307" s="98"/>
    </row>
    <row r="308" spans="1:12" ht="15.75" customHeight="1">
      <c r="A308" s="111"/>
      <c r="B308" s="111"/>
      <c r="C308" s="111"/>
      <c r="D308" s="111"/>
      <c r="E308" s="111"/>
      <c r="F308" s="111"/>
      <c r="G308" s="111"/>
      <c r="H308" s="111"/>
      <c r="I308" s="111"/>
      <c r="J308" s="112"/>
      <c r="K308" s="111"/>
      <c r="L308" s="98"/>
    </row>
    <row r="309" spans="1:12" ht="15.75" customHeight="1">
      <c r="A309" s="111"/>
      <c r="B309" s="111"/>
      <c r="C309" s="111"/>
      <c r="D309" s="111"/>
      <c r="E309" s="111"/>
      <c r="F309" s="111"/>
      <c r="G309" s="111"/>
      <c r="H309" s="111"/>
      <c r="I309" s="111"/>
      <c r="J309" s="112"/>
      <c r="K309" s="111"/>
      <c r="L309" s="98"/>
    </row>
    <row r="310" spans="1:12" ht="15.75" customHeight="1">
      <c r="A310" s="111"/>
      <c r="B310" s="111"/>
      <c r="C310" s="111"/>
      <c r="D310" s="111"/>
      <c r="E310" s="111"/>
      <c r="F310" s="111"/>
      <c r="G310" s="111"/>
      <c r="H310" s="111"/>
      <c r="I310" s="111"/>
      <c r="J310" s="112"/>
      <c r="K310" s="111"/>
      <c r="L310" s="98"/>
    </row>
    <row r="311" spans="1:12" ht="15.75" customHeight="1">
      <c r="A311" s="111"/>
      <c r="B311" s="111"/>
      <c r="C311" s="111"/>
      <c r="D311" s="111"/>
      <c r="E311" s="111"/>
      <c r="F311" s="111"/>
      <c r="G311" s="111"/>
      <c r="H311" s="111"/>
      <c r="I311" s="111"/>
      <c r="J311" s="112"/>
      <c r="K311" s="111"/>
      <c r="L311" s="98"/>
    </row>
    <row r="312" spans="1:12" ht="15.75" customHeight="1">
      <c r="A312" s="111"/>
      <c r="B312" s="111"/>
      <c r="C312" s="111"/>
      <c r="D312" s="111"/>
      <c r="E312" s="111"/>
      <c r="F312" s="111"/>
      <c r="G312" s="111"/>
      <c r="H312" s="111"/>
      <c r="I312" s="111"/>
      <c r="J312" s="112"/>
      <c r="K312" s="111"/>
      <c r="L312" s="98"/>
    </row>
    <row r="313" spans="1:12" ht="15.75" customHeight="1">
      <c r="A313" s="111"/>
      <c r="B313" s="111"/>
      <c r="C313" s="111"/>
      <c r="D313" s="111"/>
      <c r="E313" s="111"/>
      <c r="F313" s="111"/>
      <c r="G313" s="111"/>
      <c r="H313" s="111"/>
      <c r="I313" s="111"/>
      <c r="J313" s="112"/>
      <c r="K313" s="111"/>
      <c r="L313" s="98"/>
    </row>
    <row r="314" spans="1:12" ht="15.75" customHeight="1">
      <c r="A314" s="111"/>
      <c r="B314" s="111"/>
      <c r="C314" s="111"/>
      <c r="D314" s="111"/>
      <c r="E314" s="111"/>
      <c r="F314" s="111"/>
      <c r="G314" s="111"/>
      <c r="H314" s="111"/>
      <c r="I314" s="111"/>
      <c r="J314" s="112"/>
      <c r="K314" s="111"/>
      <c r="L314" s="98"/>
    </row>
    <row r="315" spans="1:12" ht="15.75" customHeight="1">
      <c r="A315" s="111"/>
      <c r="B315" s="111"/>
      <c r="C315" s="111"/>
      <c r="D315" s="111"/>
      <c r="E315" s="111"/>
      <c r="F315" s="111"/>
      <c r="G315" s="111"/>
      <c r="H315" s="111"/>
      <c r="I315" s="111"/>
      <c r="J315" s="112"/>
      <c r="K315" s="111"/>
      <c r="L315" s="98"/>
    </row>
    <row r="316" spans="1:12" ht="15.75" customHeight="1">
      <c r="A316" s="111"/>
      <c r="B316" s="111"/>
      <c r="C316" s="111"/>
      <c r="D316" s="111"/>
      <c r="E316" s="111"/>
      <c r="F316" s="111"/>
      <c r="G316" s="111"/>
      <c r="H316" s="111"/>
      <c r="I316" s="111"/>
      <c r="J316" s="112"/>
      <c r="K316" s="111"/>
      <c r="L316" s="98"/>
    </row>
    <row r="317" spans="1:12" ht="15.75" customHeight="1">
      <c r="A317" s="111"/>
      <c r="B317" s="111"/>
      <c r="C317" s="111"/>
      <c r="D317" s="111"/>
      <c r="E317" s="111"/>
      <c r="F317" s="111"/>
      <c r="G317" s="111"/>
      <c r="H317" s="111"/>
      <c r="I317" s="111"/>
      <c r="J317" s="112"/>
      <c r="K317" s="111"/>
      <c r="L317" s="98"/>
    </row>
    <row r="318" spans="1:12" ht="15.75" customHeight="1">
      <c r="A318" s="111"/>
      <c r="B318" s="111"/>
      <c r="C318" s="111"/>
      <c r="D318" s="111"/>
      <c r="E318" s="111"/>
      <c r="F318" s="111"/>
      <c r="G318" s="111"/>
      <c r="H318" s="111"/>
      <c r="I318" s="111"/>
      <c r="J318" s="112"/>
      <c r="K318" s="111"/>
      <c r="L318" s="98"/>
    </row>
    <row r="319" spans="1:12" ht="15.75" customHeight="1">
      <c r="A319" s="111"/>
      <c r="B319" s="111"/>
      <c r="C319" s="111"/>
      <c r="D319" s="111"/>
      <c r="E319" s="111"/>
      <c r="F319" s="111"/>
      <c r="G319" s="111"/>
      <c r="H319" s="111"/>
      <c r="I319" s="111"/>
      <c r="J319" s="112"/>
      <c r="K319" s="111"/>
      <c r="L319" s="98"/>
    </row>
    <row r="320" spans="1:12" ht="15.75" customHeight="1">
      <c r="A320" s="111"/>
      <c r="B320" s="111"/>
      <c r="C320" s="111"/>
      <c r="D320" s="111"/>
      <c r="E320" s="111"/>
      <c r="F320" s="111"/>
      <c r="G320" s="111"/>
      <c r="H320" s="111"/>
      <c r="I320" s="111"/>
      <c r="J320" s="112"/>
      <c r="K320" s="111"/>
      <c r="L320" s="98"/>
    </row>
    <row r="321" spans="1:12" ht="15.75" customHeight="1">
      <c r="A321" s="111"/>
      <c r="B321" s="111"/>
      <c r="C321" s="111"/>
      <c r="D321" s="111"/>
      <c r="E321" s="111"/>
      <c r="F321" s="111"/>
      <c r="G321" s="111"/>
      <c r="H321" s="111"/>
      <c r="I321" s="111"/>
      <c r="J321" s="112"/>
      <c r="K321" s="111"/>
      <c r="L321" s="98"/>
    </row>
    <row r="322" spans="1:12" ht="15.75" customHeight="1">
      <c r="A322" s="111"/>
      <c r="B322" s="111"/>
      <c r="C322" s="111"/>
      <c r="D322" s="111"/>
      <c r="E322" s="111"/>
      <c r="F322" s="111"/>
      <c r="G322" s="111"/>
      <c r="H322" s="111"/>
      <c r="I322" s="111"/>
      <c r="J322" s="112"/>
      <c r="K322" s="111"/>
      <c r="L322" s="98"/>
    </row>
    <row r="323" spans="1:12" ht="15.75" customHeight="1">
      <c r="A323" s="111"/>
      <c r="B323" s="111"/>
      <c r="C323" s="111"/>
      <c r="D323" s="111"/>
      <c r="E323" s="111"/>
      <c r="F323" s="111"/>
      <c r="G323" s="111"/>
      <c r="H323" s="111"/>
      <c r="I323" s="111"/>
      <c r="J323" s="112"/>
      <c r="K323" s="111"/>
      <c r="L323" s="98"/>
    </row>
    <row r="324" spans="1:12" ht="15.75" customHeight="1">
      <c r="A324" s="111"/>
      <c r="B324" s="111"/>
      <c r="C324" s="111"/>
      <c r="D324" s="111"/>
      <c r="E324" s="111"/>
      <c r="F324" s="111"/>
      <c r="G324" s="111"/>
      <c r="H324" s="111"/>
      <c r="I324" s="111"/>
      <c r="J324" s="112"/>
      <c r="K324" s="111"/>
      <c r="L324" s="98"/>
    </row>
    <row r="325" spans="1:12" ht="15.75" customHeight="1">
      <c r="A325" s="111"/>
      <c r="B325" s="111"/>
      <c r="C325" s="111"/>
      <c r="D325" s="111"/>
      <c r="E325" s="111"/>
      <c r="F325" s="111"/>
      <c r="G325" s="111"/>
      <c r="H325" s="111"/>
      <c r="I325" s="111"/>
      <c r="J325" s="112"/>
      <c r="K325" s="111"/>
      <c r="L325" s="98"/>
    </row>
    <row r="326" spans="1:12" ht="15.75" customHeight="1">
      <c r="A326" s="111"/>
      <c r="B326" s="111"/>
      <c r="C326" s="111"/>
      <c r="D326" s="111"/>
      <c r="E326" s="111"/>
      <c r="F326" s="111"/>
      <c r="G326" s="111"/>
      <c r="H326" s="111"/>
      <c r="I326" s="111"/>
      <c r="J326" s="112"/>
      <c r="K326" s="111"/>
      <c r="L326" s="98"/>
    </row>
    <row r="327" spans="1:12" ht="15.75" customHeight="1">
      <c r="A327" s="111"/>
      <c r="B327" s="111"/>
      <c r="C327" s="111"/>
      <c r="D327" s="111"/>
      <c r="E327" s="111"/>
      <c r="F327" s="111"/>
      <c r="G327" s="111"/>
      <c r="H327" s="111"/>
      <c r="I327" s="111"/>
      <c r="J327" s="112"/>
      <c r="K327" s="111"/>
      <c r="L327" s="98"/>
    </row>
    <row r="328" spans="1:12" ht="15.75" customHeight="1">
      <c r="A328" s="111"/>
      <c r="B328" s="111"/>
      <c r="C328" s="111"/>
      <c r="D328" s="111"/>
      <c r="E328" s="111"/>
      <c r="F328" s="111"/>
      <c r="G328" s="111"/>
      <c r="H328" s="111"/>
      <c r="I328" s="111"/>
      <c r="J328" s="112"/>
      <c r="K328" s="111"/>
      <c r="L328" s="98"/>
    </row>
    <row r="329" spans="1:12" ht="15.75" customHeight="1">
      <c r="A329" s="111"/>
      <c r="B329" s="111"/>
      <c r="C329" s="111"/>
      <c r="D329" s="111"/>
      <c r="E329" s="111"/>
      <c r="F329" s="111"/>
      <c r="G329" s="111"/>
      <c r="H329" s="111"/>
      <c r="I329" s="111"/>
      <c r="J329" s="112"/>
      <c r="K329" s="111"/>
      <c r="L329" s="98"/>
    </row>
    <row r="330" spans="1:12" ht="15.75" customHeight="1">
      <c r="A330" s="111"/>
      <c r="B330" s="111"/>
      <c r="C330" s="111"/>
      <c r="D330" s="111"/>
      <c r="E330" s="111"/>
      <c r="F330" s="111"/>
      <c r="G330" s="111"/>
      <c r="H330" s="111"/>
      <c r="I330" s="111"/>
      <c r="J330" s="112"/>
      <c r="K330" s="111"/>
      <c r="L330" s="98"/>
    </row>
    <row r="331" spans="1:12" ht="15.75" customHeight="1">
      <c r="A331" s="111"/>
      <c r="B331" s="111"/>
      <c r="C331" s="111"/>
      <c r="D331" s="111"/>
      <c r="E331" s="111"/>
      <c r="F331" s="111"/>
      <c r="G331" s="111"/>
      <c r="H331" s="111"/>
      <c r="I331" s="111"/>
      <c r="J331" s="112"/>
      <c r="K331" s="111"/>
      <c r="L331" s="98"/>
    </row>
    <row r="332" spans="1:12" ht="15.75" customHeight="1">
      <c r="A332" s="111"/>
      <c r="B332" s="111"/>
      <c r="C332" s="111"/>
      <c r="D332" s="111"/>
      <c r="E332" s="111"/>
      <c r="F332" s="111"/>
      <c r="G332" s="111"/>
      <c r="H332" s="111"/>
      <c r="I332" s="111"/>
      <c r="J332" s="112"/>
      <c r="K332" s="111"/>
      <c r="L332" s="98"/>
    </row>
    <row r="333" spans="1:12" ht="15.75" customHeight="1">
      <c r="A333" s="111"/>
      <c r="B333" s="111"/>
      <c r="C333" s="111"/>
      <c r="D333" s="111"/>
      <c r="E333" s="111"/>
      <c r="F333" s="111"/>
      <c r="G333" s="111"/>
      <c r="H333" s="111"/>
      <c r="I333" s="111"/>
      <c r="J333" s="112"/>
      <c r="K333" s="111"/>
      <c r="L333" s="98"/>
    </row>
    <row r="334" spans="1:12" ht="15.75" customHeight="1">
      <c r="A334" s="111"/>
      <c r="B334" s="111"/>
      <c r="C334" s="111"/>
      <c r="D334" s="111"/>
      <c r="E334" s="111"/>
      <c r="F334" s="111"/>
      <c r="G334" s="111"/>
      <c r="H334" s="111"/>
      <c r="I334" s="111"/>
      <c r="J334" s="112"/>
      <c r="K334" s="111"/>
      <c r="L334" s="98"/>
    </row>
    <row r="335" spans="1:12" ht="15.75" customHeight="1">
      <c r="A335" s="111"/>
      <c r="B335" s="111"/>
      <c r="C335" s="111"/>
      <c r="D335" s="111"/>
      <c r="E335" s="111"/>
      <c r="F335" s="111"/>
      <c r="G335" s="111"/>
      <c r="H335" s="111"/>
      <c r="I335" s="111"/>
      <c r="J335" s="112"/>
      <c r="K335" s="111"/>
      <c r="L335" s="98"/>
    </row>
    <row r="336" spans="1:12" ht="15.75" customHeight="1">
      <c r="A336" s="111"/>
      <c r="B336" s="111"/>
      <c r="C336" s="111"/>
      <c r="D336" s="111"/>
      <c r="E336" s="111"/>
      <c r="F336" s="111"/>
      <c r="G336" s="111"/>
      <c r="H336" s="111"/>
      <c r="I336" s="111"/>
      <c r="J336" s="112"/>
      <c r="K336" s="111"/>
      <c r="L336" s="98"/>
    </row>
    <row r="337" spans="1:12" ht="15.75" customHeight="1">
      <c r="A337" s="111"/>
      <c r="B337" s="111"/>
      <c r="C337" s="111"/>
      <c r="D337" s="111"/>
      <c r="E337" s="111"/>
      <c r="F337" s="111"/>
      <c r="G337" s="111"/>
      <c r="H337" s="111"/>
      <c r="I337" s="111"/>
      <c r="J337" s="112"/>
      <c r="K337" s="111"/>
      <c r="L337" s="98"/>
    </row>
    <row r="338" spans="1:12" ht="15.75" customHeight="1">
      <c r="A338" s="111"/>
      <c r="B338" s="111"/>
      <c r="C338" s="111"/>
      <c r="D338" s="111"/>
      <c r="E338" s="111"/>
      <c r="F338" s="111"/>
      <c r="G338" s="111"/>
      <c r="H338" s="111"/>
      <c r="I338" s="111"/>
      <c r="J338" s="112"/>
      <c r="K338" s="111"/>
      <c r="L338" s="98"/>
    </row>
    <row r="339" spans="1:12" ht="15.75" customHeight="1">
      <c r="A339" s="111"/>
      <c r="B339" s="111"/>
      <c r="C339" s="111"/>
      <c r="D339" s="111"/>
      <c r="E339" s="111"/>
      <c r="F339" s="111"/>
      <c r="G339" s="111"/>
      <c r="H339" s="111"/>
      <c r="I339" s="111"/>
      <c r="J339" s="112"/>
      <c r="K339" s="111"/>
      <c r="L339" s="98"/>
    </row>
    <row r="340" spans="1:12" ht="15.75" customHeight="1">
      <c r="A340" s="111"/>
      <c r="B340" s="111"/>
      <c r="C340" s="111"/>
      <c r="D340" s="111"/>
      <c r="E340" s="111"/>
      <c r="F340" s="111"/>
      <c r="G340" s="111"/>
      <c r="H340" s="111"/>
      <c r="I340" s="111"/>
      <c r="J340" s="112"/>
      <c r="K340" s="111"/>
      <c r="L340" s="98"/>
    </row>
    <row r="341" spans="1:12" ht="15.75" customHeight="1">
      <c r="A341" s="111"/>
      <c r="B341" s="111"/>
      <c r="C341" s="111"/>
      <c r="D341" s="111"/>
      <c r="E341" s="111"/>
      <c r="F341" s="111"/>
      <c r="G341" s="111"/>
      <c r="H341" s="111"/>
      <c r="I341" s="111"/>
      <c r="J341" s="112"/>
      <c r="K341" s="111"/>
      <c r="L341" s="98"/>
    </row>
    <row r="342" spans="1:12" ht="15.75" customHeight="1">
      <c r="A342" s="111"/>
      <c r="B342" s="111"/>
      <c r="C342" s="111"/>
      <c r="D342" s="111"/>
      <c r="E342" s="111"/>
      <c r="F342" s="111"/>
      <c r="G342" s="111"/>
      <c r="H342" s="111"/>
      <c r="I342" s="111"/>
      <c r="J342" s="112"/>
      <c r="K342" s="111"/>
      <c r="L342" s="98"/>
    </row>
    <row r="343" spans="1:12" ht="15.75" customHeight="1">
      <c r="A343" s="111"/>
      <c r="B343" s="111"/>
      <c r="C343" s="111"/>
      <c r="D343" s="111"/>
      <c r="E343" s="111"/>
      <c r="F343" s="111"/>
      <c r="G343" s="111"/>
      <c r="H343" s="111"/>
      <c r="I343" s="111"/>
      <c r="J343" s="112"/>
      <c r="K343" s="111"/>
      <c r="L343" s="98"/>
    </row>
    <row r="344" spans="1:12" ht="15.75" customHeight="1">
      <c r="A344" s="111"/>
      <c r="B344" s="111"/>
      <c r="C344" s="111"/>
      <c r="D344" s="111"/>
      <c r="E344" s="111"/>
      <c r="F344" s="111"/>
      <c r="G344" s="111"/>
      <c r="H344" s="111"/>
      <c r="I344" s="111"/>
      <c r="J344" s="112"/>
      <c r="K344" s="111"/>
      <c r="L344" s="98"/>
    </row>
    <row r="345" spans="1:12" ht="15.75" customHeight="1">
      <c r="A345" s="111"/>
      <c r="B345" s="111"/>
      <c r="C345" s="111"/>
      <c r="D345" s="111"/>
      <c r="E345" s="111"/>
      <c r="F345" s="111"/>
      <c r="G345" s="111"/>
      <c r="H345" s="111"/>
      <c r="I345" s="111"/>
      <c r="J345" s="112"/>
      <c r="K345" s="111"/>
      <c r="L345" s="98"/>
    </row>
    <row r="346" spans="1:12" ht="15.75" customHeight="1">
      <c r="A346" s="111"/>
      <c r="B346" s="111"/>
      <c r="C346" s="111"/>
      <c r="D346" s="111"/>
      <c r="E346" s="111"/>
      <c r="F346" s="111"/>
      <c r="G346" s="111"/>
      <c r="H346" s="111"/>
      <c r="I346" s="111"/>
      <c r="J346" s="112"/>
      <c r="K346" s="111"/>
      <c r="L346" s="98"/>
    </row>
    <row r="347" spans="1:12" ht="15.75" customHeight="1">
      <c r="A347" s="111"/>
      <c r="B347" s="111"/>
      <c r="C347" s="111"/>
      <c r="D347" s="111"/>
      <c r="E347" s="111"/>
      <c r="F347" s="111"/>
      <c r="G347" s="111"/>
      <c r="H347" s="111"/>
      <c r="I347" s="111"/>
      <c r="J347" s="112"/>
      <c r="K347" s="111"/>
      <c r="L347" s="98"/>
    </row>
    <row r="348" spans="1:12" ht="15.75" customHeight="1">
      <c r="A348" s="111"/>
      <c r="B348" s="111"/>
      <c r="C348" s="111"/>
      <c r="D348" s="111"/>
      <c r="E348" s="111"/>
      <c r="F348" s="111"/>
      <c r="G348" s="111"/>
      <c r="H348" s="111"/>
      <c r="I348" s="111"/>
      <c r="J348" s="112"/>
      <c r="K348" s="111"/>
      <c r="L348" s="98"/>
    </row>
    <row r="349" spans="1:12" ht="15.75" customHeight="1">
      <c r="A349" s="111"/>
      <c r="B349" s="111"/>
      <c r="C349" s="111"/>
      <c r="D349" s="111"/>
      <c r="E349" s="111"/>
      <c r="F349" s="111"/>
      <c r="G349" s="111"/>
      <c r="H349" s="111"/>
      <c r="I349" s="111"/>
      <c r="J349" s="112"/>
      <c r="K349" s="111"/>
      <c r="L349" s="98"/>
    </row>
    <row r="350" spans="1:12" ht="15.75" customHeight="1">
      <c r="A350" s="111"/>
      <c r="B350" s="111"/>
      <c r="C350" s="111"/>
      <c r="D350" s="111"/>
      <c r="E350" s="111"/>
      <c r="F350" s="111"/>
      <c r="G350" s="111"/>
      <c r="H350" s="111"/>
      <c r="I350" s="111"/>
      <c r="J350" s="112"/>
      <c r="K350" s="111"/>
      <c r="L350" s="98"/>
    </row>
    <row r="351" spans="1:12" ht="15.75" customHeight="1">
      <c r="A351" s="111"/>
      <c r="B351" s="111"/>
      <c r="C351" s="111"/>
      <c r="D351" s="111"/>
      <c r="E351" s="111"/>
      <c r="F351" s="111"/>
      <c r="G351" s="111"/>
      <c r="H351" s="111"/>
      <c r="I351" s="111"/>
      <c r="J351" s="112"/>
      <c r="K351" s="111"/>
      <c r="L351" s="98"/>
    </row>
    <row r="352" spans="1:12" ht="15.75" customHeight="1">
      <c r="A352" s="111"/>
      <c r="B352" s="111"/>
      <c r="C352" s="111"/>
      <c r="D352" s="111"/>
      <c r="E352" s="111"/>
      <c r="F352" s="111"/>
      <c r="G352" s="111"/>
      <c r="H352" s="111"/>
      <c r="I352" s="111"/>
      <c r="J352" s="112"/>
      <c r="K352" s="111"/>
      <c r="L352" s="98"/>
    </row>
    <row r="353" spans="1:12" ht="15.75" customHeight="1">
      <c r="A353" s="111"/>
      <c r="B353" s="111"/>
      <c r="C353" s="111"/>
      <c r="D353" s="111"/>
      <c r="E353" s="111"/>
      <c r="F353" s="111"/>
      <c r="G353" s="111"/>
      <c r="H353" s="111"/>
      <c r="I353" s="111"/>
      <c r="J353" s="112"/>
      <c r="K353" s="111"/>
      <c r="L353" s="98"/>
    </row>
    <row r="354" spans="1:12" ht="15.75" customHeight="1">
      <c r="A354" s="111"/>
      <c r="B354" s="111"/>
      <c r="C354" s="111"/>
      <c r="D354" s="111"/>
      <c r="E354" s="111"/>
      <c r="F354" s="111"/>
      <c r="G354" s="111"/>
      <c r="H354" s="111"/>
      <c r="I354" s="111"/>
      <c r="J354" s="112"/>
      <c r="K354" s="111"/>
      <c r="L354" s="98"/>
    </row>
    <row r="355" spans="1:12" ht="15.75" customHeight="1">
      <c r="A355" s="111"/>
      <c r="B355" s="111"/>
      <c r="C355" s="111"/>
      <c r="D355" s="111"/>
      <c r="E355" s="111"/>
      <c r="F355" s="111"/>
      <c r="G355" s="111"/>
      <c r="H355" s="111"/>
      <c r="I355" s="111"/>
      <c r="J355" s="112"/>
      <c r="K355" s="111"/>
      <c r="L355" s="98"/>
    </row>
    <row r="356" spans="1:12" ht="15.75" customHeight="1">
      <c r="A356" s="111"/>
      <c r="B356" s="111"/>
      <c r="C356" s="111"/>
      <c r="D356" s="111"/>
      <c r="E356" s="111"/>
      <c r="F356" s="111"/>
      <c r="G356" s="111"/>
      <c r="H356" s="111"/>
      <c r="I356" s="111"/>
      <c r="J356" s="112"/>
      <c r="K356" s="111"/>
      <c r="L356" s="98"/>
    </row>
    <row r="357" spans="1:12" ht="15.75" customHeight="1">
      <c r="A357" s="111"/>
      <c r="B357" s="111"/>
      <c r="C357" s="111"/>
      <c r="D357" s="111"/>
      <c r="E357" s="111"/>
      <c r="F357" s="111"/>
      <c r="G357" s="111"/>
      <c r="H357" s="111"/>
      <c r="I357" s="111"/>
      <c r="J357" s="112"/>
      <c r="K357" s="111"/>
      <c r="L357" s="98"/>
    </row>
    <row r="358" spans="1:12" ht="15.75" customHeight="1">
      <c r="A358" s="111"/>
      <c r="B358" s="111"/>
      <c r="C358" s="111"/>
      <c r="D358" s="111"/>
      <c r="E358" s="111"/>
      <c r="F358" s="111"/>
      <c r="G358" s="111"/>
      <c r="H358" s="111"/>
      <c r="I358" s="111"/>
      <c r="J358" s="112"/>
      <c r="K358" s="111"/>
      <c r="L358" s="98"/>
    </row>
    <row r="359" spans="1:12" ht="15.75" customHeight="1">
      <c r="A359" s="111"/>
      <c r="B359" s="111"/>
      <c r="C359" s="111"/>
      <c r="D359" s="111"/>
      <c r="E359" s="111"/>
      <c r="F359" s="111"/>
      <c r="G359" s="111"/>
      <c r="H359" s="111"/>
      <c r="I359" s="111"/>
      <c r="J359" s="112"/>
      <c r="K359" s="111"/>
      <c r="L359" s="98"/>
    </row>
    <row r="360" spans="1:12" ht="15.75" customHeight="1">
      <c r="A360" s="111"/>
      <c r="B360" s="111"/>
      <c r="C360" s="111"/>
      <c r="D360" s="111"/>
      <c r="E360" s="111"/>
      <c r="F360" s="111"/>
      <c r="G360" s="111"/>
      <c r="H360" s="111"/>
      <c r="I360" s="111"/>
      <c r="J360" s="112"/>
      <c r="K360" s="111"/>
      <c r="L360" s="98"/>
    </row>
    <row r="361" spans="1:12" ht="15.75" customHeight="1">
      <c r="A361" s="111"/>
      <c r="B361" s="111"/>
      <c r="C361" s="111"/>
      <c r="D361" s="111"/>
      <c r="E361" s="111"/>
      <c r="F361" s="111"/>
      <c r="G361" s="111"/>
      <c r="H361" s="111"/>
      <c r="I361" s="111"/>
      <c r="J361" s="112"/>
      <c r="K361" s="111"/>
      <c r="L361" s="98"/>
    </row>
    <row r="362" spans="1:12" ht="15.75" customHeight="1">
      <c r="A362" s="111"/>
      <c r="B362" s="111"/>
      <c r="C362" s="111"/>
      <c r="D362" s="111"/>
      <c r="E362" s="111"/>
      <c r="F362" s="111"/>
      <c r="G362" s="111"/>
      <c r="H362" s="111"/>
      <c r="I362" s="111"/>
      <c r="J362" s="112"/>
      <c r="K362" s="111"/>
      <c r="L362" s="98"/>
    </row>
    <row r="363" spans="1:12" ht="15.75" customHeight="1">
      <c r="A363" s="111"/>
      <c r="B363" s="111"/>
      <c r="C363" s="111"/>
      <c r="D363" s="111"/>
      <c r="E363" s="111"/>
      <c r="F363" s="111"/>
      <c r="G363" s="111"/>
      <c r="H363" s="111"/>
      <c r="I363" s="111"/>
      <c r="J363" s="112"/>
      <c r="K363" s="111"/>
      <c r="L363" s="98"/>
    </row>
    <row r="364" spans="1:12" ht="15.75" customHeight="1">
      <c r="A364" s="111"/>
      <c r="B364" s="111"/>
      <c r="C364" s="111"/>
      <c r="D364" s="111"/>
      <c r="E364" s="111"/>
      <c r="F364" s="111"/>
      <c r="G364" s="111"/>
      <c r="H364" s="111"/>
      <c r="I364" s="111"/>
      <c r="J364" s="112"/>
      <c r="K364" s="111"/>
      <c r="L364" s="98"/>
    </row>
    <row r="365" spans="1:12" ht="15.75" customHeight="1">
      <c r="A365" s="111"/>
      <c r="B365" s="111"/>
      <c r="C365" s="111"/>
      <c r="D365" s="111"/>
      <c r="E365" s="111"/>
      <c r="F365" s="111"/>
      <c r="G365" s="111"/>
      <c r="H365" s="111"/>
      <c r="I365" s="111"/>
      <c r="J365" s="112"/>
      <c r="K365" s="111"/>
      <c r="L365" s="98"/>
    </row>
    <row r="366" spans="1:12" ht="15.75" customHeight="1">
      <c r="A366" s="111"/>
      <c r="B366" s="111"/>
      <c r="C366" s="111"/>
      <c r="D366" s="111"/>
      <c r="E366" s="111"/>
      <c r="F366" s="111"/>
      <c r="G366" s="111"/>
      <c r="H366" s="111"/>
      <c r="I366" s="111"/>
      <c r="J366" s="112"/>
      <c r="K366" s="111"/>
      <c r="L366" s="98"/>
    </row>
    <row r="367" spans="1:12" ht="15.75" customHeight="1">
      <c r="A367" s="111"/>
      <c r="B367" s="111"/>
      <c r="C367" s="111"/>
      <c r="D367" s="111"/>
      <c r="E367" s="111"/>
      <c r="F367" s="111"/>
      <c r="G367" s="111"/>
      <c r="H367" s="111"/>
      <c r="I367" s="111"/>
      <c r="J367" s="112"/>
      <c r="K367" s="111"/>
      <c r="L367" s="98"/>
    </row>
    <row r="368" spans="1:12" ht="15.75" customHeight="1">
      <c r="A368" s="111"/>
      <c r="B368" s="111"/>
      <c r="C368" s="111"/>
      <c r="D368" s="111"/>
      <c r="E368" s="111"/>
      <c r="F368" s="111"/>
      <c r="G368" s="111"/>
      <c r="H368" s="111"/>
      <c r="I368" s="111"/>
      <c r="J368" s="112"/>
      <c r="K368" s="111"/>
      <c r="L368" s="98"/>
    </row>
    <row r="369" spans="1:12" ht="15.75" customHeight="1">
      <c r="A369" s="111"/>
      <c r="B369" s="111"/>
      <c r="C369" s="111"/>
      <c r="D369" s="111"/>
      <c r="E369" s="111"/>
      <c r="F369" s="111"/>
      <c r="G369" s="111"/>
      <c r="H369" s="111"/>
      <c r="I369" s="111"/>
      <c r="J369" s="112"/>
      <c r="K369" s="111"/>
      <c r="L369" s="98"/>
    </row>
    <row r="370" spans="1:12" ht="15.75" customHeight="1">
      <c r="A370" s="111"/>
      <c r="B370" s="111"/>
      <c r="C370" s="111"/>
      <c r="D370" s="111"/>
      <c r="E370" s="111"/>
      <c r="F370" s="111"/>
      <c r="G370" s="111"/>
      <c r="H370" s="111"/>
      <c r="I370" s="111"/>
      <c r="J370" s="112"/>
      <c r="K370" s="111"/>
      <c r="L370" s="98"/>
    </row>
    <row r="371" spans="1:12" ht="15.75" customHeight="1">
      <c r="A371" s="111"/>
      <c r="B371" s="111"/>
      <c r="C371" s="111"/>
      <c r="D371" s="111"/>
      <c r="E371" s="111"/>
      <c r="F371" s="111"/>
      <c r="G371" s="111"/>
      <c r="H371" s="111"/>
      <c r="I371" s="111"/>
      <c r="J371" s="112"/>
      <c r="K371" s="111"/>
      <c r="L371" s="98"/>
    </row>
    <row r="372" spans="1:12" ht="15.75" customHeight="1">
      <c r="A372" s="111"/>
      <c r="B372" s="111"/>
      <c r="C372" s="111"/>
      <c r="D372" s="111"/>
      <c r="E372" s="111"/>
      <c r="F372" s="111"/>
      <c r="G372" s="111"/>
      <c r="H372" s="111"/>
      <c r="I372" s="111"/>
      <c r="J372" s="112"/>
      <c r="K372" s="111"/>
      <c r="L372" s="98"/>
    </row>
    <row r="373" spans="1:12" ht="15.75" customHeight="1">
      <c r="A373" s="111"/>
      <c r="B373" s="111"/>
      <c r="C373" s="111"/>
      <c r="D373" s="111"/>
      <c r="E373" s="111"/>
      <c r="F373" s="111"/>
      <c r="G373" s="111"/>
      <c r="H373" s="111"/>
      <c r="I373" s="111"/>
      <c r="J373" s="112"/>
      <c r="K373" s="111"/>
      <c r="L373" s="98"/>
    </row>
    <row r="374" spans="1:12" ht="15.75" customHeight="1">
      <c r="A374" s="111"/>
      <c r="B374" s="111"/>
      <c r="C374" s="111"/>
      <c r="D374" s="111"/>
      <c r="E374" s="111"/>
      <c r="F374" s="111"/>
      <c r="G374" s="111"/>
      <c r="H374" s="111"/>
      <c r="I374" s="111"/>
      <c r="J374" s="112"/>
      <c r="K374" s="111"/>
      <c r="L374" s="98"/>
    </row>
    <row r="375" spans="1:12" ht="15.75" customHeight="1">
      <c r="A375" s="111"/>
      <c r="B375" s="111"/>
      <c r="C375" s="111"/>
      <c r="D375" s="111"/>
      <c r="E375" s="111"/>
      <c r="F375" s="111"/>
      <c r="G375" s="111"/>
      <c r="H375" s="111"/>
      <c r="I375" s="111"/>
      <c r="J375" s="112"/>
      <c r="K375" s="111"/>
      <c r="L375" s="98"/>
    </row>
    <row r="376" spans="1:12" ht="15.75" customHeight="1">
      <c r="A376" s="111"/>
      <c r="B376" s="111"/>
      <c r="C376" s="111"/>
      <c r="D376" s="111"/>
      <c r="E376" s="111"/>
      <c r="F376" s="111"/>
      <c r="G376" s="111"/>
      <c r="H376" s="111"/>
      <c r="I376" s="111"/>
      <c r="J376" s="112"/>
      <c r="K376" s="111"/>
      <c r="L376" s="98"/>
    </row>
    <row r="377" spans="1:12" ht="15.75" customHeight="1">
      <c r="A377" s="111"/>
      <c r="B377" s="111"/>
      <c r="C377" s="111"/>
      <c r="D377" s="111"/>
      <c r="E377" s="111"/>
      <c r="F377" s="111"/>
      <c r="G377" s="111"/>
      <c r="H377" s="111"/>
      <c r="I377" s="111"/>
      <c r="J377" s="112"/>
      <c r="K377" s="111"/>
      <c r="L377" s="98"/>
    </row>
    <row r="378" spans="1:12" ht="15.75" customHeight="1">
      <c r="A378" s="111"/>
      <c r="B378" s="111"/>
      <c r="C378" s="111"/>
      <c r="D378" s="111"/>
      <c r="E378" s="111"/>
      <c r="F378" s="111"/>
      <c r="G378" s="111"/>
      <c r="H378" s="111"/>
      <c r="I378" s="111"/>
      <c r="J378" s="112"/>
      <c r="K378" s="111"/>
      <c r="L378" s="98"/>
    </row>
    <row r="379" spans="1:12" ht="15.75" customHeight="1">
      <c r="A379" s="111"/>
      <c r="B379" s="111"/>
      <c r="C379" s="111"/>
      <c r="D379" s="111"/>
      <c r="E379" s="111"/>
      <c r="F379" s="111"/>
      <c r="G379" s="111"/>
      <c r="H379" s="111"/>
      <c r="I379" s="111"/>
      <c r="J379" s="112"/>
      <c r="K379" s="111"/>
      <c r="L379" s="98"/>
    </row>
    <row r="380" spans="1:12" ht="15.75" customHeight="1">
      <c r="A380" s="111"/>
      <c r="B380" s="111"/>
      <c r="C380" s="111"/>
      <c r="D380" s="111"/>
      <c r="E380" s="111"/>
      <c r="F380" s="111"/>
      <c r="G380" s="111"/>
      <c r="H380" s="111"/>
      <c r="I380" s="111"/>
      <c r="J380" s="112"/>
      <c r="K380" s="111"/>
      <c r="L380" s="98"/>
    </row>
    <row r="381" spans="1:12" ht="15.75" customHeight="1">
      <c r="A381" s="111"/>
      <c r="B381" s="111"/>
      <c r="C381" s="111"/>
      <c r="D381" s="111"/>
      <c r="E381" s="111"/>
      <c r="F381" s="111"/>
      <c r="G381" s="111"/>
      <c r="H381" s="111"/>
      <c r="I381" s="111"/>
      <c r="J381" s="112"/>
      <c r="K381" s="111"/>
      <c r="L381" s="98"/>
    </row>
    <row r="382" spans="1:12" ht="15.75" customHeight="1">
      <c r="A382" s="111"/>
      <c r="B382" s="111"/>
      <c r="C382" s="111"/>
      <c r="D382" s="111"/>
      <c r="E382" s="111"/>
      <c r="F382" s="111"/>
      <c r="G382" s="111"/>
      <c r="H382" s="111"/>
      <c r="I382" s="111"/>
      <c r="J382" s="112"/>
      <c r="K382" s="111"/>
      <c r="L382" s="98"/>
    </row>
    <row r="383" spans="1:12" ht="15.75" customHeight="1">
      <c r="A383" s="111"/>
      <c r="B383" s="111"/>
      <c r="C383" s="111"/>
      <c r="D383" s="111"/>
      <c r="E383" s="111"/>
      <c r="F383" s="111"/>
      <c r="G383" s="111"/>
      <c r="H383" s="111"/>
      <c r="I383" s="111"/>
      <c r="J383" s="112"/>
      <c r="K383" s="111"/>
      <c r="L383" s="98"/>
    </row>
    <row r="384" spans="1:12" ht="15.75" customHeight="1">
      <c r="A384" s="111"/>
      <c r="B384" s="111"/>
      <c r="C384" s="111"/>
      <c r="D384" s="111"/>
      <c r="E384" s="111"/>
      <c r="F384" s="111"/>
      <c r="G384" s="111"/>
      <c r="H384" s="111"/>
      <c r="I384" s="111"/>
      <c r="J384" s="112"/>
      <c r="K384" s="111"/>
      <c r="L384" s="98"/>
    </row>
    <row r="385" spans="1:12" ht="15.75" customHeight="1">
      <c r="A385" s="111"/>
      <c r="B385" s="111"/>
      <c r="C385" s="111"/>
      <c r="D385" s="111"/>
      <c r="E385" s="111"/>
      <c r="F385" s="111"/>
      <c r="G385" s="111"/>
      <c r="H385" s="111"/>
      <c r="I385" s="111"/>
      <c r="J385" s="112"/>
      <c r="K385" s="111"/>
      <c r="L385" s="98"/>
    </row>
    <row r="386" spans="1:12" ht="15.75" customHeight="1">
      <c r="A386" s="111"/>
      <c r="B386" s="111"/>
      <c r="C386" s="111"/>
      <c r="D386" s="111"/>
      <c r="E386" s="111"/>
      <c r="F386" s="111"/>
      <c r="G386" s="111"/>
      <c r="H386" s="111"/>
      <c r="I386" s="111"/>
      <c r="J386" s="112"/>
      <c r="K386" s="111"/>
      <c r="L386" s="98"/>
    </row>
    <row r="387" spans="1:12" ht="15.75" customHeight="1">
      <c r="A387" s="111"/>
      <c r="B387" s="111"/>
      <c r="C387" s="111"/>
      <c r="D387" s="111"/>
      <c r="E387" s="111"/>
      <c r="F387" s="111"/>
      <c r="G387" s="111"/>
      <c r="H387" s="111"/>
      <c r="I387" s="111"/>
      <c r="J387" s="112"/>
      <c r="K387" s="111"/>
      <c r="L387" s="98"/>
    </row>
    <row r="388" spans="1:12" ht="15.75" customHeight="1">
      <c r="A388" s="111"/>
      <c r="B388" s="111"/>
      <c r="C388" s="111"/>
      <c r="D388" s="111"/>
      <c r="E388" s="111"/>
      <c r="F388" s="111"/>
      <c r="G388" s="111"/>
      <c r="H388" s="111"/>
      <c r="I388" s="111"/>
      <c r="J388" s="112"/>
      <c r="K388" s="111"/>
      <c r="L388" s="98"/>
    </row>
    <row r="389" spans="1:12" ht="15.75" customHeight="1">
      <c r="A389" s="111"/>
      <c r="B389" s="111"/>
      <c r="C389" s="111"/>
      <c r="D389" s="111"/>
      <c r="E389" s="111"/>
      <c r="F389" s="111"/>
      <c r="G389" s="111"/>
      <c r="H389" s="111"/>
      <c r="I389" s="111"/>
      <c r="J389" s="112"/>
      <c r="K389" s="111"/>
      <c r="L389" s="98"/>
    </row>
    <row r="390" spans="1:12" ht="15.75" customHeight="1">
      <c r="A390" s="111"/>
      <c r="B390" s="111"/>
      <c r="C390" s="111"/>
      <c r="D390" s="111"/>
      <c r="E390" s="111"/>
      <c r="F390" s="111"/>
      <c r="G390" s="111"/>
      <c r="H390" s="111"/>
      <c r="I390" s="111"/>
      <c r="J390" s="112"/>
      <c r="K390" s="111"/>
      <c r="L390" s="98"/>
    </row>
    <row r="391" spans="1:12" ht="15.75" customHeight="1">
      <c r="A391" s="111"/>
      <c r="B391" s="111"/>
      <c r="C391" s="111"/>
      <c r="D391" s="111"/>
      <c r="E391" s="111"/>
      <c r="F391" s="111"/>
      <c r="G391" s="111"/>
      <c r="H391" s="111"/>
      <c r="I391" s="111"/>
      <c r="J391" s="112"/>
      <c r="K391" s="111"/>
      <c r="L391" s="98"/>
    </row>
    <row r="392" spans="1:12" ht="15.75" customHeight="1">
      <c r="A392" s="111"/>
      <c r="B392" s="111"/>
      <c r="C392" s="111"/>
      <c r="D392" s="111"/>
      <c r="E392" s="111"/>
      <c r="F392" s="111"/>
      <c r="G392" s="111"/>
      <c r="H392" s="111"/>
      <c r="I392" s="111"/>
      <c r="J392" s="112"/>
      <c r="K392" s="111"/>
      <c r="L392" s="98"/>
    </row>
    <row r="393" spans="1:12" ht="15.75" customHeight="1">
      <c r="A393" s="111"/>
      <c r="B393" s="111"/>
      <c r="C393" s="111"/>
      <c r="D393" s="111"/>
      <c r="E393" s="111"/>
      <c r="F393" s="111"/>
      <c r="G393" s="111"/>
      <c r="H393" s="111"/>
      <c r="I393" s="111"/>
      <c r="J393" s="112"/>
      <c r="K393" s="111"/>
      <c r="L393" s="98"/>
    </row>
    <row r="394" spans="1:12" ht="15.75" customHeight="1">
      <c r="A394" s="111"/>
      <c r="B394" s="111"/>
      <c r="C394" s="111"/>
      <c r="D394" s="111"/>
      <c r="E394" s="111"/>
      <c r="F394" s="111"/>
      <c r="G394" s="111"/>
      <c r="H394" s="111"/>
      <c r="I394" s="111"/>
      <c r="J394" s="112"/>
      <c r="K394" s="111"/>
      <c r="L394" s="98"/>
    </row>
    <row r="395" spans="1:12" ht="15.75" customHeight="1">
      <c r="A395" s="111"/>
      <c r="B395" s="111"/>
      <c r="C395" s="111"/>
      <c r="D395" s="111"/>
      <c r="E395" s="111"/>
      <c r="F395" s="111"/>
      <c r="G395" s="111"/>
      <c r="H395" s="111"/>
      <c r="I395" s="111"/>
      <c r="J395" s="112"/>
      <c r="K395" s="111"/>
      <c r="L395" s="98"/>
    </row>
    <row r="396" spans="1:12" ht="15.75" customHeight="1">
      <c r="A396" s="111"/>
      <c r="B396" s="111"/>
      <c r="C396" s="111"/>
      <c r="D396" s="111"/>
      <c r="E396" s="111"/>
      <c r="F396" s="111"/>
      <c r="G396" s="111"/>
      <c r="H396" s="111"/>
      <c r="I396" s="111"/>
      <c r="J396" s="112"/>
      <c r="K396" s="111"/>
      <c r="L396" s="98"/>
    </row>
    <row r="397" spans="1:12" ht="15.75" customHeight="1">
      <c r="A397" s="111"/>
      <c r="B397" s="111"/>
      <c r="C397" s="111"/>
      <c r="D397" s="111"/>
      <c r="E397" s="111"/>
      <c r="F397" s="111"/>
      <c r="G397" s="111"/>
      <c r="H397" s="111"/>
      <c r="I397" s="111"/>
      <c r="J397" s="112"/>
      <c r="K397" s="111"/>
      <c r="L397" s="98"/>
    </row>
    <row r="398" spans="1:12" ht="15.75" customHeight="1">
      <c r="A398" s="111"/>
      <c r="B398" s="111"/>
      <c r="C398" s="111"/>
      <c r="D398" s="111"/>
      <c r="E398" s="111"/>
      <c r="F398" s="111"/>
      <c r="G398" s="111"/>
      <c r="H398" s="111"/>
      <c r="I398" s="111"/>
      <c r="J398" s="112"/>
      <c r="K398" s="111"/>
      <c r="L398" s="98"/>
    </row>
    <row r="399" spans="1:12" ht="15.75" customHeight="1">
      <c r="A399" s="111"/>
      <c r="B399" s="111"/>
      <c r="C399" s="111"/>
      <c r="D399" s="111"/>
      <c r="E399" s="111"/>
      <c r="F399" s="111"/>
      <c r="G399" s="111"/>
      <c r="H399" s="111"/>
      <c r="I399" s="111"/>
      <c r="J399" s="112"/>
      <c r="K399" s="111"/>
      <c r="L399" s="98"/>
    </row>
    <row r="400" spans="1:12" ht="15.75" customHeight="1">
      <c r="A400" s="111"/>
      <c r="B400" s="111"/>
      <c r="C400" s="111"/>
      <c r="D400" s="111"/>
      <c r="E400" s="111"/>
      <c r="F400" s="111"/>
      <c r="G400" s="111"/>
      <c r="H400" s="111"/>
      <c r="I400" s="111"/>
      <c r="J400" s="112"/>
      <c r="K400" s="111"/>
      <c r="L400" s="98"/>
    </row>
    <row r="401" spans="1:12" ht="15.75" customHeight="1">
      <c r="A401" s="111"/>
      <c r="B401" s="111"/>
      <c r="C401" s="111"/>
      <c r="D401" s="111"/>
      <c r="E401" s="111"/>
      <c r="F401" s="111"/>
      <c r="G401" s="111"/>
      <c r="H401" s="111"/>
      <c r="I401" s="111"/>
      <c r="J401" s="112"/>
      <c r="K401" s="111"/>
      <c r="L401" s="98"/>
    </row>
    <row r="402" spans="1:12" ht="15.75" customHeight="1">
      <c r="A402" s="111"/>
      <c r="B402" s="111"/>
      <c r="C402" s="111"/>
      <c r="D402" s="111"/>
      <c r="E402" s="111"/>
      <c r="F402" s="111"/>
      <c r="G402" s="111"/>
      <c r="H402" s="111"/>
      <c r="I402" s="111"/>
      <c r="J402" s="112"/>
      <c r="K402" s="111"/>
      <c r="L402" s="98"/>
    </row>
    <row r="403" spans="1:12" ht="15.75" customHeight="1">
      <c r="A403" s="111"/>
      <c r="B403" s="111"/>
      <c r="C403" s="111"/>
      <c r="D403" s="111"/>
      <c r="E403" s="111"/>
      <c r="F403" s="111"/>
      <c r="G403" s="111"/>
      <c r="H403" s="111"/>
      <c r="I403" s="111"/>
      <c r="J403" s="112"/>
      <c r="K403" s="111"/>
      <c r="L403" s="98"/>
    </row>
    <row r="404" spans="1:12" ht="15.75" customHeight="1">
      <c r="A404" s="111"/>
      <c r="B404" s="111"/>
      <c r="C404" s="111"/>
      <c r="D404" s="111"/>
      <c r="E404" s="111"/>
      <c r="F404" s="111"/>
      <c r="G404" s="111"/>
      <c r="H404" s="111"/>
      <c r="I404" s="111"/>
      <c r="J404" s="112"/>
      <c r="K404" s="111"/>
      <c r="L404" s="98"/>
    </row>
    <row r="405" spans="1:12" ht="15.75" customHeight="1">
      <c r="A405" s="111"/>
      <c r="B405" s="111"/>
      <c r="C405" s="111"/>
      <c r="D405" s="111"/>
      <c r="E405" s="111"/>
      <c r="F405" s="111"/>
      <c r="G405" s="111"/>
      <c r="H405" s="111"/>
      <c r="I405" s="111"/>
      <c r="J405" s="112"/>
      <c r="K405" s="111"/>
      <c r="L405" s="98"/>
    </row>
    <row r="406" spans="1:12" ht="15.75" customHeight="1">
      <c r="A406" s="111"/>
      <c r="B406" s="111"/>
      <c r="C406" s="111"/>
      <c r="D406" s="111"/>
      <c r="E406" s="111"/>
      <c r="F406" s="111"/>
      <c r="G406" s="111"/>
      <c r="H406" s="111"/>
      <c r="I406" s="111"/>
      <c r="J406" s="112"/>
      <c r="K406" s="111"/>
      <c r="L406" s="98"/>
    </row>
    <row r="407" spans="1:12" ht="15.75" customHeight="1">
      <c r="A407" s="111"/>
      <c r="B407" s="111"/>
      <c r="C407" s="111"/>
      <c r="D407" s="111"/>
      <c r="E407" s="111"/>
      <c r="F407" s="111"/>
      <c r="G407" s="111"/>
      <c r="H407" s="111"/>
      <c r="I407" s="111"/>
      <c r="J407" s="112"/>
      <c r="K407" s="111"/>
      <c r="L407" s="98"/>
    </row>
    <row r="408" spans="1:12" ht="15.75" customHeight="1">
      <c r="A408" s="111"/>
      <c r="B408" s="111"/>
      <c r="C408" s="111"/>
      <c r="D408" s="111"/>
      <c r="E408" s="111"/>
      <c r="F408" s="111"/>
      <c r="G408" s="111"/>
      <c r="H408" s="111"/>
      <c r="I408" s="111"/>
      <c r="J408" s="112"/>
      <c r="K408" s="111"/>
      <c r="L408" s="98"/>
    </row>
    <row r="409" spans="1:12" ht="15.75" customHeight="1">
      <c r="A409" s="111"/>
      <c r="B409" s="111"/>
      <c r="C409" s="111"/>
      <c r="D409" s="111"/>
      <c r="E409" s="111"/>
      <c r="F409" s="111"/>
      <c r="G409" s="111"/>
      <c r="H409" s="111"/>
      <c r="I409" s="111"/>
      <c r="J409" s="112"/>
      <c r="K409" s="111"/>
      <c r="L409" s="98"/>
    </row>
    <row r="410" spans="1:12" ht="15.75" customHeight="1">
      <c r="A410" s="111"/>
      <c r="B410" s="111"/>
      <c r="C410" s="111"/>
      <c r="D410" s="111"/>
      <c r="E410" s="111"/>
      <c r="F410" s="111"/>
      <c r="G410" s="111"/>
      <c r="H410" s="111"/>
      <c r="I410" s="111"/>
      <c r="J410" s="112"/>
      <c r="K410" s="111"/>
      <c r="L410" s="98"/>
    </row>
    <row r="411" spans="1:12" ht="15.75" customHeight="1">
      <c r="A411" s="111"/>
      <c r="B411" s="111"/>
      <c r="C411" s="111"/>
      <c r="D411" s="111"/>
      <c r="E411" s="111"/>
      <c r="F411" s="111"/>
      <c r="G411" s="111"/>
      <c r="H411" s="111"/>
      <c r="I411" s="111"/>
      <c r="J411" s="112"/>
      <c r="K411" s="111"/>
      <c r="L411" s="98"/>
    </row>
    <row r="412" spans="1:12" ht="15.75" customHeight="1">
      <c r="A412" s="111"/>
      <c r="B412" s="111"/>
      <c r="C412" s="111"/>
      <c r="D412" s="111"/>
      <c r="E412" s="111"/>
      <c r="F412" s="111"/>
      <c r="G412" s="111"/>
      <c r="H412" s="111"/>
      <c r="I412" s="111"/>
      <c r="J412" s="112"/>
      <c r="K412" s="111"/>
      <c r="L412" s="98"/>
    </row>
    <row r="413" spans="1:12" ht="15.75" customHeight="1">
      <c r="A413" s="111"/>
      <c r="B413" s="111"/>
      <c r="C413" s="111"/>
      <c r="D413" s="111"/>
      <c r="E413" s="111"/>
      <c r="F413" s="111"/>
      <c r="G413" s="111"/>
      <c r="H413" s="111"/>
      <c r="I413" s="111"/>
      <c r="J413" s="112"/>
      <c r="K413" s="111"/>
      <c r="L413" s="98"/>
    </row>
    <row r="414" spans="1:12" ht="15.75" customHeight="1">
      <c r="A414" s="111"/>
      <c r="B414" s="111"/>
      <c r="C414" s="111"/>
      <c r="D414" s="111"/>
      <c r="E414" s="111"/>
      <c r="F414" s="111"/>
      <c r="G414" s="111"/>
      <c r="H414" s="111"/>
      <c r="I414" s="111"/>
      <c r="J414" s="112"/>
      <c r="K414" s="111"/>
      <c r="L414" s="98"/>
    </row>
    <row r="415" spans="1:12" ht="15.75" customHeight="1">
      <c r="A415" s="111"/>
      <c r="B415" s="111"/>
      <c r="C415" s="111"/>
      <c r="D415" s="111"/>
      <c r="E415" s="111"/>
      <c r="F415" s="111"/>
      <c r="G415" s="111"/>
      <c r="H415" s="111"/>
      <c r="I415" s="111"/>
      <c r="J415" s="112"/>
      <c r="K415" s="111"/>
      <c r="L415" s="98"/>
    </row>
    <row r="416" spans="1:12" ht="15.75" customHeight="1">
      <c r="A416" s="111"/>
      <c r="B416" s="111"/>
      <c r="C416" s="111"/>
      <c r="D416" s="111"/>
      <c r="E416" s="111"/>
      <c r="F416" s="111"/>
      <c r="G416" s="111"/>
      <c r="H416" s="111"/>
      <c r="I416" s="111"/>
      <c r="J416" s="112"/>
      <c r="K416" s="111"/>
      <c r="L416" s="98"/>
    </row>
    <row r="417" spans="1:12" ht="15.75" customHeight="1">
      <c r="A417" s="111"/>
      <c r="B417" s="111"/>
      <c r="C417" s="111"/>
      <c r="D417" s="111"/>
      <c r="E417" s="111"/>
      <c r="F417" s="111"/>
      <c r="G417" s="111"/>
      <c r="H417" s="111"/>
      <c r="I417" s="111"/>
      <c r="J417" s="112"/>
      <c r="K417" s="111"/>
      <c r="L417" s="98"/>
    </row>
    <row r="418" spans="1:12" ht="15.75" customHeight="1">
      <c r="A418" s="111"/>
      <c r="B418" s="111"/>
      <c r="C418" s="111"/>
      <c r="D418" s="111"/>
      <c r="E418" s="111"/>
      <c r="F418" s="111"/>
      <c r="G418" s="111"/>
      <c r="H418" s="111"/>
      <c r="I418" s="111"/>
      <c r="J418" s="112"/>
      <c r="K418" s="111"/>
      <c r="L418" s="98"/>
    </row>
    <row r="419" spans="1:12" ht="15.75" customHeight="1">
      <c r="A419" s="111"/>
      <c r="B419" s="111"/>
      <c r="C419" s="111"/>
      <c r="D419" s="111"/>
      <c r="E419" s="111"/>
      <c r="F419" s="111"/>
      <c r="G419" s="111"/>
      <c r="H419" s="111"/>
      <c r="I419" s="111"/>
      <c r="J419" s="112"/>
      <c r="K419" s="111"/>
      <c r="L419" s="98"/>
    </row>
    <row r="420" spans="1:12" ht="15.75" customHeight="1">
      <c r="A420" s="111"/>
      <c r="B420" s="111"/>
      <c r="C420" s="111"/>
      <c r="D420" s="111"/>
      <c r="E420" s="111"/>
      <c r="F420" s="111"/>
      <c r="G420" s="111"/>
      <c r="H420" s="111"/>
      <c r="I420" s="111"/>
      <c r="J420" s="112"/>
      <c r="K420" s="111"/>
      <c r="L420" s="98"/>
    </row>
    <row r="421" spans="1:12" ht="15.75" customHeight="1">
      <c r="A421" s="111"/>
      <c r="B421" s="111"/>
      <c r="C421" s="111"/>
      <c r="D421" s="111"/>
      <c r="E421" s="111"/>
      <c r="F421" s="111"/>
      <c r="G421" s="111"/>
      <c r="H421" s="111"/>
      <c r="I421" s="111"/>
      <c r="J421" s="112"/>
      <c r="K421" s="111"/>
      <c r="L421" s="98"/>
    </row>
    <row r="422" spans="1:12" ht="15.75" customHeight="1">
      <c r="A422" s="111"/>
      <c r="B422" s="111"/>
      <c r="C422" s="111"/>
      <c r="D422" s="111"/>
      <c r="E422" s="111"/>
      <c r="F422" s="111"/>
      <c r="G422" s="111"/>
      <c r="H422" s="111"/>
      <c r="I422" s="111"/>
      <c r="J422" s="112"/>
      <c r="K422" s="111"/>
      <c r="L422" s="98"/>
    </row>
    <row r="423" spans="1:12" ht="15.75" customHeight="1">
      <c r="A423" s="111"/>
      <c r="B423" s="111"/>
      <c r="C423" s="111"/>
      <c r="D423" s="111"/>
      <c r="E423" s="111"/>
      <c r="F423" s="111"/>
      <c r="G423" s="111"/>
      <c r="H423" s="111"/>
      <c r="I423" s="111"/>
      <c r="J423" s="112"/>
      <c r="K423" s="111"/>
      <c r="L423" s="98"/>
    </row>
    <row r="424" spans="1:12" ht="15.75" customHeight="1">
      <c r="A424" s="111"/>
      <c r="B424" s="111"/>
      <c r="C424" s="111"/>
      <c r="D424" s="111"/>
      <c r="E424" s="111"/>
      <c r="F424" s="111"/>
      <c r="G424" s="111"/>
      <c r="H424" s="111"/>
      <c r="I424" s="111"/>
      <c r="J424" s="112"/>
      <c r="K424" s="111"/>
      <c r="L424" s="98"/>
    </row>
    <row r="425" spans="1:12" ht="15.75" customHeight="1">
      <c r="A425" s="111"/>
      <c r="B425" s="111"/>
      <c r="C425" s="111"/>
      <c r="D425" s="111"/>
      <c r="E425" s="111"/>
      <c r="F425" s="111"/>
      <c r="G425" s="111"/>
      <c r="H425" s="111"/>
      <c r="I425" s="111"/>
      <c r="J425" s="112"/>
      <c r="K425" s="111"/>
      <c r="L425" s="98"/>
    </row>
    <row r="426" spans="1:12" ht="15.75" customHeight="1">
      <c r="A426" s="111"/>
      <c r="B426" s="111"/>
      <c r="C426" s="111"/>
      <c r="D426" s="111"/>
      <c r="E426" s="111"/>
      <c r="F426" s="111"/>
      <c r="G426" s="111"/>
      <c r="H426" s="111"/>
      <c r="I426" s="111"/>
      <c r="J426" s="112"/>
      <c r="K426" s="111"/>
      <c r="L426" s="98"/>
    </row>
    <row r="427" spans="1:12" ht="15.75" customHeight="1">
      <c r="A427" s="111"/>
      <c r="B427" s="111"/>
      <c r="C427" s="111"/>
      <c r="D427" s="111"/>
      <c r="E427" s="111"/>
      <c r="F427" s="111"/>
      <c r="G427" s="111"/>
      <c r="H427" s="111"/>
      <c r="I427" s="111"/>
      <c r="J427" s="112"/>
      <c r="K427" s="111"/>
      <c r="L427" s="98"/>
    </row>
    <row r="428" spans="1:12" ht="15.75" customHeight="1">
      <c r="A428" s="111"/>
      <c r="B428" s="111"/>
      <c r="C428" s="111"/>
      <c r="D428" s="111"/>
      <c r="E428" s="111"/>
      <c r="F428" s="111"/>
      <c r="G428" s="111"/>
      <c r="H428" s="111"/>
      <c r="I428" s="111"/>
      <c r="J428" s="112"/>
      <c r="K428" s="111"/>
      <c r="L428" s="98"/>
    </row>
    <row r="429" spans="1:12" ht="15.75" customHeight="1">
      <c r="A429" s="111"/>
      <c r="B429" s="111"/>
      <c r="C429" s="111"/>
      <c r="D429" s="111"/>
      <c r="E429" s="111"/>
      <c r="F429" s="111"/>
      <c r="G429" s="111"/>
      <c r="H429" s="111"/>
      <c r="I429" s="111"/>
      <c r="J429" s="112"/>
      <c r="K429" s="111"/>
      <c r="L429" s="98"/>
    </row>
    <row r="430" spans="1:12" ht="15.75" customHeight="1">
      <c r="A430" s="111"/>
      <c r="B430" s="111"/>
      <c r="C430" s="111"/>
      <c r="D430" s="111"/>
      <c r="E430" s="111"/>
      <c r="F430" s="111"/>
      <c r="G430" s="111"/>
      <c r="H430" s="111"/>
      <c r="I430" s="111"/>
      <c r="J430" s="112"/>
      <c r="K430" s="111"/>
      <c r="L430" s="98"/>
    </row>
    <row r="431" spans="1:12" ht="15.75" customHeight="1">
      <c r="A431" s="111"/>
      <c r="B431" s="111"/>
      <c r="C431" s="111"/>
      <c r="D431" s="111"/>
      <c r="E431" s="111"/>
      <c r="F431" s="111"/>
      <c r="G431" s="111"/>
      <c r="H431" s="111"/>
      <c r="I431" s="111"/>
      <c r="J431" s="112"/>
      <c r="K431" s="111"/>
      <c r="L431" s="98"/>
    </row>
    <row r="432" spans="1:12" ht="15.75" customHeight="1">
      <c r="A432" s="111"/>
      <c r="B432" s="111"/>
      <c r="C432" s="111"/>
      <c r="D432" s="111"/>
      <c r="E432" s="111"/>
      <c r="F432" s="111"/>
      <c r="G432" s="111"/>
      <c r="H432" s="111"/>
      <c r="I432" s="111"/>
      <c r="J432" s="112"/>
      <c r="K432" s="111"/>
      <c r="L432" s="98"/>
    </row>
    <row r="433" spans="1:12" ht="15.75" customHeight="1">
      <c r="A433" s="111"/>
      <c r="B433" s="111"/>
      <c r="C433" s="111"/>
      <c r="D433" s="111"/>
      <c r="E433" s="111"/>
      <c r="F433" s="111"/>
      <c r="G433" s="111"/>
      <c r="H433" s="111"/>
      <c r="I433" s="111"/>
      <c r="J433" s="112"/>
      <c r="K433" s="111"/>
      <c r="L433" s="98"/>
    </row>
    <row r="434" spans="1:12" ht="15.75" customHeight="1">
      <c r="A434" s="111"/>
      <c r="B434" s="111"/>
      <c r="C434" s="111"/>
      <c r="D434" s="111"/>
      <c r="E434" s="111"/>
      <c r="F434" s="111"/>
      <c r="G434" s="111"/>
      <c r="H434" s="111"/>
      <c r="I434" s="111"/>
      <c r="J434" s="112"/>
      <c r="K434" s="111"/>
      <c r="L434" s="98"/>
    </row>
    <row r="435" spans="1:12" ht="15.75" customHeight="1">
      <c r="A435" s="111"/>
      <c r="B435" s="111"/>
      <c r="C435" s="111"/>
      <c r="D435" s="111"/>
      <c r="E435" s="111"/>
      <c r="F435" s="111"/>
      <c r="G435" s="111"/>
      <c r="H435" s="111"/>
      <c r="I435" s="111"/>
      <c r="J435" s="112"/>
      <c r="K435" s="111"/>
      <c r="L435" s="98"/>
    </row>
    <row r="436" spans="1:12" ht="15.75" customHeight="1">
      <c r="A436" s="111"/>
      <c r="B436" s="111"/>
      <c r="C436" s="111"/>
      <c r="D436" s="111"/>
      <c r="E436" s="111"/>
      <c r="F436" s="111"/>
      <c r="G436" s="111"/>
      <c r="H436" s="111"/>
      <c r="I436" s="111"/>
      <c r="J436" s="112"/>
      <c r="K436" s="111"/>
      <c r="L436" s="98"/>
    </row>
    <row r="437" spans="1:12" ht="15.75" customHeight="1">
      <c r="A437" s="111"/>
      <c r="B437" s="111"/>
      <c r="C437" s="111"/>
      <c r="D437" s="111"/>
      <c r="E437" s="111"/>
      <c r="F437" s="111"/>
      <c r="G437" s="111"/>
      <c r="H437" s="111"/>
      <c r="I437" s="111"/>
      <c r="J437" s="112"/>
      <c r="K437" s="111"/>
      <c r="L437" s="98"/>
    </row>
    <row r="438" spans="1:12" ht="15.75" customHeight="1">
      <c r="A438" s="111"/>
      <c r="B438" s="111"/>
      <c r="C438" s="111"/>
      <c r="D438" s="111"/>
      <c r="E438" s="111"/>
      <c r="F438" s="111"/>
      <c r="G438" s="111"/>
      <c r="H438" s="111"/>
      <c r="I438" s="111"/>
      <c r="J438" s="112"/>
      <c r="K438" s="111"/>
      <c r="L438" s="98"/>
    </row>
    <row r="439" spans="1:12" ht="15.75" customHeight="1">
      <c r="A439" s="111"/>
      <c r="B439" s="111"/>
      <c r="C439" s="111"/>
      <c r="D439" s="111"/>
      <c r="E439" s="111"/>
      <c r="F439" s="111"/>
      <c r="G439" s="111"/>
      <c r="H439" s="111"/>
      <c r="I439" s="111"/>
      <c r="J439" s="112"/>
      <c r="K439" s="111"/>
      <c r="L439" s="98"/>
    </row>
    <row r="440" spans="1:12" ht="15.75" customHeight="1">
      <c r="A440" s="111"/>
      <c r="B440" s="111"/>
      <c r="C440" s="111"/>
      <c r="D440" s="111"/>
      <c r="E440" s="111"/>
      <c r="F440" s="111"/>
      <c r="G440" s="111"/>
      <c r="H440" s="111"/>
      <c r="I440" s="111"/>
      <c r="J440" s="112"/>
      <c r="K440" s="111"/>
      <c r="L440" s="98"/>
    </row>
    <row r="441" spans="1:12" ht="15.75" customHeight="1">
      <c r="A441" s="111"/>
      <c r="B441" s="111"/>
      <c r="C441" s="111"/>
      <c r="D441" s="111"/>
      <c r="E441" s="111"/>
      <c r="F441" s="111"/>
      <c r="G441" s="111"/>
      <c r="H441" s="111"/>
      <c r="I441" s="111"/>
      <c r="J441" s="112"/>
      <c r="K441" s="111"/>
      <c r="L441" s="98"/>
    </row>
    <row r="442" spans="1:12" ht="15.75" customHeight="1">
      <c r="A442" s="111"/>
      <c r="B442" s="111"/>
      <c r="C442" s="111"/>
      <c r="D442" s="111"/>
      <c r="E442" s="111"/>
      <c r="F442" s="111"/>
      <c r="G442" s="111"/>
      <c r="H442" s="111"/>
      <c r="I442" s="111"/>
      <c r="J442" s="112"/>
      <c r="K442" s="111"/>
      <c r="L442" s="98"/>
    </row>
    <row r="443" spans="1:12" ht="15.75" customHeight="1">
      <c r="A443" s="111"/>
      <c r="B443" s="111"/>
      <c r="C443" s="111"/>
      <c r="D443" s="111"/>
      <c r="E443" s="111"/>
      <c r="F443" s="111"/>
      <c r="G443" s="111"/>
      <c r="H443" s="111"/>
      <c r="I443" s="111"/>
      <c r="J443" s="112"/>
      <c r="K443" s="111"/>
      <c r="L443" s="98"/>
    </row>
    <row r="444" spans="1:12" ht="15.75" customHeight="1">
      <c r="A444" s="111"/>
      <c r="B444" s="111"/>
      <c r="C444" s="111"/>
      <c r="D444" s="111"/>
      <c r="E444" s="111"/>
      <c r="F444" s="111"/>
      <c r="G444" s="111"/>
      <c r="H444" s="111"/>
      <c r="I444" s="111"/>
      <c r="J444" s="112"/>
      <c r="K444" s="111"/>
      <c r="L444" s="98"/>
    </row>
    <row r="445" spans="1:12" ht="15.75" customHeight="1">
      <c r="A445" s="111"/>
      <c r="B445" s="111"/>
      <c r="C445" s="111"/>
      <c r="D445" s="111"/>
      <c r="E445" s="111"/>
      <c r="F445" s="111"/>
      <c r="G445" s="111"/>
      <c r="H445" s="111"/>
      <c r="I445" s="111"/>
      <c r="J445" s="112"/>
      <c r="K445" s="111"/>
      <c r="L445" s="98"/>
    </row>
    <row r="446" spans="1:12" ht="15.75" customHeight="1">
      <c r="A446" s="111"/>
      <c r="B446" s="111"/>
      <c r="C446" s="111"/>
      <c r="D446" s="111"/>
      <c r="E446" s="111"/>
      <c r="F446" s="111"/>
      <c r="G446" s="111"/>
      <c r="H446" s="111"/>
      <c r="I446" s="111"/>
      <c r="J446" s="112"/>
      <c r="K446" s="111"/>
      <c r="L446" s="98"/>
    </row>
    <row r="447" spans="1:12" ht="15.75" customHeight="1">
      <c r="A447" s="111"/>
      <c r="B447" s="111"/>
      <c r="C447" s="111"/>
      <c r="D447" s="111"/>
      <c r="E447" s="111"/>
      <c r="F447" s="111"/>
      <c r="G447" s="111"/>
      <c r="H447" s="111"/>
      <c r="I447" s="111"/>
      <c r="J447" s="112"/>
      <c r="K447" s="111"/>
      <c r="L447" s="98"/>
    </row>
    <row r="448" spans="1:12" ht="15.75" customHeight="1">
      <c r="A448" s="111"/>
      <c r="B448" s="111"/>
      <c r="C448" s="111"/>
      <c r="D448" s="111"/>
      <c r="E448" s="111"/>
      <c r="F448" s="111"/>
      <c r="G448" s="111"/>
      <c r="H448" s="111"/>
      <c r="I448" s="111"/>
      <c r="J448" s="112"/>
      <c r="K448" s="111"/>
      <c r="L448" s="98"/>
    </row>
    <row r="449" spans="1:12" ht="15.75" customHeight="1">
      <c r="A449" s="111"/>
      <c r="B449" s="111"/>
      <c r="C449" s="111"/>
      <c r="D449" s="111"/>
      <c r="E449" s="111"/>
      <c r="F449" s="111"/>
      <c r="G449" s="111"/>
      <c r="H449" s="111"/>
      <c r="I449" s="111"/>
      <c r="J449" s="112"/>
      <c r="K449" s="111"/>
      <c r="L449" s="98"/>
    </row>
    <row r="450" spans="1:12" ht="15.75" customHeight="1">
      <c r="A450" s="111"/>
      <c r="B450" s="111"/>
      <c r="C450" s="111"/>
      <c r="D450" s="111"/>
      <c r="E450" s="111"/>
      <c r="F450" s="111"/>
      <c r="G450" s="111"/>
      <c r="H450" s="111"/>
      <c r="I450" s="111"/>
      <c r="J450" s="112"/>
      <c r="K450" s="111"/>
      <c r="L450" s="98"/>
    </row>
    <row r="451" spans="1:12" ht="15.75" customHeight="1">
      <c r="A451" s="111"/>
      <c r="B451" s="111"/>
      <c r="C451" s="111"/>
      <c r="D451" s="111"/>
      <c r="E451" s="111"/>
      <c r="F451" s="111"/>
      <c r="G451" s="111"/>
      <c r="H451" s="111"/>
      <c r="I451" s="111"/>
      <c r="J451" s="112"/>
      <c r="K451" s="111"/>
      <c r="L451" s="98"/>
    </row>
    <row r="452" spans="1:12" ht="15.75" customHeight="1">
      <c r="A452" s="111"/>
      <c r="B452" s="111"/>
      <c r="C452" s="111"/>
      <c r="D452" s="111"/>
      <c r="E452" s="111"/>
      <c r="F452" s="111"/>
      <c r="G452" s="111"/>
      <c r="H452" s="111"/>
      <c r="I452" s="111"/>
      <c r="J452" s="112"/>
      <c r="K452" s="111"/>
      <c r="L452" s="98"/>
    </row>
    <row r="453" spans="1:12" ht="15.75" customHeight="1">
      <c r="A453" s="111"/>
      <c r="B453" s="111"/>
      <c r="C453" s="111"/>
      <c r="D453" s="111"/>
      <c r="E453" s="111"/>
      <c r="F453" s="111"/>
      <c r="G453" s="111"/>
      <c r="H453" s="111"/>
      <c r="I453" s="111"/>
      <c r="J453" s="112"/>
      <c r="K453" s="111"/>
      <c r="L453" s="98"/>
    </row>
    <row r="454" spans="1:12" ht="15.75" customHeight="1">
      <c r="A454" s="111"/>
      <c r="B454" s="111"/>
      <c r="C454" s="111"/>
      <c r="D454" s="111"/>
      <c r="E454" s="111"/>
      <c r="F454" s="111"/>
      <c r="G454" s="111"/>
      <c r="H454" s="111"/>
      <c r="I454" s="111"/>
      <c r="J454" s="112"/>
      <c r="K454" s="111"/>
      <c r="L454" s="98"/>
    </row>
    <row r="455" spans="1:12" ht="15.75" customHeight="1">
      <c r="A455" s="111"/>
      <c r="B455" s="111"/>
      <c r="C455" s="111"/>
      <c r="D455" s="111"/>
      <c r="E455" s="111"/>
      <c r="F455" s="111"/>
      <c r="G455" s="111"/>
      <c r="H455" s="111"/>
      <c r="I455" s="111"/>
      <c r="J455" s="112"/>
      <c r="K455" s="111"/>
      <c r="L455" s="98"/>
    </row>
    <row r="456" spans="1:12" ht="15.75" customHeight="1">
      <c r="A456" s="111"/>
      <c r="B456" s="111"/>
      <c r="C456" s="111"/>
      <c r="D456" s="111"/>
      <c r="E456" s="111"/>
      <c r="F456" s="111"/>
      <c r="G456" s="111"/>
      <c r="H456" s="111"/>
      <c r="I456" s="111"/>
      <c r="J456" s="112"/>
      <c r="K456" s="111"/>
      <c r="L456" s="98"/>
    </row>
    <row r="457" spans="1:12" ht="15.75" customHeight="1">
      <c r="A457" s="111"/>
      <c r="B457" s="111"/>
      <c r="C457" s="111"/>
      <c r="D457" s="111"/>
      <c r="E457" s="111"/>
      <c r="F457" s="111"/>
      <c r="G457" s="111"/>
      <c r="H457" s="111"/>
      <c r="I457" s="111"/>
      <c r="J457" s="112"/>
      <c r="K457" s="111"/>
      <c r="L457" s="98"/>
    </row>
    <row r="458" spans="1:12" ht="15.75" customHeight="1">
      <c r="A458" s="111"/>
      <c r="B458" s="111"/>
      <c r="C458" s="111"/>
      <c r="D458" s="111"/>
      <c r="E458" s="111"/>
      <c r="F458" s="111"/>
      <c r="G458" s="111"/>
      <c r="H458" s="111"/>
      <c r="I458" s="111"/>
      <c r="J458" s="112"/>
      <c r="K458" s="111"/>
      <c r="L458" s="98"/>
    </row>
    <row r="459" spans="1:12" ht="15.75" customHeight="1">
      <c r="A459" s="111"/>
      <c r="B459" s="111"/>
      <c r="C459" s="111"/>
      <c r="D459" s="111"/>
      <c r="E459" s="111"/>
      <c r="F459" s="111"/>
      <c r="G459" s="111"/>
      <c r="H459" s="111"/>
      <c r="I459" s="111"/>
      <c r="J459" s="112"/>
      <c r="K459" s="111"/>
      <c r="L459" s="98"/>
    </row>
    <row r="460" spans="1:12" ht="15.75" customHeight="1">
      <c r="A460" s="111"/>
      <c r="B460" s="111"/>
      <c r="C460" s="111"/>
      <c r="D460" s="111"/>
      <c r="E460" s="111"/>
      <c r="F460" s="111"/>
      <c r="G460" s="111"/>
      <c r="H460" s="111"/>
      <c r="I460" s="111"/>
      <c r="J460" s="112"/>
      <c r="K460" s="111"/>
      <c r="L460" s="98"/>
    </row>
    <row r="461" spans="1:12" ht="15.75" customHeight="1">
      <c r="A461" s="111"/>
      <c r="B461" s="111"/>
      <c r="C461" s="111"/>
      <c r="D461" s="111"/>
      <c r="E461" s="111"/>
      <c r="F461" s="111"/>
      <c r="G461" s="111"/>
      <c r="H461" s="111"/>
      <c r="I461" s="111"/>
      <c r="J461" s="112"/>
      <c r="K461" s="111"/>
      <c r="L461" s="98"/>
    </row>
    <row r="462" spans="1:12" ht="15.75" customHeight="1">
      <c r="A462" s="111"/>
      <c r="B462" s="111"/>
      <c r="C462" s="111"/>
      <c r="D462" s="111"/>
      <c r="E462" s="111"/>
      <c r="F462" s="111"/>
      <c r="G462" s="111"/>
      <c r="H462" s="111"/>
      <c r="I462" s="111"/>
      <c r="J462" s="112"/>
      <c r="K462" s="111"/>
      <c r="L462" s="98"/>
    </row>
    <row r="463" spans="1:12" ht="15.75" customHeight="1">
      <c r="A463" s="111"/>
      <c r="B463" s="111"/>
      <c r="C463" s="111"/>
      <c r="D463" s="111"/>
      <c r="E463" s="111"/>
      <c r="F463" s="111"/>
      <c r="G463" s="111"/>
      <c r="H463" s="111"/>
      <c r="I463" s="111"/>
      <c r="J463" s="112"/>
      <c r="K463" s="111"/>
      <c r="L463" s="98"/>
    </row>
    <row r="464" spans="1:12" ht="15.75" customHeight="1">
      <c r="A464" s="111"/>
      <c r="B464" s="111"/>
      <c r="C464" s="111"/>
      <c r="D464" s="111"/>
      <c r="E464" s="111"/>
      <c r="F464" s="111"/>
      <c r="G464" s="111"/>
      <c r="H464" s="111"/>
      <c r="I464" s="111"/>
      <c r="J464" s="112"/>
      <c r="K464" s="111"/>
      <c r="L464" s="98"/>
    </row>
    <row r="465" spans="1:12" ht="15.75" customHeight="1">
      <c r="A465" s="111"/>
      <c r="B465" s="111"/>
      <c r="C465" s="111"/>
      <c r="D465" s="111"/>
      <c r="E465" s="111"/>
      <c r="F465" s="111"/>
      <c r="G465" s="111"/>
      <c r="H465" s="111"/>
      <c r="I465" s="111"/>
      <c r="J465" s="112"/>
      <c r="K465" s="111"/>
      <c r="L465" s="98"/>
    </row>
    <row r="466" spans="1:12" ht="15.75" customHeight="1">
      <c r="A466" s="111"/>
      <c r="B466" s="111"/>
      <c r="C466" s="111"/>
      <c r="D466" s="111"/>
      <c r="E466" s="111"/>
      <c r="F466" s="111"/>
      <c r="G466" s="111"/>
      <c r="H466" s="111"/>
      <c r="I466" s="111"/>
      <c r="J466" s="112"/>
      <c r="K466" s="111"/>
      <c r="L466" s="98"/>
    </row>
    <row r="467" spans="1:12" ht="15.75" customHeight="1">
      <c r="A467" s="111"/>
      <c r="B467" s="111"/>
      <c r="C467" s="111"/>
      <c r="D467" s="111"/>
      <c r="E467" s="111"/>
      <c r="F467" s="111"/>
      <c r="G467" s="111"/>
      <c r="H467" s="111"/>
      <c r="I467" s="111"/>
      <c r="J467" s="112"/>
      <c r="K467" s="111"/>
      <c r="L467" s="98"/>
    </row>
    <row r="468" spans="1:12" ht="15.75" customHeight="1">
      <c r="A468" s="111"/>
      <c r="B468" s="111"/>
      <c r="C468" s="111"/>
      <c r="D468" s="111"/>
      <c r="E468" s="111"/>
      <c r="F468" s="111"/>
      <c r="G468" s="111"/>
      <c r="H468" s="111"/>
      <c r="I468" s="111"/>
      <c r="J468" s="112"/>
      <c r="K468" s="111"/>
      <c r="L468" s="98"/>
    </row>
    <row r="469" spans="1:12" ht="15.75" customHeight="1">
      <c r="A469" s="111"/>
      <c r="B469" s="111"/>
      <c r="C469" s="111"/>
      <c r="D469" s="111"/>
      <c r="E469" s="111"/>
      <c r="F469" s="111"/>
      <c r="G469" s="111"/>
      <c r="H469" s="111"/>
      <c r="I469" s="111"/>
      <c r="J469" s="112"/>
      <c r="K469" s="111"/>
      <c r="L469" s="98"/>
    </row>
    <row r="470" spans="1:12" ht="15.75" customHeight="1">
      <c r="A470" s="111"/>
      <c r="B470" s="111"/>
      <c r="C470" s="111"/>
      <c r="D470" s="111"/>
      <c r="E470" s="111"/>
      <c r="F470" s="111"/>
      <c r="G470" s="111"/>
      <c r="H470" s="111"/>
      <c r="I470" s="111"/>
      <c r="J470" s="112"/>
      <c r="K470" s="111"/>
      <c r="L470" s="98"/>
    </row>
    <row r="471" spans="1:12" ht="15.75" customHeight="1">
      <c r="A471" s="111"/>
      <c r="B471" s="111"/>
      <c r="C471" s="111"/>
      <c r="D471" s="111"/>
      <c r="E471" s="111"/>
      <c r="F471" s="111"/>
      <c r="G471" s="111"/>
      <c r="H471" s="111"/>
      <c r="I471" s="111"/>
      <c r="J471" s="112"/>
      <c r="K471" s="111"/>
      <c r="L471" s="98"/>
    </row>
    <row r="472" spans="1:12" ht="15.75" customHeight="1">
      <c r="A472" s="111"/>
      <c r="B472" s="111"/>
      <c r="C472" s="111"/>
      <c r="D472" s="111"/>
      <c r="E472" s="111"/>
      <c r="F472" s="111"/>
      <c r="G472" s="111"/>
      <c r="H472" s="111"/>
      <c r="I472" s="111"/>
      <c r="J472" s="112"/>
      <c r="K472" s="111"/>
      <c r="L472" s="98"/>
    </row>
    <row r="473" spans="1:12" ht="15.75" customHeight="1">
      <c r="A473" s="111"/>
      <c r="B473" s="111"/>
      <c r="C473" s="111"/>
      <c r="D473" s="111"/>
      <c r="E473" s="111"/>
      <c r="F473" s="111"/>
      <c r="G473" s="111"/>
      <c r="H473" s="111"/>
      <c r="I473" s="111"/>
      <c r="J473" s="112"/>
      <c r="K473" s="111"/>
      <c r="L473" s="98"/>
    </row>
    <row r="474" spans="1:12" ht="15.75" customHeight="1">
      <c r="A474" s="111"/>
      <c r="B474" s="111"/>
      <c r="C474" s="111"/>
      <c r="D474" s="111"/>
      <c r="E474" s="111"/>
      <c r="F474" s="111"/>
      <c r="G474" s="111"/>
      <c r="H474" s="111"/>
      <c r="I474" s="111"/>
      <c r="J474" s="112"/>
      <c r="K474" s="111"/>
      <c r="L474" s="98"/>
    </row>
    <row r="475" spans="1:12" ht="15.75" customHeight="1">
      <c r="A475" s="111"/>
      <c r="B475" s="111"/>
      <c r="C475" s="111"/>
      <c r="D475" s="111"/>
      <c r="E475" s="111"/>
      <c r="F475" s="111"/>
      <c r="G475" s="111"/>
      <c r="H475" s="111"/>
      <c r="I475" s="111"/>
      <c r="J475" s="112"/>
      <c r="K475" s="111"/>
      <c r="L475" s="98"/>
    </row>
    <row r="476" spans="1:12" ht="15.75" customHeight="1">
      <c r="A476" s="111"/>
      <c r="B476" s="111"/>
      <c r="C476" s="111"/>
      <c r="D476" s="111"/>
      <c r="E476" s="111"/>
      <c r="F476" s="111"/>
      <c r="G476" s="111"/>
      <c r="H476" s="111"/>
      <c r="I476" s="111"/>
      <c r="J476" s="112"/>
      <c r="K476" s="111"/>
      <c r="L476" s="98"/>
    </row>
    <row r="477" spans="1:12" ht="15.75" customHeight="1">
      <c r="A477" s="111"/>
      <c r="B477" s="111"/>
      <c r="C477" s="111"/>
      <c r="D477" s="111"/>
      <c r="E477" s="111"/>
      <c r="F477" s="111"/>
      <c r="G477" s="111"/>
      <c r="H477" s="111"/>
      <c r="I477" s="111"/>
      <c r="J477" s="112"/>
      <c r="K477" s="111"/>
      <c r="L477" s="98"/>
    </row>
    <row r="478" spans="1:12" ht="15.75" customHeight="1">
      <c r="A478" s="111"/>
      <c r="B478" s="111"/>
      <c r="C478" s="111"/>
      <c r="D478" s="111"/>
      <c r="E478" s="111"/>
      <c r="F478" s="111"/>
      <c r="G478" s="111"/>
      <c r="H478" s="111"/>
      <c r="I478" s="111"/>
      <c r="J478" s="112"/>
      <c r="K478" s="111"/>
      <c r="L478" s="98"/>
    </row>
    <row r="479" spans="1:12" ht="15.75" customHeight="1">
      <c r="A479" s="111"/>
      <c r="B479" s="111"/>
      <c r="C479" s="111"/>
      <c r="D479" s="111"/>
      <c r="E479" s="111"/>
      <c r="F479" s="111"/>
      <c r="G479" s="111"/>
      <c r="H479" s="111"/>
      <c r="I479" s="111"/>
      <c r="J479" s="112"/>
      <c r="K479" s="111"/>
      <c r="L479" s="98"/>
    </row>
    <row r="480" spans="1:12" ht="15.75" customHeight="1">
      <c r="A480" s="111"/>
      <c r="B480" s="111"/>
      <c r="C480" s="111"/>
      <c r="D480" s="111"/>
      <c r="E480" s="111"/>
      <c r="F480" s="111"/>
      <c r="G480" s="111"/>
      <c r="H480" s="111"/>
      <c r="I480" s="111"/>
      <c r="J480" s="112"/>
      <c r="K480" s="111"/>
      <c r="L480" s="98"/>
    </row>
    <row r="481" spans="1:12" ht="15.75" customHeight="1">
      <c r="A481" s="111"/>
      <c r="B481" s="111"/>
      <c r="C481" s="111"/>
      <c r="D481" s="111"/>
      <c r="E481" s="111"/>
      <c r="F481" s="111"/>
      <c r="G481" s="111"/>
      <c r="H481" s="111"/>
      <c r="I481" s="111"/>
      <c r="J481" s="112"/>
      <c r="K481" s="111"/>
      <c r="L481" s="98"/>
    </row>
    <row r="482" spans="1:12" ht="15.75" customHeight="1">
      <c r="A482" s="111"/>
      <c r="B482" s="111"/>
      <c r="C482" s="111"/>
      <c r="D482" s="111"/>
      <c r="E482" s="111"/>
      <c r="F482" s="111"/>
      <c r="G482" s="111"/>
      <c r="H482" s="111"/>
      <c r="I482" s="111"/>
      <c r="J482" s="112"/>
      <c r="K482" s="111"/>
      <c r="L482" s="98"/>
    </row>
    <row r="483" spans="1:12" ht="15.75" customHeight="1">
      <c r="A483" s="111"/>
      <c r="B483" s="111"/>
      <c r="C483" s="111"/>
      <c r="D483" s="111"/>
      <c r="E483" s="111"/>
      <c r="F483" s="111"/>
      <c r="G483" s="111"/>
      <c r="H483" s="111"/>
      <c r="I483" s="111"/>
      <c r="J483" s="112"/>
      <c r="K483" s="111"/>
      <c r="L483" s="98"/>
    </row>
    <row r="484" spans="1:12" ht="15.75" customHeight="1">
      <c r="A484" s="111"/>
      <c r="B484" s="111"/>
      <c r="C484" s="111"/>
      <c r="D484" s="111"/>
      <c r="E484" s="111"/>
      <c r="F484" s="111"/>
      <c r="G484" s="111"/>
      <c r="H484" s="111"/>
      <c r="I484" s="111"/>
      <c r="J484" s="112"/>
      <c r="K484" s="111"/>
      <c r="L484" s="98"/>
    </row>
    <row r="485" spans="1:12" ht="15.75" customHeight="1">
      <c r="A485" s="111"/>
      <c r="B485" s="111"/>
      <c r="C485" s="111"/>
      <c r="D485" s="111"/>
      <c r="E485" s="111"/>
      <c r="F485" s="111"/>
      <c r="G485" s="111"/>
      <c r="H485" s="111"/>
      <c r="I485" s="111"/>
      <c r="J485" s="112"/>
      <c r="K485" s="111"/>
      <c r="L485" s="98"/>
    </row>
    <row r="486" spans="1:12" ht="15.75" customHeight="1">
      <c r="A486" s="111"/>
      <c r="B486" s="111"/>
      <c r="C486" s="111"/>
      <c r="D486" s="111"/>
      <c r="E486" s="111"/>
      <c r="F486" s="111"/>
      <c r="G486" s="111"/>
      <c r="H486" s="111"/>
      <c r="I486" s="111"/>
      <c r="J486" s="112"/>
      <c r="K486" s="111"/>
      <c r="L486" s="98"/>
    </row>
    <row r="487" spans="1:12" ht="15.75" customHeight="1">
      <c r="A487" s="111"/>
      <c r="B487" s="111"/>
      <c r="C487" s="111"/>
      <c r="D487" s="111"/>
      <c r="E487" s="111"/>
      <c r="F487" s="111"/>
      <c r="G487" s="111"/>
      <c r="H487" s="111"/>
      <c r="I487" s="111"/>
      <c r="J487" s="112"/>
      <c r="K487" s="111"/>
      <c r="L487" s="98"/>
    </row>
    <row r="488" spans="1:12" ht="15.75" customHeight="1">
      <c r="A488" s="111"/>
      <c r="B488" s="111"/>
      <c r="C488" s="111"/>
      <c r="D488" s="111"/>
      <c r="E488" s="111"/>
      <c r="F488" s="111"/>
      <c r="G488" s="111"/>
      <c r="H488" s="111"/>
      <c r="I488" s="111"/>
      <c r="J488" s="112"/>
      <c r="K488" s="111"/>
      <c r="L488" s="98"/>
    </row>
    <row r="489" spans="1:12" ht="15.75" customHeight="1">
      <c r="A489" s="111"/>
      <c r="B489" s="111"/>
      <c r="C489" s="111"/>
      <c r="D489" s="111"/>
      <c r="E489" s="111"/>
      <c r="F489" s="111"/>
      <c r="G489" s="111"/>
      <c r="H489" s="111"/>
      <c r="I489" s="111"/>
      <c r="J489" s="112"/>
      <c r="K489" s="111"/>
      <c r="L489" s="98"/>
    </row>
    <row r="490" spans="1:12" ht="15.75" customHeight="1">
      <c r="A490" s="111"/>
      <c r="B490" s="111"/>
      <c r="C490" s="111"/>
      <c r="D490" s="111"/>
      <c r="E490" s="111"/>
      <c r="F490" s="111"/>
      <c r="G490" s="111"/>
      <c r="H490" s="111"/>
      <c r="I490" s="111"/>
      <c r="J490" s="112"/>
      <c r="K490" s="111"/>
      <c r="L490" s="98"/>
    </row>
    <row r="491" spans="1:12" ht="15.75" customHeight="1">
      <c r="A491" s="111"/>
      <c r="B491" s="111"/>
      <c r="C491" s="111"/>
      <c r="D491" s="111"/>
      <c r="E491" s="111"/>
      <c r="F491" s="111"/>
      <c r="G491" s="111"/>
      <c r="H491" s="111"/>
      <c r="I491" s="111"/>
      <c r="J491" s="112"/>
      <c r="K491" s="111"/>
      <c r="L491" s="98"/>
    </row>
    <row r="492" spans="1:12" ht="15.75" customHeight="1">
      <c r="A492" s="111"/>
      <c r="B492" s="111"/>
      <c r="C492" s="111"/>
      <c r="D492" s="111"/>
      <c r="E492" s="111"/>
      <c r="F492" s="111"/>
      <c r="G492" s="111"/>
      <c r="H492" s="111"/>
      <c r="I492" s="111"/>
      <c r="J492" s="112"/>
      <c r="K492" s="111"/>
      <c r="L492" s="98"/>
    </row>
    <row r="493" spans="1:12" ht="15.75" customHeight="1">
      <c r="A493" s="111"/>
      <c r="B493" s="111"/>
      <c r="C493" s="111"/>
      <c r="D493" s="111"/>
      <c r="E493" s="111"/>
      <c r="F493" s="111"/>
      <c r="G493" s="111"/>
      <c r="H493" s="111"/>
      <c r="I493" s="111"/>
      <c r="J493" s="112"/>
      <c r="K493" s="111"/>
      <c r="L493" s="98"/>
    </row>
    <row r="494" spans="1:12" ht="15.75" customHeight="1">
      <c r="A494" s="111"/>
      <c r="B494" s="111"/>
      <c r="C494" s="111"/>
      <c r="D494" s="111"/>
      <c r="E494" s="111"/>
      <c r="F494" s="111"/>
      <c r="G494" s="111"/>
      <c r="H494" s="111"/>
      <c r="I494" s="111"/>
      <c r="J494" s="112"/>
      <c r="K494" s="111"/>
      <c r="L494" s="98"/>
    </row>
    <row r="495" spans="1:12" ht="15.75" customHeight="1">
      <c r="A495" s="111"/>
      <c r="B495" s="111"/>
      <c r="C495" s="111"/>
      <c r="D495" s="111"/>
      <c r="E495" s="111"/>
      <c r="F495" s="111"/>
      <c r="G495" s="111"/>
      <c r="H495" s="111"/>
      <c r="I495" s="111"/>
      <c r="J495" s="112"/>
      <c r="K495" s="111"/>
      <c r="L495" s="98"/>
    </row>
    <row r="496" spans="1:12" ht="15.75" customHeight="1">
      <c r="A496" s="111"/>
      <c r="B496" s="111"/>
      <c r="C496" s="111"/>
      <c r="D496" s="111"/>
      <c r="E496" s="111"/>
      <c r="F496" s="111"/>
      <c r="G496" s="111"/>
      <c r="H496" s="111"/>
      <c r="I496" s="111"/>
      <c r="J496" s="112"/>
      <c r="K496" s="111"/>
      <c r="L496" s="98"/>
    </row>
    <row r="497" spans="1:12" ht="15.75" customHeight="1">
      <c r="A497" s="111"/>
      <c r="B497" s="111"/>
      <c r="C497" s="111"/>
      <c r="D497" s="111"/>
      <c r="E497" s="111"/>
      <c r="F497" s="111"/>
      <c r="G497" s="111"/>
      <c r="H497" s="111"/>
      <c r="I497" s="111"/>
      <c r="J497" s="112"/>
      <c r="K497" s="111"/>
      <c r="L497" s="98"/>
    </row>
    <row r="498" spans="1:12" ht="15.75" customHeight="1">
      <c r="A498" s="111"/>
      <c r="B498" s="111"/>
      <c r="C498" s="111"/>
      <c r="D498" s="111"/>
      <c r="E498" s="111"/>
      <c r="F498" s="111"/>
      <c r="G498" s="111"/>
      <c r="H498" s="111"/>
      <c r="I498" s="111"/>
      <c r="J498" s="112"/>
      <c r="K498" s="111"/>
      <c r="L498" s="98"/>
    </row>
    <row r="499" spans="1:12" ht="15.75" customHeight="1">
      <c r="A499" s="111"/>
      <c r="B499" s="111"/>
      <c r="C499" s="111"/>
      <c r="D499" s="111"/>
      <c r="E499" s="111"/>
      <c r="F499" s="111"/>
      <c r="G499" s="111"/>
      <c r="H499" s="111"/>
      <c r="I499" s="111"/>
      <c r="J499" s="112"/>
      <c r="K499" s="111"/>
      <c r="L499" s="98"/>
    </row>
    <row r="500" spans="1:12" ht="15.75" customHeight="1">
      <c r="A500" s="111"/>
      <c r="B500" s="111"/>
      <c r="C500" s="111"/>
      <c r="D500" s="111"/>
      <c r="E500" s="111"/>
      <c r="F500" s="111"/>
      <c r="G500" s="111"/>
      <c r="H500" s="111"/>
      <c r="I500" s="111"/>
      <c r="J500" s="112"/>
      <c r="K500" s="111"/>
      <c r="L500" s="98"/>
    </row>
    <row r="501" spans="1:12" ht="15.75" customHeight="1">
      <c r="A501" s="111"/>
      <c r="B501" s="111"/>
      <c r="C501" s="111"/>
      <c r="D501" s="111"/>
      <c r="E501" s="111"/>
      <c r="F501" s="111"/>
      <c r="G501" s="111"/>
      <c r="H501" s="111"/>
      <c r="I501" s="111"/>
      <c r="J501" s="112"/>
      <c r="K501" s="111"/>
      <c r="L501" s="98"/>
    </row>
    <row r="502" spans="1:12" ht="15.75" customHeight="1">
      <c r="A502" s="111"/>
      <c r="B502" s="111"/>
      <c r="C502" s="111"/>
      <c r="D502" s="111"/>
      <c r="E502" s="111"/>
      <c r="F502" s="111"/>
      <c r="G502" s="111"/>
      <c r="H502" s="111"/>
      <c r="I502" s="111"/>
      <c r="J502" s="112"/>
      <c r="K502" s="111"/>
      <c r="L502" s="98"/>
    </row>
    <row r="503" spans="1:12" ht="15.75" customHeight="1">
      <c r="A503" s="111"/>
      <c r="B503" s="111"/>
      <c r="C503" s="111"/>
      <c r="D503" s="111"/>
      <c r="E503" s="111"/>
      <c r="F503" s="111"/>
      <c r="G503" s="111"/>
      <c r="H503" s="111"/>
      <c r="I503" s="111"/>
      <c r="J503" s="112"/>
      <c r="K503" s="111"/>
      <c r="L503" s="98"/>
    </row>
    <row r="504" spans="1:12" ht="15.75" customHeight="1">
      <c r="A504" s="111"/>
      <c r="B504" s="111"/>
      <c r="C504" s="111"/>
      <c r="D504" s="111"/>
      <c r="E504" s="111"/>
      <c r="F504" s="111"/>
      <c r="G504" s="111"/>
      <c r="H504" s="111"/>
      <c r="I504" s="111"/>
      <c r="J504" s="112"/>
      <c r="K504" s="111"/>
      <c r="L504" s="98"/>
    </row>
    <row r="505" spans="1:12" ht="15.75" customHeight="1">
      <c r="A505" s="111"/>
      <c r="B505" s="111"/>
      <c r="C505" s="111"/>
      <c r="D505" s="111"/>
      <c r="E505" s="111"/>
      <c r="F505" s="111"/>
      <c r="G505" s="111"/>
      <c r="H505" s="111"/>
      <c r="I505" s="111"/>
      <c r="J505" s="112"/>
      <c r="K505" s="111"/>
      <c r="L505" s="98"/>
    </row>
    <row r="506" spans="1:12" ht="15.75" customHeight="1">
      <c r="A506" s="111"/>
      <c r="B506" s="111"/>
      <c r="C506" s="111"/>
      <c r="D506" s="111"/>
      <c r="E506" s="111"/>
      <c r="F506" s="111"/>
      <c r="G506" s="111"/>
      <c r="H506" s="111"/>
      <c r="I506" s="111"/>
      <c r="J506" s="112"/>
      <c r="K506" s="111"/>
      <c r="L506" s="98"/>
    </row>
    <row r="507" spans="1:12" ht="15.75" customHeight="1">
      <c r="A507" s="111"/>
      <c r="B507" s="111"/>
      <c r="C507" s="111"/>
      <c r="D507" s="111"/>
      <c r="E507" s="111"/>
      <c r="F507" s="111"/>
      <c r="G507" s="111"/>
      <c r="H507" s="111"/>
      <c r="I507" s="111"/>
      <c r="J507" s="112"/>
      <c r="K507" s="111"/>
      <c r="L507" s="98"/>
    </row>
    <row r="508" spans="1:12" ht="15.75" customHeight="1">
      <c r="A508" s="111"/>
      <c r="B508" s="111"/>
      <c r="C508" s="111"/>
      <c r="D508" s="111"/>
      <c r="E508" s="111"/>
      <c r="F508" s="111"/>
      <c r="G508" s="111"/>
      <c r="H508" s="111"/>
      <c r="I508" s="111"/>
      <c r="J508" s="112"/>
      <c r="K508" s="111"/>
      <c r="L508" s="98"/>
    </row>
    <row r="509" spans="1:12" ht="15.75" customHeight="1">
      <c r="A509" s="111"/>
      <c r="B509" s="111"/>
      <c r="C509" s="111"/>
      <c r="D509" s="111"/>
      <c r="E509" s="111"/>
      <c r="F509" s="111"/>
      <c r="G509" s="111"/>
      <c r="H509" s="111"/>
      <c r="I509" s="111"/>
      <c r="J509" s="112"/>
      <c r="K509" s="111"/>
      <c r="L509" s="98"/>
    </row>
    <row r="510" spans="1:12" ht="15.75" customHeight="1">
      <c r="A510" s="111"/>
      <c r="B510" s="111"/>
      <c r="C510" s="111"/>
      <c r="D510" s="111"/>
      <c r="E510" s="111"/>
      <c r="F510" s="111"/>
      <c r="G510" s="111"/>
      <c r="H510" s="111"/>
      <c r="I510" s="111"/>
      <c r="J510" s="112"/>
      <c r="K510" s="111"/>
      <c r="L510" s="98"/>
    </row>
    <row r="511" spans="1:12" ht="15.75" customHeight="1">
      <c r="A511" s="111"/>
      <c r="B511" s="111"/>
      <c r="C511" s="111"/>
      <c r="D511" s="111"/>
      <c r="E511" s="111"/>
      <c r="F511" s="111"/>
      <c r="G511" s="111"/>
      <c r="H511" s="111"/>
      <c r="I511" s="111"/>
      <c r="J511" s="112"/>
      <c r="K511" s="111"/>
      <c r="L511" s="98"/>
    </row>
    <row r="512" spans="1:12" ht="15.75" customHeight="1">
      <c r="A512" s="111"/>
      <c r="B512" s="111"/>
      <c r="C512" s="111"/>
      <c r="D512" s="111"/>
      <c r="E512" s="111"/>
      <c r="F512" s="111"/>
      <c r="G512" s="111"/>
      <c r="H512" s="111"/>
      <c r="I512" s="111"/>
      <c r="J512" s="112"/>
      <c r="K512" s="111"/>
      <c r="L512" s="98"/>
    </row>
    <row r="513" spans="1:12" ht="15.75" customHeight="1">
      <c r="A513" s="111"/>
      <c r="B513" s="111"/>
      <c r="C513" s="111"/>
      <c r="D513" s="111"/>
      <c r="E513" s="111"/>
      <c r="F513" s="111"/>
      <c r="G513" s="111"/>
      <c r="H513" s="111"/>
      <c r="I513" s="111"/>
      <c r="J513" s="112"/>
      <c r="K513" s="111"/>
      <c r="L513" s="98"/>
    </row>
    <row r="514" spans="1:12" ht="15.75" customHeight="1">
      <c r="A514" s="111"/>
      <c r="B514" s="111"/>
      <c r="C514" s="111"/>
      <c r="D514" s="111"/>
      <c r="E514" s="111"/>
      <c r="F514" s="111"/>
      <c r="G514" s="111"/>
      <c r="H514" s="111"/>
      <c r="I514" s="111"/>
      <c r="J514" s="112"/>
      <c r="K514" s="111"/>
      <c r="L514" s="98"/>
    </row>
    <row r="515" spans="1:12" ht="15.75" customHeight="1">
      <c r="A515" s="111"/>
      <c r="B515" s="111"/>
      <c r="C515" s="111"/>
      <c r="D515" s="111"/>
      <c r="E515" s="111"/>
      <c r="F515" s="111"/>
      <c r="G515" s="111"/>
      <c r="H515" s="111"/>
      <c r="I515" s="111"/>
      <c r="J515" s="112"/>
      <c r="K515" s="111"/>
      <c r="L515" s="98"/>
    </row>
    <row r="516" spans="1:12" ht="15.75" customHeight="1">
      <c r="A516" s="111"/>
      <c r="B516" s="111"/>
      <c r="C516" s="111"/>
      <c r="D516" s="111"/>
      <c r="E516" s="111"/>
      <c r="F516" s="111"/>
      <c r="G516" s="111"/>
      <c r="H516" s="111"/>
      <c r="I516" s="111"/>
      <c r="J516" s="112"/>
      <c r="K516" s="111"/>
      <c r="L516" s="98"/>
    </row>
    <row r="517" spans="1:12" ht="15.75" customHeight="1">
      <c r="A517" s="111"/>
      <c r="B517" s="111"/>
      <c r="C517" s="111"/>
      <c r="D517" s="111"/>
      <c r="E517" s="111"/>
      <c r="F517" s="111"/>
      <c r="G517" s="111"/>
      <c r="H517" s="111"/>
      <c r="I517" s="111"/>
      <c r="J517" s="112"/>
      <c r="K517" s="111"/>
      <c r="L517" s="98"/>
    </row>
    <row r="518" spans="1:12" ht="15.75" customHeight="1">
      <c r="A518" s="111"/>
      <c r="B518" s="111"/>
      <c r="C518" s="111"/>
      <c r="D518" s="111"/>
      <c r="E518" s="111"/>
      <c r="F518" s="111"/>
      <c r="G518" s="111"/>
      <c r="H518" s="111"/>
      <c r="I518" s="111"/>
      <c r="J518" s="112"/>
      <c r="K518" s="111"/>
      <c r="L518" s="98"/>
    </row>
    <row r="519" spans="1:12" ht="15.75" customHeight="1">
      <c r="A519" s="111"/>
      <c r="B519" s="111"/>
      <c r="C519" s="111"/>
      <c r="D519" s="111"/>
      <c r="E519" s="111"/>
      <c r="F519" s="111"/>
      <c r="G519" s="111"/>
      <c r="H519" s="111"/>
      <c r="I519" s="111"/>
      <c r="J519" s="112"/>
      <c r="K519" s="111"/>
      <c r="L519" s="98"/>
    </row>
    <row r="520" spans="1:12" ht="15.75" customHeight="1">
      <c r="A520" s="111"/>
      <c r="B520" s="111"/>
      <c r="C520" s="111"/>
      <c r="D520" s="111"/>
      <c r="E520" s="111"/>
      <c r="F520" s="111"/>
      <c r="G520" s="111"/>
      <c r="H520" s="111"/>
      <c r="I520" s="111"/>
      <c r="J520" s="112"/>
      <c r="K520" s="111"/>
      <c r="L520" s="98"/>
    </row>
    <row r="521" spans="1:12" ht="15.75" customHeight="1">
      <c r="A521" s="111"/>
      <c r="B521" s="111"/>
      <c r="C521" s="111"/>
      <c r="D521" s="111"/>
      <c r="E521" s="111"/>
      <c r="F521" s="111"/>
      <c r="G521" s="111"/>
      <c r="H521" s="111"/>
      <c r="I521" s="111"/>
      <c r="J521" s="112"/>
      <c r="K521" s="111"/>
      <c r="L521" s="98"/>
    </row>
    <row r="522" spans="1:12" ht="15.75" customHeight="1">
      <c r="A522" s="111"/>
      <c r="B522" s="111"/>
      <c r="C522" s="111"/>
      <c r="D522" s="111"/>
      <c r="E522" s="111"/>
      <c r="F522" s="111"/>
      <c r="G522" s="111"/>
      <c r="H522" s="111"/>
      <c r="I522" s="111"/>
      <c r="J522" s="112"/>
      <c r="K522" s="111"/>
      <c r="L522" s="98"/>
    </row>
    <row r="523" spans="1:12" ht="15.75" customHeight="1">
      <c r="A523" s="111"/>
      <c r="B523" s="111"/>
      <c r="C523" s="111"/>
      <c r="D523" s="111"/>
      <c r="E523" s="111"/>
      <c r="F523" s="111"/>
      <c r="G523" s="111"/>
      <c r="H523" s="111"/>
      <c r="I523" s="111"/>
      <c r="J523" s="112"/>
      <c r="K523" s="111"/>
      <c r="L523" s="98"/>
    </row>
    <row r="524" spans="1:12" ht="15.75" customHeight="1">
      <c r="A524" s="111"/>
      <c r="B524" s="111"/>
      <c r="C524" s="111"/>
      <c r="D524" s="111"/>
      <c r="E524" s="111"/>
      <c r="F524" s="111"/>
      <c r="G524" s="111"/>
      <c r="H524" s="111"/>
      <c r="I524" s="111"/>
      <c r="J524" s="112"/>
      <c r="K524" s="111"/>
      <c r="L524" s="98"/>
    </row>
    <row r="525" spans="1:12" ht="15.75" customHeight="1">
      <c r="A525" s="111"/>
      <c r="B525" s="111"/>
      <c r="C525" s="111"/>
      <c r="D525" s="111"/>
      <c r="E525" s="111"/>
      <c r="F525" s="111"/>
      <c r="G525" s="111"/>
      <c r="H525" s="111"/>
      <c r="I525" s="111"/>
      <c r="J525" s="112"/>
      <c r="K525" s="111"/>
      <c r="L525" s="98"/>
    </row>
    <row r="526" spans="1:12" ht="15.75" customHeight="1">
      <c r="A526" s="111"/>
      <c r="B526" s="111"/>
      <c r="C526" s="111"/>
      <c r="D526" s="111"/>
      <c r="E526" s="111"/>
      <c r="F526" s="111"/>
      <c r="G526" s="111"/>
      <c r="H526" s="111"/>
      <c r="I526" s="111"/>
      <c r="J526" s="112"/>
      <c r="K526" s="111"/>
      <c r="L526" s="98"/>
    </row>
    <row r="527" spans="1:12" ht="15.75" customHeight="1">
      <c r="A527" s="111"/>
      <c r="B527" s="111"/>
      <c r="C527" s="111"/>
      <c r="D527" s="111"/>
      <c r="E527" s="111"/>
      <c r="F527" s="111"/>
      <c r="G527" s="111"/>
      <c r="H527" s="111"/>
      <c r="I527" s="111"/>
      <c r="J527" s="112"/>
      <c r="K527" s="111"/>
      <c r="L527" s="98"/>
    </row>
    <row r="528" spans="1:12" ht="15.75" customHeight="1">
      <c r="A528" s="111"/>
      <c r="B528" s="111"/>
      <c r="C528" s="111"/>
      <c r="D528" s="111"/>
      <c r="E528" s="111"/>
      <c r="F528" s="111"/>
      <c r="G528" s="111"/>
      <c r="H528" s="111"/>
      <c r="I528" s="111"/>
      <c r="J528" s="112"/>
      <c r="K528" s="111"/>
      <c r="L528" s="98"/>
    </row>
    <row r="529" spans="1:12" ht="15.75" customHeight="1">
      <c r="A529" s="111"/>
      <c r="B529" s="111"/>
      <c r="C529" s="111"/>
      <c r="D529" s="111"/>
      <c r="E529" s="111"/>
      <c r="F529" s="111"/>
      <c r="G529" s="111"/>
      <c r="H529" s="111"/>
      <c r="I529" s="111"/>
      <c r="J529" s="112"/>
      <c r="K529" s="111"/>
      <c r="L529" s="98"/>
    </row>
    <row r="530" spans="1:12" ht="15.75" customHeight="1">
      <c r="A530" s="111"/>
      <c r="B530" s="111"/>
      <c r="C530" s="111"/>
      <c r="D530" s="111"/>
      <c r="E530" s="111"/>
      <c r="F530" s="111"/>
      <c r="G530" s="111"/>
      <c r="H530" s="111"/>
      <c r="I530" s="111"/>
      <c r="J530" s="112"/>
      <c r="K530" s="111"/>
      <c r="L530" s="98"/>
    </row>
    <row r="531" spans="1:12" ht="15.75" customHeight="1">
      <c r="A531" s="111"/>
      <c r="B531" s="111"/>
      <c r="C531" s="111"/>
      <c r="D531" s="111"/>
      <c r="E531" s="111"/>
      <c r="F531" s="111"/>
      <c r="G531" s="111"/>
      <c r="H531" s="111"/>
      <c r="I531" s="111"/>
      <c r="J531" s="112"/>
      <c r="K531" s="111"/>
      <c r="L531" s="98"/>
    </row>
    <row r="532" spans="1:12" ht="15.75" customHeight="1">
      <c r="A532" s="111"/>
      <c r="B532" s="111"/>
      <c r="C532" s="111"/>
      <c r="D532" s="111"/>
      <c r="E532" s="111"/>
      <c r="F532" s="111"/>
      <c r="G532" s="111"/>
      <c r="H532" s="111"/>
      <c r="I532" s="111"/>
      <c r="J532" s="112"/>
      <c r="K532" s="111"/>
      <c r="L532" s="98"/>
    </row>
    <row r="533" spans="1:12" ht="15.75" customHeight="1">
      <c r="A533" s="111"/>
      <c r="B533" s="111"/>
      <c r="C533" s="111"/>
      <c r="D533" s="111"/>
      <c r="E533" s="111"/>
      <c r="F533" s="111"/>
      <c r="G533" s="111"/>
      <c r="H533" s="111"/>
      <c r="I533" s="111"/>
      <c r="J533" s="112"/>
      <c r="K533" s="111"/>
      <c r="L533" s="98"/>
    </row>
    <row r="534" spans="1:12" ht="15.75" customHeight="1">
      <c r="A534" s="111"/>
      <c r="B534" s="111"/>
      <c r="C534" s="111"/>
      <c r="D534" s="111"/>
      <c r="E534" s="111"/>
      <c r="F534" s="111"/>
      <c r="G534" s="111"/>
      <c r="H534" s="111"/>
      <c r="I534" s="111"/>
      <c r="J534" s="112"/>
      <c r="K534" s="111"/>
      <c r="L534" s="98"/>
    </row>
    <row r="535" spans="1:12" ht="15.75" customHeight="1">
      <c r="A535" s="111"/>
      <c r="B535" s="111"/>
      <c r="C535" s="111"/>
      <c r="D535" s="111"/>
      <c r="E535" s="111"/>
      <c r="F535" s="111"/>
      <c r="G535" s="111"/>
      <c r="H535" s="111"/>
      <c r="I535" s="111"/>
      <c r="J535" s="112"/>
      <c r="K535" s="111"/>
      <c r="L535" s="98"/>
    </row>
    <row r="536" spans="1:12" ht="15.75" customHeight="1">
      <c r="A536" s="111"/>
      <c r="B536" s="111"/>
      <c r="C536" s="111"/>
      <c r="D536" s="111"/>
      <c r="E536" s="111"/>
      <c r="F536" s="111"/>
      <c r="G536" s="111"/>
      <c r="H536" s="111"/>
      <c r="I536" s="111"/>
      <c r="J536" s="112"/>
      <c r="K536" s="111"/>
      <c r="L536" s="98"/>
    </row>
    <row r="537" spans="1:12" ht="15.75" customHeight="1">
      <c r="A537" s="111"/>
      <c r="B537" s="111"/>
      <c r="C537" s="111"/>
      <c r="D537" s="111"/>
      <c r="E537" s="111"/>
      <c r="F537" s="111"/>
      <c r="G537" s="111"/>
      <c r="H537" s="111"/>
      <c r="I537" s="111"/>
      <c r="J537" s="112"/>
      <c r="K537" s="111"/>
      <c r="L537" s="98"/>
    </row>
    <row r="538" spans="1:12" ht="15.75" customHeight="1">
      <c r="A538" s="111"/>
      <c r="B538" s="111"/>
      <c r="C538" s="111"/>
      <c r="D538" s="111"/>
      <c r="E538" s="111"/>
      <c r="F538" s="111"/>
      <c r="G538" s="111"/>
      <c r="H538" s="111"/>
      <c r="I538" s="111"/>
      <c r="J538" s="112"/>
      <c r="K538" s="111"/>
      <c r="L538" s="98"/>
    </row>
    <row r="539" spans="1:12" ht="15.75" customHeight="1">
      <c r="A539" s="111"/>
      <c r="B539" s="111"/>
      <c r="C539" s="111"/>
      <c r="D539" s="111"/>
      <c r="E539" s="111"/>
      <c r="F539" s="111"/>
      <c r="G539" s="111"/>
      <c r="H539" s="111"/>
      <c r="I539" s="111"/>
      <c r="J539" s="112"/>
      <c r="K539" s="111"/>
      <c r="L539" s="98"/>
    </row>
    <row r="540" spans="1:12" ht="15.75" customHeight="1">
      <c r="A540" s="111"/>
      <c r="B540" s="111"/>
      <c r="C540" s="111"/>
      <c r="D540" s="111"/>
      <c r="E540" s="111"/>
      <c r="F540" s="111"/>
      <c r="G540" s="111"/>
      <c r="H540" s="111"/>
      <c r="I540" s="111"/>
      <c r="J540" s="112"/>
      <c r="K540" s="111"/>
      <c r="L540" s="98"/>
    </row>
    <row r="541" spans="1:12" ht="15.75" customHeight="1">
      <c r="A541" s="111"/>
      <c r="B541" s="111"/>
      <c r="C541" s="111"/>
      <c r="D541" s="111"/>
      <c r="E541" s="111"/>
      <c r="F541" s="111"/>
      <c r="G541" s="111"/>
      <c r="H541" s="111"/>
      <c r="I541" s="111"/>
      <c r="J541" s="112"/>
      <c r="K541" s="111"/>
      <c r="L541" s="98"/>
    </row>
    <row r="542" spans="1:12" ht="15.75" customHeight="1">
      <c r="A542" s="111"/>
      <c r="B542" s="111"/>
      <c r="C542" s="111"/>
      <c r="D542" s="111"/>
      <c r="E542" s="111"/>
      <c r="F542" s="111"/>
      <c r="G542" s="111"/>
      <c r="H542" s="111"/>
      <c r="I542" s="111"/>
      <c r="J542" s="112"/>
      <c r="K542" s="111"/>
      <c r="L542" s="98"/>
    </row>
    <row r="543" spans="1:12" ht="15.75" customHeight="1">
      <c r="A543" s="111"/>
      <c r="B543" s="111"/>
      <c r="C543" s="111"/>
      <c r="D543" s="111"/>
      <c r="E543" s="111"/>
      <c r="F543" s="111"/>
      <c r="G543" s="111"/>
      <c r="H543" s="111"/>
      <c r="I543" s="111"/>
      <c r="J543" s="112"/>
      <c r="K543" s="111"/>
      <c r="L543" s="98"/>
    </row>
    <row r="544" spans="1:12" ht="15.75" customHeight="1">
      <c r="A544" s="111"/>
      <c r="B544" s="111"/>
      <c r="C544" s="111"/>
      <c r="D544" s="111"/>
      <c r="E544" s="111"/>
      <c r="F544" s="111"/>
      <c r="G544" s="111"/>
      <c r="H544" s="111"/>
      <c r="I544" s="111"/>
      <c r="J544" s="112"/>
      <c r="K544" s="111"/>
      <c r="L544" s="98"/>
    </row>
    <row r="545" spans="1:12" ht="15.75" customHeight="1">
      <c r="A545" s="111"/>
      <c r="B545" s="111"/>
      <c r="C545" s="111"/>
      <c r="D545" s="111"/>
      <c r="E545" s="111"/>
      <c r="F545" s="111"/>
      <c r="G545" s="111"/>
      <c r="H545" s="111"/>
      <c r="I545" s="111"/>
      <c r="J545" s="112"/>
      <c r="K545" s="111"/>
      <c r="L545" s="98"/>
    </row>
    <row r="546" spans="1:12" ht="15.75" customHeight="1">
      <c r="A546" s="111"/>
      <c r="B546" s="111"/>
      <c r="C546" s="111"/>
      <c r="D546" s="111"/>
      <c r="E546" s="111"/>
      <c r="F546" s="111"/>
      <c r="G546" s="111"/>
      <c r="H546" s="111"/>
      <c r="I546" s="111"/>
      <c r="J546" s="112"/>
      <c r="K546" s="111"/>
      <c r="L546" s="98"/>
    </row>
    <row r="547" spans="1:12" ht="15.75" customHeight="1">
      <c r="A547" s="111"/>
      <c r="B547" s="111"/>
      <c r="C547" s="111"/>
      <c r="D547" s="111"/>
      <c r="E547" s="111"/>
      <c r="F547" s="111"/>
      <c r="G547" s="111"/>
      <c r="H547" s="111"/>
      <c r="I547" s="111"/>
      <c r="J547" s="112"/>
      <c r="K547" s="111"/>
      <c r="L547" s="98"/>
    </row>
    <row r="548" spans="1:12" ht="15.75" customHeight="1">
      <c r="A548" s="111"/>
      <c r="B548" s="111"/>
      <c r="C548" s="111"/>
      <c r="D548" s="111"/>
      <c r="E548" s="111"/>
      <c r="F548" s="111"/>
      <c r="G548" s="111"/>
      <c r="H548" s="111"/>
      <c r="I548" s="111"/>
      <c r="J548" s="112"/>
      <c r="K548" s="111"/>
      <c r="L548" s="98"/>
    </row>
    <row r="549" spans="1:12" ht="15.75" customHeight="1">
      <c r="A549" s="111"/>
      <c r="B549" s="111"/>
      <c r="C549" s="111"/>
      <c r="D549" s="111"/>
      <c r="E549" s="111"/>
      <c r="F549" s="111"/>
      <c r="G549" s="111"/>
      <c r="H549" s="111"/>
      <c r="I549" s="111"/>
      <c r="J549" s="112"/>
      <c r="K549" s="111"/>
      <c r="L549" s="98"/>
    </row>
    <row r="550" spans="1:12" ht="15.75" customHeight="1">
      <c r="A550" s="111"/>
      <c r="B550" s="111"/>
      <c r="C550" s="111"/>
      <c r="D550" s="111"/>
      <c r="E550" s="111"/>
      <c r="F550" s="111"/>
      <c r="G550" s="111"/>
      <c r="H550" s="111"/>
      <c r="I550" s="111"/>
      <c r="J550" s="112"/>
      <c r="K550" s="111"/>
      <c r="L550" s="98"/>
    </row>
    <row r="551" spans="1:12" ht="15.75" customHeight="1">
      <c r="A551" s="111"/>
      <c r="B551" s="111"/>
      <c r="C551" s="111"/>
      <c r="D551" s="111"/>
      <c r="E551" s="111"/>
      <c r="F551" s="111"/>
      <c r="G551" s="111"/>
      <c r="H551" s="111"/>
      <c r="I551" s="111"/>
      <c r="J551" s="112"/>
      <c r="K551" s="111"/>
      <c r="L551" s="98"/>
    </row>
    <row r="552" spans="1:12" ht="15.75" customHeight="1">
      <c r="A552" s="111"/>
      <c r="B552" s="111"/>
      <c r="C552" s="111"/>
      <c r="D552" s="111"/>
      <c r="E552" s="111"/>
      <c r="F552" s="111"/>
      <c r="G552" s="111"/>
      <c r="H552" s="111"/>
      <c r="I552" s="111"/>
      <c r="J552" s="112"/>
      <c r="K552" s="111"/>
      <c r="L552" s="98"/>
    </row>
    <row r="553" spans="1:12" ht="15.75" customHeight="1">
      <c r="A553" s="111"/>
      <c r="B553" s="111"/>
      <c r="C553" s="111"/>
      <c r="D553" s="111"/>
      <c r="E553" s="111"/>
      <c r="F553" s="111"/>
      <c r="G553" s="111"/>
      <c r="H553" s="111"/>
      <c r="I553" s="111"/>
      <c r="J553" s="112"/>
      <c r="K553" s="111"/>
      <c r="L553" s="98"/>
    </row>
    <row r="554" spans="1:12" ht="15.75" customHeight="1">
      <c r="A554" s="111"/>
      <c r="B554" s="111"/>
      <c r="C554" s="111"/>
      <c r="D554" s="111"/>
      <c r="E554" s="111"/>
      <c r="F554" s="111"/>
      <c r="G554" s="111"/>
      <c r="H554" s="111"/>
      <c r="I554" s="111"/>
      <c r="J554" s="112"/>
      <c r="K554" s="111"/>
      <c r="L554" s="98"/>
    </row>
    <row r="555" spans="1:12" ht="15.75" customHeight="1">
      <c r="A555" s="111"/>
      <c r="B555" s="111"/>
      <c r="C555" s="111"/>
      <c r="D555" s="111"/>
      <c r="E555" s="111"/>
      <c r="F555" s="111"/>
      <c r="G555" s="111"/>
      <c r="H555" s="111"/>
      <c r="I555" s="111"/>
      <c r="J555" s="112"/>
      <c r="K555" s="111"/>
      <c r="L555" s="98"/>
    </row>
    <row r="556" spans="1:12" ht="15.75" customHeight="1">
      <c r="A556" s="111"/>
      <c r="B556" s="111"/>
      <c r="C556" s="111"/>
      <c r="D556" s="111"/>
      <c r="E556" s="111"/>
      <c r="F556" s="111"/>
      <c r="G556" s="111"/>
      <c r="H556" s="111"/>
      <c r="I556" s="111"/>
      <c r="J556" s="112"/>
      <c r="K556" s="111"/>
      <c r="L556" s="98"/>
    </row>
    <row r="557" spans="1:12" ht="15.75" customHeight="1">
      <c r="A557" s="111"/>
      <c r="B557" s="111"/>
      <c r="C557" s="111"/>
      <c r="D557" s="111"/>
      <c r="E557" s="111"/>
      <c r="F557" s="111"/>
      <c r="G557" s="111"/>
      <c r="H557" s="111"/>
      <c r="I557" s="111"/>
      <c r="J557" s="112"/>
      <c r="K557" s="111"/>
      <c r="L557" s="98"/>
    </row>
    <row r="558" spans="1:12" ht="15.75" customHeight="1">
      <c r="A558" s="111"/>
      <c r="B558" s="111"/>
      <c r="C558" s="111"/>
      <c r="D558" s="111"/>
      <c r="E558" s="111"/>
      <c r="F558" s="111"/>
      <c r="G558" s="111"/>
      <c r="H558" s="111"/>
      <c r="I558" s="111"/>
      <c r="J558" s="112"/>
      <c r="K558" s="111"/>
      <c r="L558" s="98"/>
    </row>
    <row r="559" spans="1:12" ht="15.75" customHeight="1">
      <c r="A559" s="111"/>
      <c r="B559" s="111"/>
      <c r="C559" s="111"/>
      <c r="D559" s="111"/>
      <c r="E559" s="111"/>
      <c r="F559" s="111"/>
      <c r="G559" s="111"/>
      <c r="H559" s="111"/>
      <c r="I559" s="111"/>
      <c r="J559" s="112"/>
      <c r="K559" s="111"/>
      <c r="L559" s="98"/>
    </row>
    <row r="560" spans="1:12" ht="15.75" customHeight="1">
      <c r="A560" s="111"/>
      <c r="B560" s="111"/>
      <c r="C560" s="111"/>
      <c r="D560" s="111"/>
      <c r="E560" s="111"/>
      <c r="F560" s="111"/>
      <c r="G560" s="111"/>
      <c r="H560" s="111"/>
      <c r="I560" s="111"/>
      <c r="J560" s="112"/>
      <c r="K560" s="111"/>
      <c r="L560" s="98"/>
    </row>
    <row r="561" spans="1:12" ht="15.75" customHeight="1">
      <c r="A561" s="111"/>
      <c r="B561" s="111"/>
      <c r="C561" s="111"/>
      <c r="D561" s="111"/>
      <c r="E561" s="111"/>
      <c r="F561" s="111"/>
      <c r="G561" s="111"/>
      <c r="H561" s="111"/>
      <c r="I561" s="111"/>
      <c r="J561" s="112"/>
      <c r="K561" s="111"/>
      <c r="L561" s="98"/>
    </row>
    <row r="562" spans="1:12" ht="15.75" customHeight="1">
      <c r="A562" s="111"/>
      <c r="B562" s="111"/>
      <c r="C562" s="111"/>
      <c r="D562" s="111"/>
      <c r="E562" s="111"/>
      <c r="F562" s="111"/>
      <c r="G562" s="111"/>
      <c r="H562" s="111"/>
      <c r="I562" s="111"/>
      <c r="J562" s="112"/>
      <c r="K562" s="111"/>
      <c r="L562" s="98"/>
    </row>
    <row r="563" spans="1:12" ht="15.75" customHeight="1">
      <c r="A563" s="111"/>
      <c r="B563" s="111"/>
      <c r="C563" s="111"/>
      <c r="D563" s="111"/>
      <c r="E563" s="111"/>
      <c r="F563" s="111"/>
      <c r="G563" s="111"/>
      <c r="H563" s="111"/>
      <c r="I563" s="111"/>
      <c r="J563" s="112"/>
      <c r="K563" s="111"/>
      <c r="L563" s="98"/>
    </row>
    <row r="564" spans="1:12" ht="15.75" customHeight="1">
      <c r="A564" s="111"/>
      <c r="B564" s="111"/>
      <c r="C564" s="111"/>
      <c r="D564" s="111"/>
      <c r="E564" s="111"/>
      <c r="F564" s="111"/>
      <c r="G564" s="111"/>
      <c r="H564" s="111"/>
      <c r="I564" s="111"/>
      <c r="J564" s="112"/>
      <c r="K564" s="111"/>
      <c r="L564" s="98"/>
    </row>
    <row r="565" spans="1:12" ht="15.75" customHeight="1">
      <c r="A565" s="111"/>
      <c r="B565" s="111"/>
      <c r="C565" s="111"/>
      <c r="D565" s="111"/>
      <c r="E565" s="111"/>
      <c r="F565" s="111"/>
      <c r="G565" s="111"/>
      <c r="H565" s="111"/>
      <c r="I565" s="111"/>
      <c r="J565" s="112"/>
      <c r="K565" s="111"/>
      <c r="L565" s="98"/>
    </row>
    <row r="566" spans="1:12" ht="15.75" customHeight="1">
      <c r="A566" s="111"/>
      <c r="B566" s="111"/>
      <c r="C566" s="111"/>
      <c r="D566" s="111"/>
      <c r="E566" s="111"/>
      <c r="F566" s="111"/>
      <c r="G566" s="111"/>
      <c r="H566" s="111"/>
      <c r="I566" s="111"/>
      <c r="J566" s="112"/>
      <c r="K566" s="111"/>
      <c r="L566" s="98"/>
    </row>
    <row r="567" spans="1:12" ht="15.75" customHeight="1">
      <c r="A567" s="111"/>
      <c r="B567" s="111"/>
      <c r="C567" s="111"/>
      <c r="D567" s="111"/>
      <c r="E567" s="111"/>
      <c r="F567" s="111"/>
      <c r="G567" s="111"/>
      <c r="H567" s="111"/>
      <c r="I567" s="111"/>
      <c r="J567" s="112"/>
      <c r="K567" s="111"/>
      <c r="L567" s="98"/>
    </row>
    <row r="568" spans="1:12" ht="15.75" customHeight="1">
      <c r="A568" s="111"/>
      <c r="B568" s="111"/>
      <c r="C568" s="111"/>
      <c r="D568" s="111"/>
      <c r="E568" s="111"/>
      <c r="F568" s="111"/>
      <c r="G568" s="111"/>
      <c r="H568" s="111"/>
      <c r="I568" s="111"/>
      <c r="J568" s="112"/>
      <c r="K568" s="111"/>
      <c r="L568" s="98"/>
    </row>
    <row r="569" spans="1:12" ht="15.75" customHeight="1">
      <c r="A569" s="111"/>
      <c r="B569" s="111"/>
      <c r="C569" s="111"/>
      <c r="D569" s="111"/>
      <c r="E569" s="111"/>
      <c r="F569" s="111"/>
      <c r="G569" s="111"/>
      <c r="H569" s="111"/>
      <c r="I569" s="111"/>
      <c r="J569" s="112"/>
      <c r="K569" s="111"/>
      <c r="L569" s="98"/>
    </row>
    <row r="570" spans="1:12" ht="15.75" customHeight="1">
      <c r="A570" s="111"/>
      <c r="B570" s="111"/>
      <c r="C570" s="111"/>
      <c r="D570" s="111"/>
      <c r="E570" s="111"/>
      <c r="F570" s="111"/>
      <c r="G570" s="111"/>
      <c r="H570" s="111"/>
      <c r="I570" s="111"/>
      <c r="J570" s="112"/>
      <c r="K570" s="111"/>
      <c r="L570" s="98"/>
    </row>
    <row r="571" spans="1:12" ht="15.75" customHeight="1">
      <c r="A571" s="111"/>
      <c r="B571" s="111"/>
      <c r="C571" s="111"/>
      <c r="D571" s="111"/>
      <c r="E571" s="111"/>
      <c r="F571" s="111"/>
      <c r="G571" s="111"/>
      <c r="H571" s="111"/>
      <c r="I571" s="111"/>
      <c r="J571" s="112"/>
      <c r="K571" s="111"/>
      <c r="L571" s="98"/>
    </row>
    <row r="572" spans="1:12" ht="15.75" customHeight="1">
      <c r="A572" s="111"/>
      <c r="B572" s="111"/>
      <c r="C572" s="111"/>
      <c r="D572" s="111"/>
      <c r="E572" s="111"/>
      <c r="F572" s="111"/>
      <c r="G572" s="111"/>
      <c r="H572" s="111"/>
      <c r="I572" s="111"/>
      <c r="J572" s="112"/>
      <c r="K572" s="111"/>
      <c r="L572" s="98"/>
    </row>
    <row r="573" spans="1:12" ht="15.75" customHeight="1">
      <c r="A573" s="111"/>
      <c r="B573" s="111"/>
      <c r="C573" s="111"/>
      <c r="D573" s="111"/>
      <c r="E573" s="111"/>
      <c r="F573" s="111"/>
      <c r="G573" s="111"/>
      <c r="H573" s="111"/>
      <c r="I573" s="111"/>
      <c r="J573" s="112"/>
      <c r="K573" s="111"/>
      <c r="L573" s="98"/>
    </row>
    <row r="574" spans="1:12" ht="15.75" customHeight="1">
      <c r="A574" s="111"/>
      <c r="B574" s="111"/>
      <c r="C574" s="111"/>
      <c r="D574" s="111"/>
      <c r="E574" s="111"/>
      <c r="F574" s="111"/>
      <c r="G574" s="111"/>
      <c r="H574" s="111"/>
      <c r="I574" s="111"/>
      <c r="J574" s="112"/>
      <c r="K574" s="111"/>
      <c r="L574" s="98"/>
    </row>
    <row r="575" spans="1:12" ht="15.75" customHeight="1">
      <c r="A575" s="111"/>
      <c r="B575" s="111"/>
      <c r="C575" s="111"/>
      <c r="D575" s="111"/>
      <c r="E575" s="111"/>
      <c r="F575" s="111"/>
      <c r="G575" s="111"/>
      <c r="H575" s="111"/>
      <c r="I575" s="111"/>
      <c r="J575" s="112"/>
      <c r="K575" s="111"/>
      <c r="L575" s="98"/>
    </row>
    <row r="576" spans="1:12" ht="15.75" customHeight="1">
      <c r="A576" s="111"/>
      <c r="B576" s="111"/>
      <c r="C576" s="111"/>
      <c r="D576" s="111"/>
      <c r="E576" s="111"/>
      <c r="F576" s="111"/>
      <c r="G576" s="111"/>
      <c r="H576" s="111"/>
      <c r="I576" s="111"/>
      <c r="J576" s="112"/>
      <c r="K576" s="111"/>
      <c r="L576" s="98"/>
    </row>
    <row r="577" spans="1:12" ht="15.75" customHeight="1">
      <c r="A577" s="111"/>
      <c r="B577" s="111"/>
      <c r="C577" s="111"/>
      <c r="D577" s="111"/>
      <c r="E577" s="111"/>
      <c r="F577" s="111"/>
      <c r="G577" s="111"/>
      <c r="H577" s="111"/>
      <c r="I577" s="111"/>
      <c r="J577" s="112"/>
      <c r="K577" s="111"/>
      <c r="L577" s="98"/>
    </row>
    <row r="578" spans="1:12" ht="15.75" customHeight="1">
      <c r="A578" s="111"/>
      <c r="B578" s="111"/>
      <c r="C578" s="111"/>
      <c r="D578" s="111"/>
      <c r="E578" s="111"/>
      <c r="F578" s="111"/>
      <c r="G578" s="111"/>
      <c r="H578" s="111"/>
      <c r="I578" s="111"/>
      <c r="J578" s="112"/>
      <c r="K578" s="111"/>
      <c r="L578" s="98"/>
    </row>
    <row r="579" spans="1:12" ht="15.75" customHeight="1">
      <c r="A579" s="111"/>
      <c r="B579" s="111"/>
      <c r="C579" s="111"/>
      <c r="D579" s="111"/>
      <c r="E579" s="111"/>
      <c r="F579" s="111"/>
      <c r="G579" s="111"/>
      <c r="H579" s="111"/>
      <c r="I579" s="111"/>
      <c r="J579" s="112"/>
      <c r="K579" s="111"/>
      <c r="L579" s="98"/>
    </row>
    <row r="580" spans="1:12" ht="15.75" customHeight="1">
      <c r="A580" s="111"/>
      <c r="B580" s="111"/>
      <c r="C580" s="111"/>
      <c r="D580" s="111"/>
      <c r="E580" s="111"/>
      <c r="F580" s="111"/>
      <c r="G580" s="111"/>
      <c r="H580" s="111"/>
      <c r="I580" s="111"/>
      <c r="J580" s="112"/>
      <c r="K580" s="111"/>
      <c r="L580" s="98"/>
    </row>
    <row r="581" spans="1:12" ht="15.75" customHeight="1">
      <c r="A581" s="111"/>
      <c r="B581" s="111"/>
      <c r="C581" s="111"/>
      <c r="D581" s="111"/>
      <c r="E581" s="111"/>
      <c r="F581" s="111"/>
      <c r="G581" s="111"/>
      <c r="H581" s="111"/>
      <c r="I581" s="111"/>
      <c r="J581" s="112"/>
      <c r="K581" s="111"/>
      <c r="L581" s="98"/>
    </row>
    <row r="582" spans="1:12" ht="15.75" customHeight="1">
      <c r="A582" s="111"/>
      <c r="B582" s="111"/>
      <c r="C582" s="111"/>
      <c r="D582" s="111"/>
      <c r="E582" s="111"/>
      <c r="F582" s="111"/>
      <c r="G582" s="111"/>
      <c r="H582" s="111"/>
      <c r="I582" s="111"/>
      <c r="J582" s="112"/>
      <c r="K582" s="111"/>
      <c r="L582" s="98"/>
    </row>
    <row r="583" spans="1:12" ht="15.75" customHeight="1">
      <c r="A583" s="111"/>
      <c r="B583" s="111"/>
      <c r="C583" s="111"/>
      <c r="D583" s="111"/>
      <c r="E583" s="111"/>
      <c r="F583" s="111"/>
      <c r="G583" s="111"/>
      <c r="H583" s="111"/>
      <c r="I583" s="111"/>
      <c r="J583" s="112"/>
      <c r="K583" s="111"/>
      <c r="L583" s="98"/>
    </row>
    <row r="584" spans="1:12" ht="15.75" customHeight="1">
      <c r="A584" s="111"/>
      <c r="B584" s="111"/>
      <c r="C584" s="111"/>
      <c r="D584" s="111"/>
      <c r="E584" s="111"/>
      <c r="F584" s="111"/>
      <c r="G584" s="111"/>
      <c r="H584" s="111"/>
      <c r="I584" s="111"/>
      <c r="J584" s="112"/>
      <c r="K584" s="111"/>
      <c r="L584" s="98"/>
    </row>
    <row r="585" spans="1:12" ht="15.75" customHeight="1">
      <c r="A585" s="111"/>
      <c r="B585" s="111"/>
      <c r="C585" s="111"/>
      <c r="D585" s="111"/>
      <c r="E585" s="111"/>
      <c r="F585" s="111"/>
      <c r="G585" s="111"/>
      <c r="H585" s="111"/>
      <c r="I585" s="111"/>
      <c r="J585" s="112"/>
      <c r="K585" s="111"/>
      <c r="L585" s="98"/>
    </row>
    <row r="586" spans="1:12" ht="15.75" customHeight="1">
      <c r="A586" s="111"/>
      <c r="B586" s="111"/>
      <c r="C586" s="111"/>
      <c r="D586" s="111"/>
      <c r="E586" s="111"/>
      <c r="F586" s="111"/>
      <c r="G586" s="111"/>
      <c r="H586" s="111"/>
      <c r="I586" s="111"/>
      <c r="J586" s="112"/>
      <c r="K586" s="111"/>
      <c r="L586" s="98"/>
    </row>
    <row r="587" spans="1:12" ht="15.75" customHeight="1">
      <c r="A587" s="111"/>
      <c r="B587" s="111"/>
      <c r="C587" s="111"/>
      <c r="D587" s="111"/>
      <c r="E587" s="111"/>
      <c r="F587" s="111"/>
      <c r="G587" s="111"/>
      <c r="H587" s="111"/>
      <c r="I587" s="111"/>
      <c r="J587" s="112"/>
      <c r="K587" s="111"/>
      <c r="L587" s="98"/>
    </row>
    <row r="588" spans="1:12" ht="15.75" customHeight="1">
      <c r="A588" s="111"/>
      <c r="B588" s="111"/>
      <c r="C588" s="111"/>
      <c r="D588" s="111"/>
      <c r="E588" s="111"/>
      <c r="F588" s="111"/>
      <c r="G588" s="111"/>
      <c r="H588" s="111"/>
      <c r="I588" s="111"/>
      <c r="J588" s="112"/>
      <c r="K588" s="111"/>
      <c r="L588" s="98"/>
    </row>
    <row r="589" spans="1:12" ht="15.75" customHeight="1">
      <c r="A589" s="111"/>
      <c r="B589" s="111"/>
      <c r="C589" s="111"/>
      <c r="D589" s="111"/>
      <c r="E589" s="111"/>
      <c r="F589" s="111"/>
      <c r="G589" s="111"/>
      <c r="H589" s="111"/>
      <c r="I589" s="111"/>
      <c r="J589" s="112"/>
      <c r="K589" s="111"/>
      <c r="L589" s="98"/>
    </row>
    <row r="590" spans="1:12" ht="15.75" customHeight="1">
      <c r="A590" s="111"/>
      <c r="B590" s="111"/>
      <c r="C590" s="111"/>
      <c r="D590" s="111"/>
      <c r="E590" s="111"/>
      <c r="F590" s="111"/>
      <c r="G590" s="111"/>
      <c r="H590" s="111"/>
      <c r="I590" s="111"/>
      <c r="J590" s="112"/>
      <c r="K590" s="111"/>
      <c r="L590" s="98"/>
    </row>
    <row r="591" spans="1:12" ht="15.75" customHeight="1">
      <c r="A591" s="111"/>
      <c r="B591" s="111"/>
      <c r="C591" s="111"/>
      <c r="D591" s="111"/>
      <c r="E591" s="111"/>
      <c r="F591" s="111"/>
      <c r="G591" s="111"/>
      <c r="H591" s="111"/>
      <c r="I591" s="111"/>
      <c r="J591" s="112"/>
      <c r="K591" s="111"/>
      <c r="L591" s="98"/>
    </row>
    <row r="592" spans="1:12" ht="15.75" customHeight="1">
      <c r="A592" s="111"/>
      <c r="B592" s="111"/>
      <c r="C592" s="111"/>
      <c r="D592" s="111"/>
      <c r="E592" s="111"/>
      <c r="F592" s="111"/>
      <c r="G592" s="111"/>
      <c r="H592" s="111"/>
      <c r="I592" s="111"/>
      <c r="J592" s="112"/>
      <c r="K592" s="111"/>
      <c r="L592" s="98"/>
    </row>
    <row r="593" spans="1:12" ht="15.75" customHeight="1">
      <c r="A593" s="111"/>
      <c r="B593" s="111"/>
      <c r="C593" s="111"/>
      <c r="D593" s="111"/>
      <c r="E593" s="111"/>
      <c r="F593" s="111"/>
      <c r="G593" s="111"/>
      <c r="H593" s="111"/>
      <c r="I593" s="111"/>
      <c r="J593" s="112"/>
      <c r="K593" s="111"/>
      <c r="L593" s="98"/>
    </row>
    <row r="594" spans="1:12" ht="15.75" customHeight="1">
      <c r="A594" s="111"/>
      <c r="B594" s="111"/>
      <c r="C594" s="111"/>
      <c r="D594" s="111"/>
      <c r="E594" s="111"/>
      <c r="F594" s="111"/>
      <c r="G594" s="111"/>
      <c r="H594" s="111"/>
      <c r="I594" s="111"/>
      <c r="J594" s="112"/>
      <c r="K594" s="111"/>
      <c r="L594" s="98"/>
    </row>
    <row r="595" spans="1:12" ht="15.75" customHeight="1">
      <c r="A595" s="111"/>
      <c r="B595" s="111"/>
      <c r="C595" s="111"/>
      <c r="D595" s="111"/>
      <c r="E595" s="111"/>
      <c r="F595" s="111"/>
      <c r="G595" s="111"/>
      <c r="H595" s="111"/>
      <c r="I595" s="111"/>
      <c r="J595" s="112"/>
      <c r="K595" s="111"/>
      <c r="L595" s="98"/>
    </row>
    <row r="596" spans="1:12" ht="15.75" customHeight="1">
      <c r="A596" s="111"/>
      <c r="B596" s="111"/>
      <c r="C596" s="111"/>
      <c r="D596" s="111"/>
      <c r="E596" s="111"/>
      <c r="F596" s="111"/>
      <c r="G596" s="111"/>
      <c r="H596" s="111"/>
      <c r="I596" s="111"/>
      <c r="J596" s="112"/>
      <c r="K596" s="111"/>
      <c r="L596" s="98"/>
    </row>
    <row r="597" spans="1:12" ht="15.75" customHeight="1">
      <c r="A597" s="111"/>
      <c r="B597" s="111"/>
      <c r="C597" s="111"/>
      <c r="D597" s="111"/>
      <c r="E597" s="111"/>
      <c r="F597" s="111"/>
      <c r="G597" s="111"/>
      <c r="H597" s="111"/>
      <c r="I597" s="111"/>
      <c r="J597" s="112"/>
      <c r="K597" s="111"/>
      <c r="L597" s="98"/>
    </row>
    <row r="598" spans="1:12" ht="15.75" customHeight="1">
      <c r="A598" s="111"/>
      <c r="B598" s="111"/>
      <c r="C598" s="111"/>
      <c r="D598" s="111"/>
      <c r="E598" s="111"/>
      <c r="F598" s="111"/>
      <c r="G598" s="111"/>
      <c r="H598" s="111"/>
      <c r="I598" s="111"/>
      <c r="J598" s="112"/>
      <c r="K598" s="111"/>
      <c r="L598" s="98"/>
    </row>
    <row r="599" spans="1:12" ht="15.75" customHeight="1">
      <c r="A599" s="111"/>
      <c r="B599" s="111"/>
      <c r="C599" s="111"/>
      <c r="D599" s="111"/>
      <c r="E599" s="111"/>
      <c r="F599" s="111"/>
      <c r="G599" s="111"/>
      <c r="H599" s="111"/>
      <c r="I599" s="111"/>
      <c r="J599" s="112"/>
      <c r="K599" s="111"/>
      <c r="L599" s="98"/>
    </row>
    <row r="600" spans="1:12" ht="15.75" customHeight="1">
      <c r="A600" s="111"/>
      <c r="B600" s="111"/>
      <c r="C600" s="111"/>
      <c r="D600" s="111"/>
      <c r="E600" s="111"/>
      <c r="F600" s="111"/>
      <c r="G600" s="111"/>
      <c r="H600" s="111"/>
      <c r="I600" s="111"/>
      <c r="J600" s="112"/>
      <c r="K600" s="111"/>
      <c r="L600" s="98"/>
    </row>
    <row r="601" spans="1:12" ht="15.75" customHeight="1">
      <c r="A601" s="111"/>
      <c r="B601" s="111"/>
      <c r="C601" s="111"/>
      <c r="D601" s="111"/>
      <c r="E601" s="111"/>
      <c r="F601" s="111"/>
      <c r="G601" s="111"/>
      <c r="H601" s="111"/>
      <c r="I601" s="111"/>
      <c r="J601" s="112"/>
      <c r="K601" s="111"/>
      <c r="L601" s="98"/>
    </row>
    <row r="602" spans="1:12" ht="15.75" customHeight="1">
      <c r="A602" s="111"/>
      <c r="B602" s="111"/>
      <c r="C602" s="111"/>
      <c r="D602" s="111"/>
      <c r="E602" s="111"/>
      <c r="F602" s="111"/>
      <c r="G602" s="111"/>
      <c r="H602" s="111"/>
      <c r="I602" s="111"/>
      <c r="J602" s="112"/>
      <c r="K602" s="111"/>
      <c r="L602" s="98"/>
    </row>
    <row r="603" spans="1:12" ht="15.75" customHeight="1">
      <c r="A603" s="111"/>
      <c r="B603" s="111"/>
      <c r="C603" s="111"/>
      <c r="D603" s="111"/>
      <c r="E603" s="111"/>
      <c r="F603" s="111"/>
      <c r="G603" s="111"/>
      <c r="H603" s="111"/>
      <c r="I603" s="111"/>
      <c r="J603" s="112"/>
      <c r="K603" s="111"/>
      <c r="L603" s="98"/>
    </row>
    <row r="604" spans="1:12" ht="15.75" customHeight="1">
      <c r="A604" s="111"/>
      <c r="B604" s="111"/>
      <c r="C604" s="111"/>
      <c r="D604" s="111"/>
      <c r="E604" s="111"/>
      <c r="F604" s="111"/>
      <c r="G604" s="111"/>
      <c r="H604" s="111"/>
      <c r="I604" s="111"/>
      <c r="J604" s="112"/>
      <c r="K604" s="111"/>
      <c r="L604" s="98"/>
    </row>
    <row r="605" spans="1:12" ht="15.75" customHeight="1">
      <c r="A605" s="111"/>
      <c r="B605" s="111"/>
      <c r="C605" s="111"/>
      <c r="D605" s="111"/>
      <c r="E605" s="111"/>
      <c r="F605" s="111"/>
      <c r="G605" s="111"/>
      <c r="H605" s="111"/>
      <c r="I605" s="111"/>
      <c r="J605" s="112"/>
      <c r="K605" s="111"/>
      <c r="L605" s="98"/>
    </row>
    <row r="606" spans="1:12" ht="15.75" customHeight="1">
      <c r="A606" s="111"/>
      <c r="B606" s="111"/>
      <c r="C606" s="111"/>
      <c r="D606" s="111"/>
      <c r="E606" s="111"/>
      <c r="F606" s="111"/>
      <c r="G606" s="111"/>
      <c r="H606" s="111"/>
      <c r="I606" s="111"/>
      <c r="J606" s="112"/>
      <c r="K606" s="111"/>
      <c r="L606" s="98"/>
    </row>
    <row r="607" spans="1:12" ht="15.75" customHeight="1">
      <c r="A607" s="111"/>
      <c r="B607" s="111"/>
      <c r="C607" s="111"/>
      <c r="D607" s="111"/>
      <c r="E607" s="111"/>
      <c r="F607" s="111"/>
      <c r="G607" s="111"/>
      <c r="H607" s="111"/>
      <c r="I607" s="111"/>
      <c r="J607" s="112"/>
      <c r="K607" s="111"/>
      <c r="L607" s="98"/>
    </row>
    <row r="608" spans="1:12" ht="15.75" customHeight="1">
      <c r="A608" s="111"/>
      <c r="B608" s="111"/>
      <c r="C608" s="111"/>
      <c r="D608" s="111"/>
      <c r="E608" s="111"/>
      <c r="F608" s="111"/>
      <c r="G608" s="111"/>
      <c r="H608" s="111"/>
      <c r="I608" s="111"/>
      <c r="J608" s="112"/>
      <c r="K608" s="111"/>
      <c r="L608" s="98"/>
    </row>
    <row r="609" spans="1:12" ht="15.75" customHeight="1">
      <c r="A609" s="111"/>
      <c r="B609" s="111"/>
      <c r="C609" s="111"/>
      <c r="D609" s="111"/>
      <c r="E609" s="111"/>
      <c r="F609" s="111"/>
      <c r="G609" s="111"/>
      <c r="H609" s="111"/>
      <c r="I609" s="111"/>
      <c r="J609" s="112"/>
      <c r="K609" s="111"/>
      <c r="L609" s="98"/>
    </row>
    <row r="610" spans="1:12" ht="15.75" customHeight="1">
      <c r="A610" s="111"/>
      <c r="B610" s="111"/>
      <c r="C610" s="111"/>
      <c r="D610" s="111"/>
      <c r="E610" s="111"/>
      <c r="F610" s="111"/>
      <c r="G610" s="111"/>
      <c r="H610" s="111"/>
      <c r="I610" s="111"/>
      <c r="J610" s="112"/>
      <c r="K610" s="111"/>
      <c r="L610" s="98"/>
    </row>
    <row r="611" spans="1:12" ht="15.75" customHeight="1">
      <c r="A611" s="111"/>
      <c r="B611" s="111"/>
      <c r="C611" s="111"/>
      <c r="D611" s="111"/>
      <c r="E611" s="111"/>
      <c r="F611" s="111"/>
      <c r="G611" s="111"/>
      <c r="H611" s="111"/>
      <c r="I611" s="111"/>
      <c r="J611" s="112"/>
      <c r="K611" s="111"/>
      <c r="L611" s="98"/>
    </row>
    <row r="612" spans="1:12" ht="15.75" customHeight="1">
      <c r="A612" s="111"/>
      <c r="B612" s="111"/>
      <c r="C612" s="111"/>
      <c r="D612" s="111"/>
      <c r="E612" s="111"/>
      <c r="F612" s="111"/>
      <c r="G612" s="111"/>
      <c r="H612" s="111"/>
      <c r="I612" s="111"/>
      <c r="J612" s="112"/>
      <c r="K612" s="111"/>
      <c r="L612" s="98"/>
    </row>
    <row r="613" spans="1:12" ht="15.75" customHeight="1">
      <c r="A613" s="111"/>
      <c r="B613" s="111"/>
      <c r="C613" s="111"/>
      <c r="D613" s="111"/>
      <c r="E613" s="111"/>
      <c r="F613" s="111"/>
      <c r="G613" s="111"/>
      <c r="H613" s="111"/>
      <c r="I613" s="111"/>
      <c r="J613" s="112"/>
      <c r="K613" s="111"/>
      <c r="L613" s="98"/>
    </row>
    <row r="614" spans="1:12" ht="15.75" customHeight="1">
      <c r="A614" s="111"/>
      <c r="B614" s="111"/>
      <c r="C614" s="111"/>
      <c r="D614" s="111"/>
      <c r="E614" s="111"/>
      <c r="F614" s="111"/>
      <c r="G614" s="111"/>
      <c r="H614" s="111"/>
      <c r="I614" s="111"/>
      <c r="J614" s="112"/>
      <c r="K614" s="111"/>
      <c r="L614" s="98"/>
    </row>
    <row r="615" spans="1:12" ht="15.75" customHeight="1">
      <c r="A615" s="111"/>
      <c r="B615" s="111"/>
      <c r="C615" s="111"/>
      <c r="D615" s="111"/>
      <c r="E615" s="111"/>
      <c r="F615" s="111"/>
      <c r="G615" s="111"/>
      <c r="H615" s="111"/>
      <c r="I615" s="111"/>
      <c r="J615" s="112"/>
      <c r="K615" s="111"/>
      <c r="L615" s="98"/>
    </row>
    <row r="616" spans="1:12" ht="15.75" customHeight="1">
      <c r="A616" s="111"/>
      <c r="B616" s="111"/>
      <c r="C616" s="111"/>
      <c r="D616" s="111"/>
      <c r="E616" s="111"/>
      <c r="F616" s="111"/>
      <c r="G616" s="111"/>
      <c r="H616" s="111"/>
      <c r="I616" s="111"/>
      <c r="J616" s="112"/>
      <c r="K616" s="111"/>
      <c r="L616" s="98"/>
    </row>
    <row r="617" spans="1:12" ht="15.75" customHeight="1">
      <c r="A617" s="111"/>
      <c r="B617" s="111"/>
      <c r="C617" s="111"/>
      <c r="D617" s="111"/>
      <c r="E617" s="111"/>
      <c r="F617" s="111"/>
      <c r="G617" s="111"/>
      <c r="H617" s="111"/>
      <c r="I617" s="111"/>
      <c r="J617" s="112"/>
      <c r="K617" s="111"/>
      <c r="L617" s="98"/>
    </row>
    <row r="618" spans="1:12" ht="15.75" customHeight="1">
      <c r="A618" s="111"/>
      <c r="B618" s="111"/>
      <c r="C618" s="111"/>
      <c r="D618" s="111"/>
      <c r="E618" s="111"/>
      <c r="F618" s="111"/>
      <c r="G618" s="111"/>
      <c r="H618" s="111"/>
      <c r="I618" s="111"/>
      <c r="J618" s="112"/>
      <c r="K618" s="111"/>
      <c r="L618" s="98"/>
    </row>
    <row r="619" spans="1:12" ht="15.75" customHeight="1">
      <c r="A619" s="111"/>
      <c r="B619" s="111"/>
      <c r="C619" s="111"/>
      <c r="D619" s="111"/>
      <c r="E619" s="111"/>
      <c r="F619" s="111"/>
      <c r="G619" s="111"/>
      <c r="H619" s="111"/>
      <c r="I619" s="111"/>
      <c r="J619" s="112"/>
      <c r="K619" s="111"/>
      <c r="L619" s="98"/>
    </row>
    <row r="620" spans="1:12" ht="15.75" customHeight="1">
      <c r="A620" s="111"/>
      <c r="B620" s="111"/>
      <c r="C620" s="111"/>
      <c r="D620" s="111"/>
      <c r="E620" s="111"/>
      <c r="F620" s="111"/>
      <c r="G620" s="111"/>
      <c r="H620" s="111"/>
      <c r="I620" s="111"/>
      <c r="J620" s="112"/>
      <c r="K620" s="111"/>
      <c r="L620" s="98"/>
    </row>
    <row r="621" spans="1:12" ht="15.75" customHeight="1">
      <c r="A621" s="111"/>
      <c r="B621" s="111"/>
      <c r="C621" s="111"/>
      <c r="D621" s="111"/>
      <c r="E621" s="111"/>
      <c r="F621" s="111"/>
      <c r="G621" s="111"/>
      <c r="H621" s="111"/>
      <c r="I621" s="111"/>
      <c r="J621" s="112"/>
      <c r="K621" s="111"/>
      <c r="L621" s="98"/>
    </row>
    <row r="622" spans="1:12" ht="15.75" customHeight="1">
      <c r="A622" s="111"/>
      <c r="B622" s="111"/>
      <c r="C622" s="111"/>
      <c r="D622" s="111"/>
      <c r="E622" s="111"/>
      <c r="F622" s="111"/>
      <c r="G622" s="111"/>
      <c r="H622" s="111"/>
      <c r="I622" s="111"/>
      <c r="J622" s="112"/>
      <c r="K622" s="111"/>
      <c r="L622" s="98"/>
    </row>
    <row r="623" spans="1:12" ht="15.75" customHeight="1">
      <c r="A623" s="111"/>
      <c r="B623" s="111"/>
      <c r="C623" s="111"/>
      <c r="D623" s="111"/>
      <c r="E623" s="111"/>
      <c r="F623" s="111"/>
      <c r="G623" s="111"/>
      <c r="H623" s="111"/>
      <c r="I623" s="111"/>
      <c r="J623" s="112"/>
      <c r="K623" s="111"/>
      <c r="L623" s="98"/>
    </row>
    <row r="624" spans="1:12" ht="15.75" customHeight="1">
      <c r="A624" s="111"/>
      <c r="B624" s="111"/>
      <c r="C624" s="111"/>
      <c r="D624" s="111"/>
      <c r="E624" s="111"/>
      <c r="F624" s="111"/>
      <c r="G624" s="111"/>
      <c r="H624" s="111"/>
      <c r="I624" s="111"/>
      <c r="J624" s="112"/>
      <c r="K624" s="111"/>
      <c r="L624" s="98"/>
    </row>
    <row r="625" spans="1:12" ht="15.75" customHeight="1">
      <c r="A625" s="111"/>
      <c r="B625" s="111"/>
      <c r="C625" s="111"/>
      <c r="D625" s="111"/>
      <c r="E625" s="111"/>
      <c r="F625" s="111"/>
      <c r="G625" s="111"/>
      <c r="H625" s="111"/>
      <c r="I625" s="111"/>
      <c r="J625" s="112"/>
      <c r="K625" s="111"/>
      <c r="L625" s="98"/>
    </row>
    <row r="626" spans="1:12" ht="15.75" customHeight="1">
      <c r="A626" s="111"/>
      <c r="B626" s="111"/>
      <c r="C626" s="111"/>
      <c r="D626" s="111"/>
      <c r="E626" s="111"/>
      <c r="F626" s="111"/>
      <c r="G626" s="111"/>
      <c r="H626" s="111"/>
      <c r="I626" s="111"/>
      <c r="J626" s="112"/>
      <c r="K626" s="111"/>
      <c r="L626" s="98"/>
    </row>
    <row r="627" spans="1:12" ht="15.75" customHeight="1">
      <c r="A627" s="111"/>
      <c r="B627" s="111"/>
      <c r="C627" s="111"/>
      <c r="D627" s="111"/>
      <c r="E627" s="111"/>
      <c r="F627" s="111"/>
      <c r="G627" s="111"/>
      <c r="H627" s="111"/>
      <c r="I627" s="111"/>
      <c r="J627" s="112"/>
      <c r="K627" s="111"/>
      <c r="L627" s="98"/>
    </row>
    <row r="628" spans="1:12" ht="15.75" customHeight="1">
      <c r="A628" s="111"/>
      <c r="B628" s="111"/>
      <c r="C628" s="111"/>
      <c r="D628" s="111"/>
      <c r="E628" s="111"/>
      <c r="F628" s="111"/>
      <c r="G628" s="111"/>
      <c r="H628" s="111"/>
      <c r="I628" s="111"/>
      <c r="J628" s="112"/>
      <c r="K628" s="111"/>
      <c r="L628" s="98"/>
    </row>
    <row r="629" spans="1:12" ht="15.75" customHeight="1">
      <c r="A629" s="111"/>
      <c r="B629" s="111"/>
      <c r="C629" s="111"/>
      <c r="D629" s="111"/>
      <c r="E629" s="111"/>
      <c r="F629" s="111"/>
      <c r="G629" s="111"/>
      <c r="H629" s="111"/>
      <c r="I629" s="111"/>
      <c r="J629" s="112"/>
      <c r="K629" s="111"/>
      <c r="L629" s="98"/>
    </row>
    <row r="630" spans="1:12" ht="15.75" customHeight="1">
      <c r="A630" s="111"/>
      <c r="B630" s="111"/>
      <c r="C630" s="111"/>
      <c r="D630" s="111"/>
      <c r="E630" s="111"/>
      <c r="F630" s="111"/>
      <c r="G630" s="111"/>
      <c r="H630" s="111"/>
      <c r="I630" s="111"/>
      <c r="J630" s="112"/>
      <c r="K630" s="111"/>
      <c r="L630" s="98"/>
    </row>
    <row r="631" spans="1:12" ht="15.75" customHeight="1">
      <c r="A631" s="111"/>
      <c r="B631" s="111"/>
      <c r="C631" s="111"/>
      <c r="D631" s="111"/>
      <c r="E631" s="111"/>
      <c r="F631" s="111"/>
      <c r="G631" s="111"/>
      <c r="H631" s="111"/>
      <c r="I631" s="111"/>
      <c r="J631" s="112"/>
      <c r="K631" s="111"/>
      <c r="L631" s="98"/>
    </row>
    <row r="632" spans="1:12" ht="15.75" customHeight="1">
      <c r="A632" s="111"/>
      <c r="B632" s="111"/>
      <c r="C632" s="111"/>
      <c r="D632" s="111"/>
      <c r="E632" s="111"/>
      <c r="F632" s="111"/>
      <c r="G632" s="111"/>
      <c r="H632" s="111"/>
      <c r="I632" s="111"/>
      <c r="J632" s="112"/>
      <c r="K632" s="111"/>
      <c r="L632" s="98"/>
    </row>
    <row r="633" spans="1:12" ht="15.75" customHeight="1">
      <c r="A633" s="111"/>
      <c r="B633" s="111"/>
      <c r="C633" s="111"/>
      <c r="D633" s="111"/>
      <c r="E633" s="111"/>
      <c r="F633" s="111"/>
      <c r="G633" s="111"/>
      <c r="H633" s="111"/>
      <c r="I633" s="111"/>
      <c r="J633" s="112"/>
      <c r="K633" s="111"/>
      <c r="L633" s="98"/>
    </row>
    <row r="634" spans="1:12" ht="15.75" customHeight="1">
      <c r="A634" s="111"/>
      <c r="B634" s="111"/>
      <c r="C634" s="111"/>
      <c r="D634" s="111"/>
      <c r="E634" s="111"/>
      <c r="F634" s="111"/>
      <c r="G634" s="111"/>
      <c r="H634" s="111"/>
      <c r="I634" s="111"/>
      <c r="J634" s="112"/>
      <c r="K634" s="111"/>
      <c r="L634" s="98"/>
    </row>
    <row r="635" spans="1:12" ht="15.75" customHeight="1">
      <c r="A635" s="111"/>
      <c r="B635" s="111"/>
      <c r="C635" s="111"/>
      <c r="D635" s="111"/>
      <c r="E635" s="111"/>
      <c r="F635" s="111"/>
      <c r="G635" s="111"/>
      <c r="H635" s="111"/>
      <c r="I635" s="111"/>
      <c r="J635" s="112"/>
      <c r="K635" s="111"/>
      <c r="L635" s="98"/>
    </row>
    <row r="636" spans="1:12" ht="15.75" customHeight="1">
      <c r="A636" s="111"/>
      <c r="B636" s="111"/>
      <c r="C636" s="111"/>
      <c r="D636" s="111"/>
      <c r="E636" s="111"/>
      <c r="F636" s="111"/>
      <c r="G636" s="111"/>
      <c r="H636" s="111"/>
      <c r="I636" s="111"/>
      <c r="J636" s="112"/>
      <c r="K636" s="111"/>
      <c r="L636" s="98"/>
    </row>
    <row r="637" spans="1:12" ht="15.75" customHeight="1">
      <c r="A637" s="111"/>
      <c r="B637" s="111"/>
      <c r="C637" s="111"/>
      <c r="D637" s="111"/>
      <c r="E637" s="111"/>
      <c r="F637" s="111"/>
      <c r="G637" s="111"/>
      <c r="H637" s="111"/>
      <c r="I637" s="111"/>
      <c r="J637" s="112"/>
      <c r="K637" s="111"/>
      <c r="L637" s="98"/>
    </row>
    <row r="638" spans="1:12" ht="15.75" customHeight="1">
      <c r="A638" s="111"/>
      <c r="B638" s="111"/>
      <c r="C638" s="111"/>
      <c r="D638" s="111"/>
      <c r="E638" s="111"/>
      <c r="F638" s="111"/>
      <c r="G638" s="111"/>
      <c r="H638" s="111"/>
      <c r="I638" s="111"/>
      <c r="J638" s="112"/>
      <c r="K638" s="111"/>
      <c r="L638" s="98"/>
    </row>
    <row r="639" spans="1:12" ht="15.75" customHeight="1">
      <c r="A639" s="111"/>
      <c r="B639" s="111"/>
      <c r="C639" s="111"/>
      <c r="D639" s="111"/>
      <c r="E639" s="111"/>
      <c r="F639" s="111"/>
      <c r="G639" s="111"/>
      <c r="H639" s="111"/>
      <c r="I639" s="111"/>
      <c r="J639" s="112"/>
      <c r="K639" s="111"/>
      <c r="L639" s="98"/>
    </row>
    <row r="640" spans="1:12" ht="15.75" customHeight="1">
      <c r="A640" s="111"/>
      <c r="B640" s="111"/>
      <c r="C640" s="111"/>
      <c r="D640" s="111"/>
      <c r="E640" s="111"/>
      <c r="F640" s="111"/>
      <c r="G640" s="111"/>
      <c r="H640" s="111"/>
      <c r="I640" s="111"/>
      <c r="J640" s="112"/>
      <c r="K640" s="111"/>
      <c r="L640" s="98"/>
    </row>
    <row r="641" spans="1:12" ht="15.75" customHeight="1">
      <c r="A641" s="111"/>
      <c r="B641" s="111"/>
      <c r="C641" s="111"/>
      <c r="D641" s="111"/>
      <c r="E641" s="111"/>
      <c r="F641" s="111"/>
      <c r="G641" s="111"/>
      <c r="H641" s="111"/>
      <c r="I641" s="111"/>
      <c r="J641" s="112"/>
      <c r="K641" s="111"/>
      <c r="L641" s="98"/>
    </row>
    <row r="642" spans="1:12" ht="15.75" customHeight="1">
      <c r="A642" s="111"/>
      <c r="B642" s="111"/>
      <c r="C642" s="111"/>
      <c r="D642" s="111"/>
      <c r="E642" s="111"/>
      <c r="F642" s="111"/>
      <c r="G642" s="111"/>
      <c r="H642" s="111"/>
      <c r="I642" s="111"/>
      <c r="J642" s="112"/>
      <c r="K642" s="111"/>
      <c r="L642" s="98"/>
    </row>
    <row r="643" spans="1:12" ht="15.75" customHeight="1">
      <c r="A643" s="111"/>
      <c r="B643" s="111"/>
      <c r="C643" s="111"/>
      <c r="D643" s="111"/>
      <c r="E643" s="111"/>
      <c r="F643" s="111"/>
      <c r="G643" s="111"/>
      <c r="H643" s="111"/>
      <c r="I643" s="111"/>
      <c r="J643" s="112"/>
      <c r="K643" s="111"/>
      <c r="L643" s="98"/>
    </row>
    <row r="644" spans="1:12" ht="15.75" customHeight="1">
      <c r="A644" s="111"/>
      <c r="B644" s="111"/>
      <c r="C644" s="111"/>
      <c r="D644" s="111"/>
      <c r="E644" s="111"/>
      <c r="F644" s="111"/>
      <c r="G644" s="111"/>
      <c r="H644" s="111"/>
      <c r="I644" s="111"/>
      <c r="J644" s="112"/>
      <c r="K644" s="111"/>
      <c r="L644" s="98"/>
    </row>
    <row r="645" spans="1:12" ht="15.75" customHeight="1">
      <c r="A645" s="111"/>
      <c r="B645" s="111"/>
      <c r="C645" s="111"/>
      <c r="D645" s="111"/>
      <c r="E645" s="111"/>
      <c r="F645" s="111"/>
      <c r="G645" s="111"/>
      <c r="H645" s="111"/>
      <c r="I645" s="111"/>
      <c r="J645" s="112"/>
      <c r="K645" s="111"/>
      <c r="L645" s="98"/>
    </row>
    <row r="646" spans="1:12" ht="15.75" customHeight="1">
      <c r="A646" s="111"/>
      <c r="B646" s="111"/>
      <c r="C646" s="111"/>
      <c r="D646" s="111"/>
      <c r="E646" s="111"/>
      <c r="F646" s="111"/>
      <c r="G646" s="111"/>
      <c r="H646" s="111"/>
      <c r="I646" s="111"/>
      <c r="J646" s="112"/>
      <c r="K646" s="111"/>
      <c r="L646" s="98"/>
    </row>
    <row r="647" spans="1:12" ht="15.75" customHeight="1">
      <c r="A647" s="111"/>
      <c r="B647" s="111"/>
      <c r="C647" s="111"/>
      <c r="D647" s="111"/>
      <c r="E647" s="111"/>
      <c r="F647" s="111"/>
      <c r="G647" s="111"/>
      <c r="H647" s="111"/>
      <c r="I647" s="111"/>
      <c r="J647" s="112"/>
      <c r="K647" s="111"/>
      <c r="L647" s="98"/>
    </row>
    <row r="648" spans="1:12" ht="15.75" customHeight="1">
      <c r="A648" s="111"/>
      <c r="B648" s="111"/>
      <c r="C648" s="111"/>
      <c r="D648" s="111"/>
      <c r="E648" s="111"/>
      <c r="F648" s="111"/>
      <c r="G648" s="111"/>
      <c r="H648" s="111"/>
      <c r="I648" s="111"/>
      <c r="J648" s="112"/>
      <c r="K648" s="111"/>
      <c r="L648" s="98"/>
    </row>
    <row r="649" spans="1:12" ht="15.75" customHeight="1">
      <c r="A649" s="111"/>
      <c r="B649" s="111"/>
      <c r="C649" s="111"/>
      <c r="D649" s="111"/>
      <c r="E649" s="111"/>
      <c r="F649" s="111"/>
      <c r="G649" s="111"/>
      <c r="H649" s="111"/>
      <c r="I649" s="111"/>
      <c r="J649" s="112"/>
      <c r="K649" s="111"/>
      <c r="L649" s="98"/>
    </row>
    <row r="650" spans="1:12" ht="15.75" customHeight="1">
      <c r="A650" s="111"/>
      <c r="B650" s="111"/>
      <c r="C650" s="111"/>
      <c r="D650" s="111"/>
      <c r="E650" s="111"/>
      <c r="F650" s="111"/>
      <c r="G650" s="111"/>
      <c r="H650" s="111"/>
      <c r="I650" s="111"/>
      <c r="J650" s="112"/>
      <c r="K650" s="111"/>
      <c r="L650" s="98"/>
    </row>
    <row r="651" spans="1:12" ht="15.75" customHeight="1">
      <c r="A651" s="111"/>
      <c r="B651" s="111"/>
      <c r="C651" s="111"/>
      <c r="D651" s="111"/>
      <c r="E651" s="111"/>
      <c r="F651" s="111"/>
      <c r="G651" s="111"/>
      <c r="H651" s="111"/>
      <c r="I651" s="111"/>
      <c r="J651" s="112"/>
      <c r="K651" s="111"/>
      <c r="L651" s="98"/>
    </row>
    <row r="652" spans="1:12" ht="15.75" customHeight="1">
      <c r="A652" s="111"/>
      <c r="B652" s="111"/>
      <c r="C652" s="111"/>
      <c r="D652" s="111"/>
      <c r="E652" s="111"/>
      <c r="F652" s="111"/>
      <c r="G652" s="111"/>
      <c r="H652" s="111"/>
      <c r="I652" s="111"/>
      <c r="J652" s="112"/>
      <c r="K652" s="111"/>
      <c r="L652" s="98"/>
    </row>
    <row r="653" spans="1:12" ht="15.75" customHeight="1">
      <c r="A653" s="111"/>
      <c r="B653" s="111"/>
      <c r="C653" s="111"/>
      <c r="D653" s="111"/>
      <c r="E653" s="111"/>
      <c r="F653" s="111"/>
      <c r="G653" s="111"/>
      <c r="H653" s="111"/>
      <c r="I653" s="111"/>
      <c r="J653" s="112"/>
      <c r="K653" s="111"/>
      <c r="L653" s="98"/>
    </row>
    <row r="654" spans="1:12" ht="15.75" customHeight="1">
      <c r="A654" s="111"/>
      <c r="B654" s="111"/>
      <c r="C654" s="111"/>
      <c r="D654" s="111"/>
      <c r="E654" s="111"/>
      <c r="F654" s="111"/>
      <c r="G654" s="111"/>
      <c r="H654" s="111"/>
      <c r="I654" s="111"/>
      <c r="J654" s="112"/>
      <c r="K654" s="111"/>
      <c r="L654" s="98"/>
    </row>
    <row r="655" spans="1:12" ht="15.75" customHeight="1">
      <c r="A655" s="111"/>
      <c r="B655" s="111"/>
      <c r="C655" s="111"/>
      <c r="D655" s="111"/>
      <c r="E655" s="111"/>
      <c r="F655" s="111"/>
      <c r="G655" s="111"/>
      <c r="H655" s="111"/>
      <c r="I655" s="111"/>
      <c r="J655" s="112"/>
      <c r="K655" s="111"/>
      <c r="L655" s="98"/>
    </row>
    <row r="656" spans="1:12" ht="15.75" customHeight="1">
      <c r="A656" s="111"/>
      <c r="B656" s="111"/>
      <c r="C656" s="111"/>
      <c r="D656" s="111"/>
      <c r="E656" s="111"/>
      <c r="F656" s="111"/>
      <c r="G656" s="111"/>
      <c r="H656" s="111"/>
      <c r="I656" s="111"/>
      <c r="J656" s="112"/>
      <c r="K656" s="111"/>
      <c r="L656" s="98"/>
    </row>
    <row r="657" spans="1:12" ht="15.75" customHeight="1">
      <c r="A657" s="111"/>
      <c r="B657" s="111"/>
      <c r="C657" s="111"/>
      <c r="D657" s="111"/>
      <c r="E657" s="111"/>
      <c r="F657" s="111"/>
      <c r="G657" s="111"/>
      <c r="H657" s="111"/>
      <c r="I657" s="111"/>
      <c r="J657" s="112"/>
      <c r="K657" s="111"/>
      <c r="L657" s="98"/>
    </row>
    <row r="658" spans="1:12" ht="15.75" customHeight="1">
      <c r="A658" s="111"/>
      <c r="B658" s="111"/>
      <c r="C658" s="111"/>
      <c r="D658" s="111"/>
      <c r="E658" s="111"/>
      <c r="F658" s="111"/>
      <c r="G658" s="111"/>
      <c r="H658" s="111"/>
      <c r="I658" s="111"/>
      <c r="J658" s="112"/>
      <c r="K658" s="111"/>
      <c r="L658" s="98"/>
    </row>
    <row r="659" spans="1:12" ht="15.75" customHeight="1">
      <c r="A659" s="111"/>
      <c r="B659" s="111"/>
      <c r="C659" s="111"/>
      <c r="D659" s="111"/>
      <c r="E659" s="111"/>
      <c r="F659" s="111"/>
      <c r="G659" s="111"/>
      <c r="H659" s="111"/>
      <c r="I659" s="111"/>
      <c r="J659" s="112"/>
      <c r="K659" s="111"/>
      <c r="L659" s="98"/>
    </row>
    <row r="660" spans="1:12" ht="15.75" customHeight="1">
      <c r="A660" s="111"/>
      <c r="B660" s="111"/>
      <c r="C660" s="111"/>
      <c r="D660" s="111"/>
      <c r="E660" s="111"/>
      <c r="F660" s="111"/>
      <c r="G660" s="111"/>
      <c r="H660" s="111"/>
      <c r="I660" s="111"/>
      <c r="J660" s="112"/>
      <c r="K660" s="111"/>
      <c r="L660" s="98"/>
    </row>
    <row r="661" spans="1:12" ht="15.75" customHeight="1">
      <c r="A661" s="111"/>
      <c r="B661" s="111"/>
      <c r="C661" s="111"/>
      <c r="D661" s="111"/>
      <c r="E661" s="111"/>
      <c r="F661" s="111"/>
      <c r="G661" s="111"/>
      <c r="H661" s="111"/>
      <c r="I661" s="111"/>
      <c r="J661" s="112"/>
      <c r="K661" s="111"/>
      <c r="L661" s="98"/>
    </row>
    <row r="662" spans="1:12" ht="15.75" customHeight="1">
      <c r="A662" s="111"/>
      <c r="B662" s="111"/>
      <c r="C662" s="111"/>
      <c r="D662" s="111"/>
      <c r="E662" s="111"/>
      <c r="F662" s="111"/>
      <c r="G662" s="111"/>
      <c r="H662" s="111"/>
      <c r="I662" s="111"/>
      <c r="J662" s="112"/>
      <c r="K662" s="111"/>
      <c r="L662" s="98"/>
    </row>
    <row r="663" spans="1:12" ht="15.75" customHeight="1">
      <c r="A663" s="111"/>
      <c r="B663" s="111"/>
      <c r="C663" s="111"/>
      <c r="D663" s="111"/>
      <c r="E663" s="111"/>
      <c r="F663" s="111"/>
      <c r="G663" s="111"/>
      <c r="H663" s="111"/>
      <c r="I663" s="111"/>
      <c r="J663" s="112"/>
      <c r="K663" s="111"/>
      <c r="L663" s="98"/>
    </row>
    <row r="664" spans="1:12" ht="15.75" customHeight="1">
      <c r="A664" s="111"/>
      <c r="B664" s="111"/>
      <c r="C664" s="111"/>
      <c r="D664" s="111"/>
      <c r="E664" s="111"/>
      <c r="F664" s="111"/>
      <c r="G664" s="111"/>
      <c r="H664" s="111"/>
      <c r="I664" s="111"/>
      <c r="J664" s="112"/>
      <c r="K664" s="111"/>
      <c r="L664" s="98"/>
    </row>
    <row r="665" spans="1:12" ht="15.75" customHeight="1">
      <c r="A665" s="111"/>
      <c r="B665" s="111"/>
      <c r="C665" s="111"/>
      <c r="D665" s="111"/>
      <c r="E665" s="111"/>
      <c r="F665" s="111"/>
      <c r="G665" s="111"/>
      <c r="H665" s="111"/>
      <c r="I665" s="111"/>
      <c r="J665" s="112"/>
      <c r="K665" s="111"/>
      <c r="L665" s="98"/>
    </row>
    <row r="666" spans="1:12" ht="15.75" customHeight="1">
      <c r="A666" s="111"/>
      <c r="B666" s="111"/>
      <c r="C666" s="111"/>
      <c r="D666" s="111"/>
      <c r="E666" s="111"/>
      <c r="F666" s="111"/>
      <c r="G666" s="111"/>
      <c r="H666" s="111"/>
      <c r="I666" s="111"/>
      <c r="J666" s="112"/>
      <c r="K666" s="111"/>
      <c r="L666" s="98"/>
    </row>
    <row r="667" spans="1:12" ht="15.75" customHeight="1">
      <c r="A667" s="111"/>
      <c r="B667" s="111"/>
      <c r="C667" s="111"/>
      <c r="D667" s="111"/>
      <c r="E667" s="111"/>
      <c r="F667" s="111"/>
      <c r="G667" s="111"/>
      <c r="H667" s="111"/>
      <c r="I667" s="111"/>
      <c r="J667" s="112"/>
      <c r="K667" s="111"/>
      <c r="L667" s="98"/>
    </row>
    <row r="668" spans="1:12" ht="15.75" customHeight="1">
      <c r="A668" s="111"/>
      <c r="B668" s="111"/>
      <c r="C668" s="111"/>
      <c r="D668" s="111"/>
      <c r="E668" s="111"/>
      <c r="F668" s="111"/>
      <c r="G668" s="111"/>
      <c r="H668" s="111"/>
      <c r="I668" s="111"/>
      <c r="J668" s="112"/>
      <c r="K668" s="111"/>
      <c r="L668" s="98"/>
    </row>
    <row r="669" spans="1:12" ht="15.75" customHeight="1">
      <c r="A669" s="111"/>
      <c r="B669" s="111"/>
      <c r="C669" s="111"/>
      <c r="D669" s="111"/>
      <c r="E669" s="111"/>
      <c r="F669" s="111"/>
      <c r="G669" s="111"/>
      <c r="H669" s="111"/>
      <c r="I669" s="111"/>
      <c r="J669" s="112"/>
      <c r="K669" s="111"/>
      <c r="L669" s="98"/>
    </row>
    <row r="670" spans="1:12" ht="15.75" customHeight="1">
      <c r="A670" s="111"/>
      <c r="B670" s="111"/>
      <c r="C670" s="111"/>
      <c r="D670" s="111"/>
      <c r="E670" s="111"/>
      <c r="F670" s="111"/>
      <c r="G670" s="111"/>
      <c r="H670" s="111"/>
      <c r="I670" s="111"/>
      <c r="J670" s="112"/>
      <c r="K670" s="111"/>
      <c r="L670" s="98"/>
    </row>
    <row r="671" spans="1:12" ht="15.75" customHeight="1">
      <c r="A671" s="111"/>
      <c r="B671" s="111"/>
      <c r="C671" s="111"/>
      <c r="D671" s="111"/>
      <c r="E671" s="111"/>
      <c r="F671" s="111"/>
      <c r="G671" s="111"/>
      <c r="H671" s="111"/>
      <c r="I671" s="111"/>
      <c r="J671" s="112"/>
      <c r="K671" s="111"/>
      <c r="L671" s="98"/>
    </row>
    <row r="672" spans="1:12" ht="15.75" customHeight="1">
      <c r="A672" s="111"/>
      <c r="B672" s="111"/>
      <c r="C672" s="111"/>
      <c r="D672" s="111"/>
      <c r="E672" s="111"/>
      <c r="F672" s="111"/>
      <c r="G672" s="111"/>
      <c r="H672" s="111"/>
      <c r="I672" s="111"/>
      <c r="J672" s="112"/>
      <c r="K672" s="111"/>
      <c r="L672" s="98"/>
    </row>
    <row r="673" spans="1:12" ht="15.75" customHeight="1">
      <c r="A673" s="111"/>
      <c r="B673" s="111"/>
      <c r="C673" s="111"/>
      <c r="D673" s="111"/>
      <c r="E673" s="111"/>
      <c r="F673" s="111"/>
      <c r="G673" s="111"/>
      <c r="H673" s="111"/>
      <c r="I673" s="111"/>
      <c r="J673" s="112"/>
      <c r="K673" s="111"/>
      <c r="L673" s="98"/>
    </row>
    <row r="674" spans="1:12" ht="15.75" customHeight="1">
      <c r="A674" s="111"/>
      <c r="B674" s="111"/>
      <c r="C674" s="111"/>
      <c r="D674" s="111"/>
      <c r="E674" s="111"/>
      <c r="F674" s="111"/>
      <c r="G674" s="111"/>
      <c r="H674" s="111"/>
      <c r="I674" s="111"/>
      <c r="J674" s="112"/>
      <c r="K674" s="111"/>
      <c r="L674" s="98"/>
    </row>
    <row r="675" spans="1:12" ht="15.75" customHeight="1">
      <c r="A675" s="111"/>
      <c r="B675" s="111"/>
      <c r="C675" s="111"/>
      <c r="D675" s="111"/>
      <c r="E675" s="111"/>
      <c r="F675" s="111"/>
      <c r="G675" s="111"/>
      <c r="H675" s="111"/>
      <c r="I675" s="111"/>
      <c r="J675" s="112"/>
      <c r="K675" s="111"/>
      <c r="L675" s="98"/>
    </row>
    <row r="676" spans="1:12" ht="15.75" customHeight="1">
      <c r="A676" s="111"/>
      <c r="B676" s="111"/>
      <c r="C676" s="111"/>
      <c r="D676" s="111"/>
      <c r="E676" s="111"/>
      <c r="F676" s="111"/>
      <c r="G676" s="111"/>
      <c r="H676" s="111"/>
      <c r="I676" s="111"/>
      <c r="J676" s="112"/>
      <c r="K676" s="111"/>
      <c r="L676" s="98"/>
    </row>
    <row r="677" spans="1:12" ht="15.75" customHeight="1">
      <c r="A677" s="111"/>
      <c r="B677" s="111"/>
      <c r="C677" s="111"/>
      <c r="D677" s="111"/>
      <c r="E677" s="111"/>
      <c r="F677" s="111"/>
      <c r="G677" s="111"/>
      <c r="H677" s="111"/>
      <c r="I677" s="111"/>
      <c r="J677" s="112"/>
      <c r="K677" s="111"/>
      <c r="L677" s="98"/>
    </row>
    <row r="678" spans="1:12" ht="15.75" customHeight="1">
      <c r="A678" s="111"/>
      <c r="B678" s="111"/>
      <c r="C678" s="111"/>
      <c r="D678" s="111"/>
      <c r="E678" s="111"/>
      <c r="F678" s="111"/>
      <c r="G678" s="111"/>
      <c r="H678" s="111"/>
      <c r="I678" s="111"/>
      <c r="J678" s="112"/>
      <c r="K678" s="111"/>
      <c r="L678" s="98"/>
    </row>
    <row r="679" spans="1:12" ht="15.75" customHeight="1">
      <c r="A679" s="111"/>
      <c r="B679" s="111"/>
      <c r="C679" s="111"/>
      <c r="D679" s="111"/>
      <c r="E679" s="111"/>
      <c r="F679" s="111"/>
      <c r="G679" s="111"/>
      <c r="H679" s="111"/>
      <c r="I679" s="111"/>
      <c r="J679" s="112"/>
      <c r="K679" s="111"/>
      <c r="L679" s="98"/>
    </row>
    <row r="680" spans="1:12" ht="15.75" customHeight="1">
      <c r="A680" s="111"/>
      <c r="B680" s="111"/>
      <c r="C680" s="111"/>
      <c r="D680" s="111"/>
      <c r="E680" s="111"/>
      <c r="F680" s="111"/>
      <c r="G680" s="111"/>
      <c r="H680" s="111"/>
      <c r="I680" s="111"/>
      <c r="J680" s="112"/>
      <c r="K680" s="111"/>
      <c r="L680" s="98"/>
    </row>
    <row r="681" spans="1:12" ht="15.75" customHeight="1">
      <c r="A681" s="111"/>
      <c r="B681" s="111"/>
      <c r="C681" s="111"/>
      <c r="D681" s="111"/>
      <c r="E681" s="111"/>
      <c r="F681" s="111"/>
      <c r="G681" s="111"/>
      <c r="H681" s="111"/>
      <c r="I681" s="111"/>
      <c r="J681" s="112"/>
      <c r="K681" s="111"/>
      <c r="L681" s="98"/>
    </row>
    <row r="682" spans="1:12" ht="15.75" customHeight="1">
      <c r="A682" s="111"/>
      <c r="B682" s="111"/>
      <c r="C682" s="111"/>
      <c r="D682" s="111"/>
      <c r="E682" s="111"/>
      <c r="F682" s="111"/>
      <c r="G682" s="111"/>
      <c r="H682" s="111"/>
      <c r="I682" s="111"/>
      <c r="J682" s="112"/>
      <c r="K682" s="111"/>
      <c r="L682" s="98"/>
    </row>
    <row r="683" spans="1:12" ht="15.75" customHeight="1">
      <c r="A683" s="111"/>
      <c r="B683" s="111"/>
      <c r="C683" s="111"/>
      <c r="D683" s="111"/>
      <c r="E683" s="111"/>
      <c r="F683" s="111"/>
      <c r="G683" s="111"/>
      <c r="H683" s="111"/>
      <c r="I683" s="111"/>
      <c r="J683" s="112"/>
      <c r="K683" s="111"/>
      <c r="L683" s="98"/>
    </row>
    <row r="684" spans="1:12" ht="15.75" customHeight="1">
      <c r="A684" s="111"/>
      <c r="B684" s="111"/>
      <c r="C684" s="111"/>
      <c r="D684" s="111"/>
      <c r="E684" s="111"/>
      <c r="F684" s="111"/>
      <c r="G684" s="111"/>
      <c r="H684" s="111"/>
      <c r="I684" s="111"/>
      <c r="J684" s="112"/>
      <c r="K684" s="111"/>
      <c r="L684" s="98"/>
    </row>
    <row r="685" spans="1:12" ht="15.75" customHeight="1">
      <c r="A685" s="111"/>
      <c r="B685" s="111"/>
      <c r="C685" s="111"/>
      <c r="D685" s="111"/>
      <c r="E685" s="111"/>
      <c r="F685" s="111"/>
      <c r="G685" s="111"/>
      <c r="H685" s="111"/>
      <c r="I685" s="111"/>
      <c r="J685" s="112"/>
      <c r="K685" s="111"/>
      <c r="L685" s="98"/>
    </row>
    <row r="686" spans="1:12" ht="15.75" customHeight="1">
      <c r="A686" s="111"/>
      <c r="B686" s="111"/>
      <c r="C686" s="111"/>
      <c r="D686" s="111"/>
      <c r="E686" s="111"/>
      <c r="F686" s="111"/>
      <c r="G686" s="111"/>
      <c r="H686" s="111"/>
      <c r="I686" s="111"/>
      <c r="J686" s="112"/>
      <c r="K686" s="111"/>
      <c r="L686" s="98"/>
    </row>
    <row r="687" spans="1:12" ht="15.75" customHeight="1">
      <c r="A687" s="111"/>
      <c r="B687" s="111"/>
      <c r="C687" s="111"/>
      <c r="D687" s="111"/>
      <c r="E687" s="111"/>
      <c r="F687" s="111"/>
      <c r="G687" s="111"/>
      <c r="H687" s="111"/>
      <c r="I687" s="111"/>
      <c r="J687" s="112"/>
      <c r="K687" s="111"/>
      <c r="L687" s="98"/>
    </row>
    <row r="688" spans="1:12" ht="15.75" customHeight="1">
      <c r="A688" s="111"/>
      <c r="B688" s="111"/>
      <c r="C688" s="111"/>
      <c r="D688" s="111"/>
      <c r="E688" s="111"/>
      <c r="F688" s="111"/>
      <c r="G688" s="111"/>
      <c r="H688" s="111"/>
      <c r="I688" s="111"/>
      <c r="J688" s="112"/>
      <c r="K688" s="111"/>
      <c r="L688" s="98"/>
    </row>
    <row r="689" spans="1:12" ht="15.75" customHeight="1">
      <c r="A689" s="111"/>
      <c r="B689" s="111"/>
      <c r="C689" s="111"/>
      <c r="D689" s="111"/>
      <c r="E689" s="111"/>
      <c r="F689" s="111"/>
      <c r="G689" s="111"/>
      <c r="H689" s="111"/>
      <c r="I689" s="111"/>
      <c r="J689" s="112"/>
      <c r="K689" s="111"/>
      <c r="L689" s="98"/>
    </row>
    <row r="690" spans="1:12" ht="15.75" customHeight="1">
      <c r="A690" s="111"/>
      <c r="B690" s="111"/>
      <c r="C690" s="111"/>
      <c r="D690" s="111"/>
      <c r="E690" s="111"/>
      <c r="F690" s="111"/>
      <c r="G690" s="111"/>
      <c r="H690" s="111"/>
      <c r="I690" s="111"/>
      <c r="J690" s="112"/>
      <c r="K690" s="111"/>
      <c r="L690" s="98"/>
    </row>
    <row r="691" spans="1:12" ht="15.75" customHeight="1">
      <c r="A691" s="111"/>
      <c r="B691" s="111"/>
      <c r="C691" s="111"/>
      <c r="D691" s="111"/>
      <c r="E691" s="111"/>
      <c r="F691" s="111"/>
      <c r="G691" s="111"/>
      <c r="H691" s="111"/>
      <c r="I691" s="111"/>
      <c r="J691" s="112"/>
      <c r="K691" s="111"/>
      <c r="L691" s="98"/>
    </row>
    <row r="692" spans="1:12" ht="15.75" customHeight="1">
      <c r="A692" s="111"/>
      <c r="B692" s="111"/>
      <c r="C692" s="111"/>
      <c r="D692" s="111"/>
      <c r="E692" s="111"/>
      <c r="F692" s="111"/>
      <c r="G692" s="111"/>
      <c r="H692" s="111"/>
      <c r="I692" s="111"/>
      <c r="J692" s="112"/>
      <c r="K692" s="111"/>
      <c r="L692" s="98"/>
    </row>
    <row r="693" spans="1:12" ht="15.75" customHeight="1">
      <c r="A693" s="111"/>
      <c r="B693" s="111"/>
      <c r="C693" s="111"/>
      <c r="D693" s="111"/>
      <c r="E693" s="111"/>
      <c r="F693" s="111"/>
      <c r="G693" s="111"/>
      <c r="H693" s="111"/>
      <c r="I693" s="111"/>
      <c r="J693" s="112"/>
      <c r="K693" s="111"/>
      <c r="L693" s="98"/>
    </row>
    <row r="694" spans="1:12" ht="15.75" customHeight="1">
      <c r="A694" s="111"/>
      <c r="B694" s="111"/>
      <c r="C694" s="111"/>
      <c r="D694" s="111"/>
      <c r="E694" s="111"/>
      <c r="F694" s="111"/>
      <c r="G694" s="111"/>
      <c r="H694" s="111"/>
      <c r="I694" s="111"/>
      <c r="J694" s="112"/>
      <c r="K694" s="111"/>
      <c r="L694" s="98"/>
    </row>
    <row r="695" spans="1:12" ht="15.75" customHeight="1">
      <c r="A695" s="111"/>
      <c r="B695" s="111"/>
      <c r="C695" s="111"/>
      <c r="D695" s="111"/>
      <c r="E695" s="111"/>
      <c r="F695" s="111"/>
      <c r="G695" s="111"/>
      <c r="H695" s="111"/>
      <c r="I695" s="111"/>
      <c r="J695" s="112"/>
      <c r="K695" s="111"/>
      <c r="L695" s="98"/>
    </row>
    <row r="696" spans="1:12" ht="15.75" customHeight="1">
      <c r="A696" s="111"/>
      <c r="B696" s="111"/>
      <c r="C696" s="111"/>
      <c r="D696" s="111"/>
      <c r="E696" s="111"/>
      <c r="F696" s="111"/>
      <c r="G696" s="111"/>
      <c r="H696" s="111"/>
      <c r="I696" s="111"/>
      <c r="J696" s="112"/>
      <c r="K696" s="111"/>
      <c r="L696" s="98"/>
    </row>
    <row r="697" spans="1:12" ht="15.75" customHeight="1">
      <c r="A697" s="111"/>
      <c r="B697" s="111"/>
      <c r="C697" s="111"/>
      <c r="D697" s="111"/>
      <c r="E697" s="111"/>
      <c r="F697" s="111"/>
      <c r="G697" s="111"/>
      <c r="H697" s="111"/>
      <c r="I697" s="111"/>
      <c r="J697" s="112"/>
      <c r="K697" s="111"/>
      <c r="L697" s="98"/>
    </row>
    <row r="698" spans="1:12" ht="15.75" customHeight="1">
      <c r="A698" s="111"/>
      <c r="B698" s="111"/>
      <c r="C698" s="111"/>
      <c r="D698" s="111"/>
      <c r="E698" s="111"/>
      <c r="F698" s="111"/>
      <c r="G698" s="111"/>
      <c r="H698" s="111"/>
      <c r="I698" s="111"/>
      <c r="J698" s="112"/>
      <c r="K698" s="111"/>
      <c r="L698" s="98"/>
    </row>
    <row r="699" spans="1:12" ht="15.75" customHeight="1">
      <c r="A699" s="111"/>
      <c r="B699" s="111"/>
      <c r="C699" s="111"/>
      <c r="D699" s="111"/>
      <c r="E699" s="111"/>
      <c r="F699" s="111"/>
      <c r="G699" s="111"/>
      <c r="H699" s="111"/>
      <c r="I699" s="111"/>
      <c r="J699" s="112"/>
      <c r="K699" s="111"/>
      <c r="L699" s="98"/>
    </row>
    <row r="700" spans="1:12" ht="15.75" customHeight="1">
      <c r="A700" s="111"/>
      <c r="B700" s="111"/>
      <c r="C700" s="111"/>
      <c r="D700" s="111"/>
      <c r="E700" s="111"/>
      <c r="F700" s="111"/>
      <c r="G700" s="111"/>
      <c r="H700" s="111"/>
      <c r="I700" s="111"/>
      <c r="J700" s="112"/>
      <c r="K700" s="111"/>
      <c r="L700" s="98"/>
    </row>
    <row r="701" spans="1:12" ht="15.75" customHeight="1">
      <c r="A701" s="111"/>
      <c r="B701" s="111"/>
      <c r="C701" s="111"/>
      <c r="D701" s="111"/>
      <c r="E701" s="111"/>
      <c r="F701" s="111"/>
      <c r="G701" s="111"/>
      <c r="H701" s="111"/>
      <c r="I701" s="111"/>
      <c r="J701" s="112"/>
      <c r="K701" s="111"/>
      <c r="L701" s="98"/>
    </row>
    <row r="702" spans="1:12" ht="15.75" customHeight="1">
      <c r="A702" s="111"/>
      <c r="B702" s="111"/>
      <c r="C702" s="111"/>
      <c r="D702" s="111"/>
      <c r="E702" s="111"/>
      <c r="F702" s="111"/>
      <c r="G702" s="111"/>
      <c r="H702" s="111"/>
      <c r="I702" s="111"/>
      <c r="J702" s="112"/>
      <c r="K702" s="111"/>
      <c r="L702" s="98"/>
    </row>
    <row r="703" spans="1:12" ht="15.75" customHeight="1">
      <c r="A703" s="111"/>
      <c r="B703" s="111"/>
      <c r="C703" s="111"/>
      <c r="D703" s="111"/>
      <c r="E703" s="111"/>
      <c r="F703" s="111"/>
      <c r="G703" s="111"/>
      <c r="H703" s="111"/>
      <c r="I703" s="111"/>
      <c r="J703" s="112"/>
      <c r="K703" s="111"/>
      <c r="L703" s="98"/>
    </row>
    <row r="704" spans="1:12" ht="15.75" customHeight="1">
      <c r="A704" s="111"/>
      <c r="B704" s="111"/>
      <c r="C704" s="111"/>
      <c r="D704" s="111"/>
      <c r="E704" s="111"/>
      <c r="F704" s="111"/>
      <c r="G704" s="111"/>
      <c r="H704" s="111"/>
      <c r="I704" s="111"/>
      <c r="J704" s="112"/>
      <c r="K704" s="111"/>
      <c r="L704" s="98"/>
    </row>
    <row r="705" spans="1:12" ht="15.75" customHeight="1">
      <c r="A705" s="111"/>
      <c r="B705" s="111"/>
      <c r="C705" s="111"/>
      <c r="D705" s="111"/>
      <c r="E705" s="111"/>
      <c r="F705" s="111"/>
      <c r="G705" s="111"/>
      <c r="H705" s="111"/>
      <c r="I705" s="111"/>
      <c r="J705" s="112"/>
      <c r="K705" s="111"/>
      <c r="L705" s="98"/>
    </row>
    <row r="706" spans="1:12" ht="15.75" customHeight="1">
      <c r="A706" s="111"/>
      <c r="B706" s="111"/>
      <c r="C706" s="111"/>
      <c r="D706" s="111"/>
      <c r="E706" s="111"/>
      <c r="F706" s="111"/>
      <c r="G706" s="111"/>
      <c r="H706" s="111"/>
      <c r="I706" s="111"/>
      <c r="J706" s="112"/>
      <c r="K706" s="111"/>
      <c r="L706" s="98"/>
    </row>
    <row r="707" spans="1:12" ht="15.75" customHeight="1">
      <c r="A707" s="111"/>
      <c r="B707" s="111"/>
      <c r="C707" s="111"/>
      <c r="D707" s="111"/>
      <c r="E707" s="111"/>
      <c r="F707" s="111"/>
      <c r="G707" s="111"/>
      <c r="H707" s="111"/>
      <c r="I707" s="111"/>
      <c r="J707" s="112"/>
      <c r="K707" s="111"/>
      <c r="L707" s="98"/>
    </row>
    <row r="708" spans="1:12" ht="15.75" customHeight="1">
      <c r="A708" s="111"/>
      <c r="B708" s="111"/>
      <c r="C708" s="111"/>
      <c r="D708" s="111"/>
      <c r="E708" s="111"/>
      <c r="F708" s="111"/>
      <c r="G708" s="111"/>
      <c r="H708" s="111"/>
      <c r="I708" s="111"/>
      <c r="J708" s="112"/>
      <c r="K708" s="111"/>
      <c r="L708" s="98"/>
    </row>
    <row r="709" spans="1:12" ht="15.75" customHeight="1">
      <c r="A709" s="111"/>
      <c r="B709" s="111"/>
      <c r="C709" s="111"/>
      <c r="D709" s="111"/>
      <c r="E709" s="111"/>
      <c r="F709" s="111"/>
      <c r="G709" s="111"/>
      <c r="H709" s="111"/>
      <c r="I709" s="111"/>
      <c r="J709" s="112"/>
      <c r="K709" s="111"/>
      <c r="L709" s="98"/>
    </row>
    <row r="710" spans="1:12" ht="15.75" customHeight="1">
      <c r="A710" s="111"/>
      <c r="B710" s="111"/>
      <c r="C710" s="111"/>
      <c r="D710" s="111"/>
      <c r="E710" s="111"/>
      <c r="F710" s="111"/>
      <c r="G710" s="111"/>
      <c r="H710" s="111"/>
      <c r="I710" s="111"/>
      <c r="J710" s="112"/>
      <c r="K710" s="111"/>
      <c r="L710" s="98"/>
    </row>
    <row r="711" spans="1:12" ht="15.75" customHeight="1">
      <c r="A711" s="111"/>
      <c r="B711" s="111"/>
      <c r="C711" s="111"/>
      <c r="D711" s="111"/>
      <c r="E711" s="111"/>
      <c r="F711" s="111"/>
      <c r="G711" s="111"/>
      <c r="H711" s="111"/>
      <c r="I711" s="111"/>
      <c r="J711" s="112"/>
      <c r="K711" s="111"/>
      <c r="L711" s="98"/>
    </row>
    <row r="712" spans="1:12" ht="15.75" customHeight="1">
      <c r="A712" s="111"/>
      <c r="B712" s="111"/>
      <c r="C712" s="111"/>
      <c r="D712" s="111"/>
      <c r="E712" s="111"/>
      <c r="F712" s="111"/>
      <c r="G712" s="111"/>
      <c r="H712" s="111"/>
      <c r="I712" s="111"/>
      <c r="J712" s="112"/>
      <c r="K712" s="111"/>
      <c r="L712" s="98"/>
    </row>
    <row r="713" spans="1:12" ht="15.75" customHeight="1">
      <c r="A713" s="111"/>
      <c r="B713" s="111"/>
      <c r="C713" s="111"/>
      <c r="D713" s="111"/>
      <c r="E713" s="111"/>
      <c r="F713" s="111"/>
      <c r="G713" s="111"/>
      <c r="H713" s="111"/>
      <c r="I713" s="111"/>
      <c r="J713" s="112"/>
      <c r="K713" s="111"/>
      <c r="L713" s="98"/>
    </row>
    <row r="714" spans="1:12" ht="15.75" customHeight="1">
      <c r="A714" s="111"/>
      <c r="B714" s="111"/>
      <c r="C714" s="111"/>
      <c r="D714" s="111"/>
      <c r="E714" s="111"/>
      <c r="F714" s="111"/>
      <c r="G714" s="111"/>
      <c r="H714" s="111"/>
      <c r="I714" s="111"/>
      <c r="J714" s="112"/>
      <c r="K714" s="111"/>
      <c r="L714" s="98"/>
    </row>
    <row r="715" spans="1:12" ht="15.75" customHeight="1">
      <c r="A715" s="111"/>
      <c r="B715" s="111"/>
      <c r="C715" s="111"/>
      <c r="D715" s="111"/>
      <c r="E715" s="111"/>
      <c r="F715" s="111"/>
      <c r="G715" s="111"/>
      <c r="H715" s="111"/>
      <c r="I715" s="111"/>
      <c r="J715" s="112"/>
      <c r="K715" s="111"/>
      <c r="L715" s="98"/>
    </row>
    <row r="716" spans="1:12" ht="15.75" customHeight="1">
      <c r="A716" s="111"/>
      <c r="B716" s="111"/>
      <c r="C716" s="111"/>
      <c r="D716" s="111"/>
      <c r="E716" s="111"/>
      <c r="F716" s="111"/>
      <c r="G716" s="111"/>
      <c r="H716" s="111"/>
      <c r="I716" s="111"/>
      <c r="J716" s="112"/>
      <c r="K716" s="111"/>
      <c r="L716" s="98"/>
    </row>
    <row r="717" spans="1:12" ht="15.75" customHeight="1">
      <c r="A717" s="111"/>
      <c r="B717" s="111"/>
      <c r="C717" s="111"/>
      <c r="D717" s="111"/>
      <c r="E717" s="111"/>
      <c r="F717" s="111"/>
      <c r="G717" s="111"/>
      <c r="H717" s="111"/>
      <c r="I717" s="111"/>
      <c r="J717" s="112"/>
      <c r="K717" s="111"/>
      <c r="L717" s="98"/>
    </row>
    <row r="718" spans="1:12" ht="15.75" customHeight="1">
      <c r="A718" s="111"/>
      <c r="B718" s="111"/>
      <c r="C718" s="111"/>
      <c r="D718" s="111"/>
      <c r="E718" s="111"/>
      <c r="F718" s="111"/>
      <c r="G718" s="111"/>
      <c r="H718" s="111"/>
      <c r="I718" s="111"/>
      <c r="J718" s="112"/>
      <c r="K718" s="111"/>
      <c r="L718" s="98"/>
    </row>
    <row r="719" spans="1:12" ht="15.75" customHeight="1">
      <c r="A719" s="111"/>
      <c r="B719" s="111"/>
      <c r="C719" s="111"/>
      <c r="D719" s="111"/>
      <c r="E719" s="111"/>
      <c r="F719" s="111"/>
      <c r="G719" s="111"/>
      <c r="H719" s="111"/>
      <c r="I719" s="111"/>
      <c r="J719" s="112"/>
      <c r="K719" s="111"/>
      <c r="L719" s="98"/>
    </row>
    <row r="720" spans="1:12" ht="15.75" customHeight="1">
      <c r="A720" s="111"/>
      <c r="B720" s="111"/>
      <c r="C720" s="111"/>
      <c r="D720" s="111"/>
      <c r="E720" s="111"/>
      <c r="F720" s="111"/>
      <c r="G720" s="111"/>
      <c r="H720" s="111"/>
      <c r="I720" s="111"/>
      <c r="J720" s="112"/>
      <c r="K720" s="111"/>
      <c r="L720" s="98"/>
    </row>
    <row r="721" spans="1:12" ht="15.75" customHeight="1">
      <c r="A721" s="111"/>
      <c r="B721" s="111"/>
      <c r="C721" s="111"/>
      <c r="D721" s="111"/>
      <c r="E721" s="111"/>
      <c r="F721" s="111"/>
      <c r="G721" s="111"/>
      <c r="H721" s="111"/>
      <c r="I721" s="111"/>
      <c r="J721" s="112"/>
      <c r="K721" s="111"/>
      <c r="L721" s="98"/>
    </row>
    <row r="722" spans="1:12" ht="15.75" customHeight="1">
      <c r="A722" s="111"/>
      <c r="B722" s="111"/>
      <c r="C722" s="111"/>
      <c r="D722" s="111"/>
      <c r="E722" s="111"/>
      <c r="F722" s="111"/>
      <c r="G722" s="111"/>
      <c r="H722" s="111"/>
      <c r="I722" s="111"/>
      <c r="J722" s="112"/>
      <c r="K722" s="111"/>
      <c r="L722" s="98"/>
    </row>
    <row r="723" spans="1:12" ht="15.75" customHeight="1">
      <c r="A723" s="111"/>
      <c r="B723" s="111"/>
      <c r="C723" s="111"/>
      <c r="D723" s="111"/>
      <c r="E723" s="111"/>
      <c r="F723" s="111"/>
      <c r="G723" s="111"/>
      <c r="H723" s="111"/>
      <c r="I723" s="111"/>
      <c r="J723" s="112"/>
      <c r="K723" s="111"/>
      <c r="L723" s="98"/>
    </row>
    <row r="724" spans="1:12" ht="15.75" customHeight="1">
      <c r="A724" s="111"/>
      <c r="B724" s="111"/>
      <c r="C724" s="111"/>
      <c r="D724" s="111"/>
      <c r="E724" s="111"/>
      <c r="F724" s="111"/>
      <c r="G724" s="111"/>
      <c r="H724" s="111"/>
      <c r="I724" s="111"/>
      <c r="J724" s="112"/>
      <c r="K724" s="111"/>
      <c r="L724" s="98"/>
    </row>
    <row r="725" spans="1:12" ht="15.75" customHeight="1">
      <c r="A725" s="111"/>
      <c r="B725" s="111"/>
      <c r="C725" s="111"/>
      <c r="D725" s="111"/>
      <c r="E725" s="111"/>
      <c r="F725" s="111"/>
      <c r="G725" s="111"/>
      <c r="H725" s="111"/>
      <c r="I725" s="111"/>
      <c r="J725" s="112"/>
      <c r="K725" s="111"/>
      <c r="L725" s="98"/>
    </row>
    <row r="726" spans="1:12" ht="15.75" customHeight="1">
      <c r="A726" s="111"/>
      <c r="B726" s="111"/>
      <c r="C726" s="111"/>
      <c r="D726" s="111"/>
      <c r="E726" s="111"/>
      <c r="F726" s="111"/>
      <c r="G726" s="111"/>
      <c r="H726" s="111"/>
      <c r="I726" s="111"/>
      <c r="J726" s="112"/>
      <c r="K726" s="111"/>
      <c r="L726" s="98"/>
    </row>
    <row r="727" spans="1:12" ht="15.75" customHeight="1">
      <c r="A727" s="111"/>
      <c r="B727" s="111"/>
      <c r="C727" s="111"/>
      <c r="D727" s="111"/>
      <c r="E727" s="111"/>
      <c r="F727" s="111"/>
      <c r="G727" s="111"/>
      <c r="H727" s="111"/>
      <c r="I727" s="111"/>
      <c r="J727" s="112"/>
      <c r="K727" s="111"/>
      <c r="L727" s="98"/>
    </row>
    <row r="728" spans="1:12" ht="15.75" customHeight="1">
      <c r="A728" s="111"/>
      <c r="B728" s="111"/>
      <c r="C728" s="111"/>
      <c r="D728" s="111"/>
      <c r="E728" s="111"/>
      <c r="F728" s="111"/>
      <c r="G728" s="111"/>
      <c r="H728" s="111"/>
      <c r="I728" s="111"/>
      <c r="J728" s="112"/>
      <c r="K728" s="111"/>
      <c r="L728" s="98"/>
    </row>
    <row r="729" spans="1:12" ht="15.75" customHeight="1">
      <c r="A729" s="111"/>
      <c r="B729" s="111"/>
      <c r="C729" s="111"/>
      <c r="D729" s="111"/>
      <c r="E729" s="111"/>
      <c r="F729" s="111"/>
      <c r="G729" s="111"/>
      <c r="H729" s="111"/>
      <c r="I729" s="111"/>
      <c r="J729" s="112"/>
      <c r="K729" s="111"/>
      <c r="L729" s="98"/>
    </row>
    <row r="730" spans="1:12" ht="15.75" customHeight="1">
      <c r="A730" s="111"/>
      <c r="B730" s="111"/>
      <c r="C730" s="111"/>
      <c r="D730" s="111"/>
      <c r="E730" s="111"/>
      <c r="F730" s="111"/>
      <c r="G730" s="111"/>
      <c r="H730" s="111"/>
      <c r="I730" s="111"/>
      <c r="J730" s="112"/>
      <c r="K730" s="111"/>
      <c r="L730" s="98"/>
    </row>
    <row r="731" spans="1:12" ht="15.75" customHeight="1">
      <c r="A731" s="111"/>
      <c r="B731" s="111"/>
      <c r="C731" s="111"/>
      <c r="D731" s="111"/>
      <c r="E731" s="111"/>
      <c r="F731" s="111"/>
      <c r="G731" s="111"/>
      <c r="H731" s="111"/>
      <c r="I731" s="111"/>
      <c r="J731" s="112"/>
      <c r="K731" s="111"/>
      <c r="L731" s="98"/>
    </row>
    <row r="732" spans="1:12" ht="15.75" customHeight="1">
      <c r="A732" s="111"/>
      <c r="B732" s="111"/>
      <c r="C732" s="111"/>
      <c r="D732" s="111"/>
      <c r="E732" s="111"/>
      <c r="F732" s="111"/>
      <c r="G732" s="111"/>
      <c r="H732" s="111"/>
      <c r="I732" s="111"/>
      <c r="J732" s="112"/>
      <c r="K732" s="111"/>
      <c r="L732" s="98"/>
    </row>
    <row r="733" spans="1:12" ht="15.75" customHeight="1">
      <c r="A733" s="111"/>
      <c r="B733" s="111"/>
      <c r="C733" s="111"/>
      <c r="D733" s="111"/>
      <c r="E733" s="111"/>
      <c r="F733" s="111"/>
      <c r="G733" s="111"/>
      <c r="H733" s="111"/>
      <c r="I733" s="111"/>
      <c r="J733" s="112"/>
      <c r="K733" s="111"/>
      <c r="L733" s="98"/>
    </row>
    <row r="734" spans="1:12" ht="15.75" customHeight="1">
      <c r="A734" s="111"/>
      <c r="B734" s="111"/>
      <c r="C734" s="111"/>
      <c r="D734" s="111"/>
      <c r="E734" s="111"/>
      <c r="F734" s="111"/>
      <c r="G734" s="111"/>
      <c r="H734" s="111"/>
      <c r="I734" s="111"/>
      <c r="J734" s="112"/>
      <c r="K734" s="111"/>
      <c r="L734" s="98"/>
    </row>
    <row r="735" spans="1:12" ht="15.75" customHeight="1">
      <c r="A735" s="111"/>
      <c r="B735" s="111"/>
      <c r="C735" s="111"/>
      <c r="D735" s="111"/>
      <c r="E735" s="111"/>
      <c r="F735" s="111"/>
      <c r="G735" s="111"/>
      <c r="H735" s="111"/>
      <c r="I735" s="111"/>
      <c r="J735" s="112"/>
      <c r="K735" s="111"/>
      <c r="L735" s="98"/>
    </row>
    <row r="736" spans="1:12" ht="15.75" customHeight="1">
      <c r="A736" s="111"/>
      <c r="B736" s="111"/>
      <c r="C736" s="111"/>
      <c r="D736" s="111"/>
      <c r="E736" s="111"/>
      <c r="F736" s="111"/>
      <c r="G736" s="111"/>
      <c r="H736" s="111"/>
      <c r="I736" s="111"/>
      <c r="J736" s="112"/>
      <c r="K736" s="111"/>
      <c r="L736" s="98"/>
    </row>
    <row r="737" spans="1:12" ht="15.75" customHeight="1">
      <c r="A737" s="111"/>
      <c r="B737" s="111"/>
      <c r="C737" s="111"/>
      <c r="D737" s="111"/>
      <c r="E737" s="111"/>
      <c r="F737" s="111"/>
      <c r="G737" s="111"/>
      <c r="H737" s="111"/>
      <c r="I737" s="111"/>
      <c r="J737" s="112"/>
      <c r="K737" s="111"/>
      <c r="L737" s="98"/>
    </row>
    <row r="738" spans="1:12" ht="15.75" customHeight="1">
      <c r="A738" s="111"/>
      <c r="B738" s="111"/>
      <c r="C738" s="111"/>
      <c r="D738" s="111"/>
      <c r="E738" s="111"/>
      <c r="F738" s="111"/>
      <c r="G738" s="111"/>
      <c r="H738" s="111"/>
      <c r="I738" s="111"/>
      <c r="J738" s="112"/>
      <c r="K738" s="111"/>
      <c r="L738" s="98"/>
    </row>
    <row r="739" spans="1:12" ht="15.75" customHeight="1">
      <c r="A739" s="111"/>
      <c r="B739" s="111"/>
      <c r="C739" s="111"/>
      <c r="D739" s="111"/>
      <c r="E739" s="111"/>
      <c r="F739" s="111"/>
      <c r="G739" s="111"/>
      <c r="H739" s="111"/>
      <c r="I739" s="111"/>
      <c r="J739" s="112"/>
      <c r="K739" s="111"/>
      <c r="L739" s="98"/>
    </row>
    <row r="740" spans="1:12" ht="15.75" customHeight="1">
      <c r="A740" s="111"/>
      <c r="B740" s="111"/>
      <c r="C740" s="111"/>
      <c r="D740" s="111"/>
      <c r="E740" s="111"/>
      <c r="F740" s="111"/>
      <c r="G740" s="111"/>
      <c r="H740" s="111"/>
      <c r="I740" s="111"/>
      <c r="J740" s="112"/>
      <c r="K740" s="111"/>
      <c r="L740" s="98"/>
    </row>
    <row r="741" spans="1:12" ht="15.75" customHeight="1">
      <c r="A741" s="111"/>
      <c r="B741" s="111"/>
      <c r="C741" s="111"/>
      <c r="D741" s="111"/>
      <c r="E741" s="111"/>
      <c r="F741" s="111"/>
      <c r="G741" s="111"/>
      <c r="H741" s="111"/>
      <c r="I741" s="111"/>
      <c r="J741" s="112"/>
      <c r="K741" s="111"/>
      <c r="L741" s="98"/>
    </row>
    <row r="742" spans="1:12" ht="15.75" customHeight="1">
      <c r="A742" s="111"/>
      <c r="B742" s="111"/>
      <c r="C742" s="111"/>
      <c r="D742" s="111"/>
      <c r="E742" s="111"/>
      <c r="F742" s="111"/>
      <c r="G742" s="111"/>
      <c r="H742" s="111"/>
      <c r="I742" s="111"/>
      <c r="J742" s="112"/>
      <c r="K742" s="111"/>
      <c r="L742" s="98"/>
    </row>
    <row r="743" spans="1:12" ht="15.75" customHeight="1">
      <c r="A743" s="111"/>
      <c r="B743" s="111"/>
      <c r="C743" s="111"/>
      <c r="D743" s="111"/>
      <c r="E743" s="111"/>
      <c r="F743" s="111"/>
      <c r="G743" s="111"/>
      <c r="H743" s="111"/>
      <c r="I743" s="111"/>
      <c r="J743" s="112"/>
      <c r="K743" s="111"/>
      <c r="L743" s="98"/>
    </row>
    <row r="744" spans="1:12" ht="15.75" customHeight="1">
      <c r="A744" s="111"/>
      <c r="B744" s="111"/>
      <c r="C744" s="111"/>
      <c r="D744" s="111"/>
      <c r="E744" s="111"/>
      <c r="F744" s="111"/>
      <c r="G744" s="111"/>
      <c r="H744" s="111"/>
      <c r="I744" s="111"/>
      <c r="J744" s="112"/>
      <c r="K744" s="111"/>
      <c r="L744" s="98"/>
    </row>
    <row r="745" spans="1:12" ht="15.75" customHeight="1">
      <c r="A745" s="111"/>
      <c r="B745" s="111"/>
      <c r="C745" s="111"/>
      <c r="D745" s="111"/>
      <c r="E745" s="111"/>
      <c r="F745" s="111"/>
      <c r="G745" s="111"/>
      <c r="H745" s="111"/>
      <c r="I745" s="111"/>
      <c r="J745" s="112"/>
      <c r="K745" s="111"/>
      <c r="L745" s="98"/>
    </row>
    <row r="746" spans="1:12" ht="15.75" customHeight="1">
      <c r="A746" s="111"/>
      <c r="B746" s="111"/>
      <c r="C746" s="111"/>
      <c r="D746" s="111"/>
      <c r="E746" s="111"/>
      <c r="F746" s="111"/>
      <c r="G746" s="111"/>
      <c r="H746" s="111"/>
      <c r="I746" s="111"/>
      <c r="J746" s="112"/>
      <c r="K746" s="111"/>
      <c r="L746" s="98"/>
    </row>
    <row r="747" spans="1:12" ht="15.75" customHeight="1">
      <c r="A747" s="111"/>
      <c r="B747" s="111"/>
      <c r="C747" s="111"/>
      <c r="D747" s="111"/>
      <c r="E747" s="111"/>
      <c r="F747" s="111"/>
      <c r="G747" s="111"/>
      <c r="H747" s="111"/>
      <c r="I747" s="111"/>
      <c r="J747" s="112"/>
      <c r="K747" s="111"/>
      <c r="L747" s="98"/>
    </row>
    <row r="748" spans="1:12" ht="15.75" customHeight="1">
      <c r="A748" s="111"/>
      <c r="B748" s="111"/>
      <c r="C748" s="111"/>
      <c r="D748" s="111"/>
      <c r="E748" s="111"/>
      <c r="F748" s="111"/>
      <c r="G748" s="111"/>
      <c r="H748" s="111"/>
      <c r="I748" s="111"/>
      <c r="J748" s="112"/>
      <c r="K748" s="111"/>
      <c r="L748" s="98"/>
    </row>
    <row r="749" spans="1:12" ht="15.75" customHeight="1">
      <c r="A749" s="111"/>
      <c r="B749" s="111"/>
      <c r="C749" s="111"/>
      <c r="D749" s="111"/>
      <c r="E749" s="111"/>
      <c r="F749" s="111"/>
      <c r="G749" s="111"/>
      <c r="H749" s="111"/>
      <c r="I749" s="111"/>
      <c r="J749" s="112"/>
      <c r="K749" s="111"/>
      <c r="L749" s="98"/>
    </row>
    <row r="750" spans="1:12" ht="15.75" customHeight="1">
      <c r="A750" s="111"/>
      <c r="B750" s="111"/>
      <c r="C750" s="111"/>
      <c r="D750" s="111"/>
      <c r="E750" s="111"/>
      <c r="F750" s="111"/>
      <c r="G750" s="111"/>
      <c r="H750" s="111"/>
      <c r="I750" s="111"/>
      <c r="J750" s="112"/>
      <c r="K750" s="111"/>
      <c r="L750" s="98"/>
    </row>
    <row r="751" spans="1:12" ht="15.75" customHeight="1">
      <c r="A751" s="111"/>
      <c r="B751" s="111"/>
      <c r="C751" s="111"/>
      <c r="D751" s="111"/>
      <c r="E751" s="111"/>
      <c r="F751" s="111"/>
      <c r="G751" s="111"/>
      <c r="H751" s="111"/>
      <c r="I751" s="111"/>
      <c r="J751" s="112"/>
      <c r="K751" s="111"/>
      <c r="L751" s="98"/>
    </row>
    <row r="752" spans="1:12" ht="15.75" customHeight="1">
      <c r="A752" s="111"/>
      <c r="B752" s="111"/>
      <c r="C752" s="111"/>
      <c r="D752" s="111"/>
      <c r="E752" s="111"/>
      <c r="F752" s="111"/>
      <c r="G752" s="111"/>
      <c r="H752" s="111"/>
      <c r="I752" s="111"/>
      <c r="J752" s="112"/>
      <c r="K752" s="111"/>
      <c r="L752" s="98"/>
    </row>
    <row r="753" spans="1:12" ht="15.75" customHeight="1">
      <c r="A753" s="111"/>
      <c r="B753" s="111"/>
      <c r="C753" s="111"/>
      <c r="D753" s="111"/>
      <c r="E753" s="111"/>
      <c r="F753" s="111"/>
      <c r="G753" s="111"/>
      <c r="H753" s="111"/>
      <c r="I753" s="111"/>
      <c r="J753" s="112"/>
      <c r="K753" s="111"/>
      <c r="L753" s="98"/>
    </row>
    <row r="754" spans="1:12" ht="15.75" customHeight="1">
      <c r="A754" s="111"/>
      <c r="B754" s="111"/>
      <c r="C754" s="111"/>
      <c r="D754" s="111"/>
      <c r="E754" s="111"/>
      <c r="F754" s="111"/>
      <c r="G754" s="111"/>
      <c r="H754" s="111"/>
      <c r="I754" s="111"/>
      <c r="J754" s="112"/>
      <c r="K754" s="111"/>
      <c r="L754" s="98"/>
    </row>
    <row r="755" spans="1:12" ht="15.75" customHeight="1">
      <c r="A755" s="111"/>
      <c r="B755" s="111"/>
      <c r="C755" s="111"/>
      <c r="D755" s="111"/>
      <c r="E755" s="111"/>
      <c r="F755" s="111"/>
      <c r="G755" s="111"/>
      <c r="H755" s="111"/>
      <c r="I755" s="111"/>
      <c r="J755" s="112"/>
      <c r="K755" s="111"/>
      <c r="L755" s="98"/>
    </row>
    <row r="756" spans="1:12" ht="15.75" customHeight="1">
      <c r="A756" s="111"/>
      <c r="B756" s="111"/>
      <c r="C756" s="111"/>
      <c r="D756" s="111"/>
      <c r="E756" s="111"/>
      <c r="F756" s="111"/>
      <c r="G756" s="111"/>
      <c r="H756" s="111"/>
      <c r="I756" s="111"/>
      <c r="J756" s="112"/>
      <c r="K756" s="111"/>
      <c r="L756" s="98"/>
    </row>
    <row r="757" spans="1:12" ht="15.75" customHeight="1">
      <c r="A757" s="111"/>
      <c r="B757" s="111"/>
      <c r="C757" s="111"/>
      <c r="D757" s="111"/>
      <c r="E757" s="111"/>
      <c r="F757" s="111"/>
      <c r="G757" s="111"/>
      <c r="H757" s="111"/>
      <c r="I757" s="111"/>
      <c r="J757" s="112"/>
      <c r="K757" s="111"/>
      <c r="L757" s="98"/>
    </row>
    <row r="758" spans="1:12" ht="15.75" customHeight="1">
      <c r="A758" s="111"/>
      <c r="B758" s="111"/>
      <c r="C758" s="111"/>
      <c r="D758" s="111"/>
      <c r="E758" s="111"/>
      <c r="F758" s="111"/>
      <c r="G758" s="111"/>
      <c r="H758" s="111"/>
      <c r="I758" s="111"/>
      <c r="J758" s="112"/>
      <c r="K758" s="111"/>
      <c r="L758" s="98"/>
    </row>
    <row r="759" spans="1:12" ht="15.75" customHeight="1">
      <c r="A759" s="111"/>
      <c r="B759" s="111"/>
      <c r="C759" s="111"/>
      <c r="D759" s="111"/>
      <c r="E759" s="111"/>
      <c r="F759" s="111"/>
      <c r="G759" s="111"/>
      <c r="H759" s="111"/>
      <c r="I759" s="111"/>
      <c r="J759" s="112"/>
      <c r="K759" s="111"/>
      <c r="L759" s="98"/>
    </row>
    <row r="760" spans="1:12" ht="15.75" customHeight="1">
      <c r="A760" s="111"/>
      <c r="B760" s="111"/>
      <c r="C760" s="111"/>
      <c r="D760" s="111"/>
      <c r="E760" s="111"/>
      <c r="F760" s="111"/>
      <c r="G760" s="111"/>
      <c r="H760" s="111"/>
      <c r="I760" s="111"/>
      <c r="J760" s="112"/>
      <c r="K760" s="111"/>
      <c r="L760" s="98"/>
    </row>
    <row r="761" spans="1:12" ht="15.75" customHeight="1">
      <c r="A761" s="111"/>
      <c r="B761" s="111"/>
      <c r="C761" s="111"/>
      <c r="D761" s="111"/>
      <c r="E761" s="111"/>
      <c r="F761" s="111"/>
      <c r="G761" s="111"/>
      <c r="H761" s="111"/>
      <c r="I761" s="111"/>
      <c r="J761" s="112"/>
      <c r="K761" s="111"/>
      <c r="L761" s="98"/>
    </row>
    <row r="762" spans="1:12" ht="15.75" customHeight="1">
      <c r="A762" s="111"/>
      <c r="B762" s="111"/>
      <c r="C762" s="111"/>
      <c r="D762" s="111"/>
      <c r="E762" s="111"/>
      <c r="F762" s="111"/>
      <c r="G762" s="111"/>
      <c r="H762" s="111"/>
      <c r="I762" s="111"/>
      <c r="J762" s="112"/>
      <c r="K762" s="111"/>
      <c r="L762" s="98"/>
    </row>
    <row r="763" spans="1:12" ht="15.75" customHeight="1">
      <c r="A763" s="111"/>
      <c r="B763" s="111"/>
      <c r="C763" s="111"/>
      <c r="D763" s="111"/>
      <c r="E763" s="111"/>
      <c r="F763" s="111"/>
      <c r="G763" s="111"/>
      <c r="H763" s="111"/>
      <c r="I763" s="111"/>
      <c r="J763" s="112"/>
      <c r="K763" s="111"/>
      <c r="L763" s="98"/>
    </row>
    <row r="764" spans="1:12" ht="15.75" customHeight="1">
      <c r="A764" s="111"/>
      <c r="B764" s="111"/>
      <c r="C764" s="111"/>
      <c r="D764" s="111"/>
      <c r="E764" s="111"/>
      <c r="F764" s="111"/>
      <c r="G764" s="111"/>
      <c r="H764" s="111"/>
      <c r="I764" s="111"/>
      <c r="J764" s="112"/>
      <c r="K764" s="111"/>
      <c r="L764" s="98"/>
    </row>
    <row r="765" spans="1:12" ht="15.75" customHeight="1">
      <c r="A765" s="111"/>
      <c r="B765" s="111"/>
      <c r="C765" s="111"/>
      <c r="D765" s="111"/>
      <c r="E765" s="111"/>
      <c r="F765" s="111"/>
      <c r="G765" s="111"/>
      <c r="H765" s="111"/>
      <c r="I765" s="111"/>
      <c r="J765" s="112"/>
      <c r="K765" s="111"/>
      <c r="L765" s="98"/>
    </row>
    <row r="766" spans="1:12" ht="15.75" customHeight="1">
      <c r="A766" s="111"/>
      <c r="B766" s="111"/>
      <c r="C766" s="111"/>
      <c r="D766" s="111"/>
      <c r="E766" s="111"/>
      <c r="F766" s="111"/>
      <c r="G766" s="111"/>
      <c r="H766" s="111"/>
      <c r="I766" s="111"/>
      <c r="J766" s="112"/>
      <c r="K766" s="111"/>
      <c r="L766" s="98"/>
    </row>
    <row r="767" spans="1:12" ht="15.75" customHeight="1">
      <c r="A767" s="111"/>
      <c r="B767" s="111"/>
      <c r="C767" s="111"/>
      <c r="D767" s="111"/>
      <c r="E767" s="111"/>
      <c r="F767" s="111"/>
      <c r="G767" s="111"/>
      <c r="H767" s="111"/>
      <c r="I767" s="111"/>
      <c r="J767" s="112"/>
      <c r="K767" s="111"/>
      <c r="L767" s="98"/>
    </row>
    <row r="768" spans="1:12" ht="15.75" customHeight="1">
      <c r="A768" s="111"/>
      <c r="B768" s="111"/>
      <c r="C768" s="111"/>
      <c r="D768" s="111"/>
      <c r="E768" s="111"/>
      <c r="F768" s="111"/>
      <c r="G768" s="111"/>
      <c r="H768" s="111"/>
      <c r="I768" s="111"/>
      <c r="J768" s="112"/>
      <c r="K768" s="111"/>
      <c r="L768" s="98"/>
    </row>
    <row r="769" spans="1:12" ht="15.75" customHeight="1">
      <c r="A769" s="111"/>
      <c r="B769" s="111"/>
      <c r="C769" s="111"/>
      <c r="D769" s="111"/>
      <c r="E769" s="111"/>
      <c r="F769" s="111"/>
      <c r="G769" s="111"/>
      <c r="H769" s="111"/>
      <c r="I769" s="111"/>
      <c r="J769" s="112"/>
      <c r="K769" s="111"/>
      <c r="L769" s="98"/>
    </row>
    <row r="770" spans="1:12" ht="15.75" customHeight="1">
      <c r="A770" s="111"/>
      <c r="B770" s="111"/>
      <c r="C770" s="111"/>
      <c r="D770" s="111"/>
      <c r="E770" s="111"/>
      <c r="F770" s="111"/>
      <c r="G770" s="111"/>
      <c r="H770" s="111"/>
      <c r="I770" s="111"/>
      <c r="J770" s="112"/>
      <c r="K770" s="111"/>
      <c r="L770" s="98"/>
    </row>
    <row r="771" spans="1:12" ht="15.75" customHeight="1">
      <c r="A771" s="111"/>
      <c r="B771" s="111"/>
      <c r="C771" s="111"/>
      <c r="D771" s="111"/>
      <c r="E771" s="111"/>
      <c r="F771" s="111"/>
      <c r="G771" s="111"/>
      <c r="H771" s="111"/>
      <c r="I771" s="111"/>
      <c r="J771" s="112"/>
      <c r="K771" s="111"/>
      <c r="L771" s="98"/>
    </row>
    <row r="772" spans="1:12" ht="15.75" customHeight="1">
      <c r="A772" s="111"/>
      <c r="B772" s="111"/>
      <c r="C772" s="111"/>
      <c r="D772" s="111"/>
      <c r="E772" s="111"/>
      <c r="F772" s="111"/>
      <c r="G772" s="111"/>
      <c r="H772" s="111"/>
      <c r="I772" s="111"/>
      <c r="J772" s="112"/>
      <c r="K772" s="111"/>
      <c r="L772" s="98"/>
    </row>
    <row r="773" spans="1:12" ht="15.75" customHeight="1">
      <c r="A773" s="111"/>
      <c r="B773" s="111"/>
      <c r="C773" s="111"/>
      <c r="D773" s="111"/>
      <c r="E773" s="111"/>
      <c r="F773" s="111"/>
      <c r="G773" s="111"/>
      <c r="H773" s="111"/>
      <c r="I773" s="111"/>
      <c r="J773" s="112"/>
      <c r="K773" s="111"/>
      <c r="L773" s="98"/>
    </row>
    <row r="774" spans="1:12" ht="15.75" customHeight="1">
      <c r="A774" s="111"/>
      <c r="B774" s="111"/>
      <c r="C774" s="111"/>
      <c r="D774" s="111"/>
      <c r="E774" s="111"/>
      <c r="F774" s="111"/>
      <c r="G774" s="111"/>
      <c r="H774" s="111"/>
      <c r="I774" s="111"/>
      <c r="J774" s="112"/>
      <c r="K774" s="111"/>
      <c r="L774" s="98"/>
    </row>
    <row r="775" spans="1:12" ht="15.75" customHeight="1">
      <c r="A775" s="111"/>
      <c r="B775" s="111"/>
      <c r="C775" s="111"/>
      <c r="D775" s="111"/>
      <c r="E775" s="111"/>
      <c r="F775" s="111"/>
      <c r="G775" s="111"/>
      <c r="H775" s="111"/>
      <c r="I775" s="111"/>
      <c r="J775" s="112"/>
      <c r="K775" s="111"/>
      <c r="L775" s="98"/>
    </row>
    <row r="776" spans="1:12" ht="15.75" customHeight="1">
      <c r="A776" s="111"/>
      <c r="B776" s="111"/>
      <c r="C776" s="111"/>
      <c r="D776" s="111"/>
      <c r="E776" s="111"/>
      <c r="F776" s="111"/>
      <c r="G776" s="111"/>
      <c r="H776" s="111"/>
      <c r="I776" s="111"/>
      <c r="J776" s="112"/>
      <c r="K776" s="111"/>
      <c r="L776" s="98"/>
    </row>
    <row r="777" spans="1:12" ht="15.75" customHeight="1">
      <c r="A777" s="111"/>
      <c r="B777" s="111"/>
      <c r="C777" s="111"/>
      <c r="D777" s="111"/>
      <c r="E777" s="111"/>
      <c r="F777" s="111"/>
      <c r="G777" s="111"/>
      <c r="H777" s="111"/>
      <c r="I777" s="111"/>
      <c r="J777" s="112"/>
      <c r="K777" s="111"/>
      <c r="L777" s="98"/>
    </row>
    <row r="778" spans="1:12" ht="15.75" customHeight="1">
      <c r="A778" s="111"/>
      <c r="B778" s="111"/>
      <c r="C778" s="111"/>
      <c r="D778" s="111"/>
      <c r="E778" s="111"/>
      <c r="F778" s="111"/>
      <c r="G778" s="111"/>
      <c r="H778" s="111"/>
      <c r="I778" s="111"/>
      <c r="J778" s="112"/>
      <c r="K778" s="111"/>
      <c r="L778" s="98"/>
    </row>
    <row r="779" spans="1:12" ht="15.75" customHeight="1">
      <c r="A779" s="111"/>
      <c r="B779" s="111"/>
      <c r="C779" s="111"/>
      <c r="D779" s="111"/>
      <c r="E779" s="111"/>
      <c r="F779" s="111"/>
      <c r="G779" s="111"/>
      <c r="H779" s="111"/>
      <c r="I779" s="111"/>
      <c r="J779" s="112"/>
      <c r="K779" s="111"/>
      <c r="L779" s="98"/>
    </row>
    <row r="780" spans="1:12" ht="15.75" customHeight="1">
      <c r="A780" s="111"/>
      <c r="B780" s="111"/>
      <c r="C780" s="111"/>
      <c r="D780" s="111"/>
      <c r="E780" s="111"/>
      <c r="F780" s="111"/>
      <c r="G780" s="111"/>
      <c r="H780" s="111"/>
      <c r="I780" s="111"/>
      <c r="J780" s="112"/>
      <c r="K780" s="111"/>
      <c r="L780" s="98"/>
    </row>
    <row r="781" spans="1:12" ht="15.75" customHeight="1">
      <c r="A781" s="111"/>
      <c r="B781" s="111"/>
      <c r="C781" s="111"/>
      <c r="D781" s="111"/>
      <c r="E781" s="111"/>
      <c r="F781" s="111"/>
      <c r="G781" s="111"/>
      <c r="H781" s="111"/>
      <c r="I781" s="111"/>
      <c r="J781" s="112"/>
      <c r="K781" s="111"/>
      <c r="L781" s="98"/>
    </row>
    <row r="782" spans="1:12" ht="15.75" customHeight="1">
      <c r="A782" s="111"/>
      <c r="B782" s="111"/>
      <c r="C782" s="111"/>
      <c r="D782" s="111"/>
      <c r="E782" s="111"/>
      <c r="F782" s="111"/>
      <c r="G782" s="111"/>
      <c r="H782" s="111"/>
      <c r="I782" s="111"/>
      <c r="J782" s="112"/>
      <c r="K782" s="111"/>
      <c r="L782" s="98"/>
    </row>
    <row r="783" spans="1:12" ht="15.75" customHeight="1">
      <c r="A783" s="111"/>
      <c r="B783" s="111"/>
      <c r="C783" s="111"/>
      <c r="D783" s="111"/>
      <c r="E783" s="111"/>
      <c r="F783" s="111"/>
      <c r="G783" s="111"/>
      <c r="H783" s="111"/>
      <c r="I783" s="111"/>
      <c r="J783" s="112"/>
      <c r="K783" s="111"/>
      <c r="L783" s="98"/>
    </row>
    <row r="784" spans="1:12" ht="15.75" customHeight="1">
      <c r="A784" s="111"/>
      <c r="B784" s="111"/>
      <c r="C784" s="111"/>
      <c r="D784" s="111"/>
      <c r="E784" s="111"/>
      <c r="F784" s="111"/>
      <c r="G784" s="111"/>
      <c r="H784" s="111"/>
      <c r="I784" s="111"/>
      <c r="J784" s="112"/>
      <c r="K784" s="111"/>
      <c r="L784" s="98"/>
    </row>
    <row r="785" spans="1:12" ht="15.75" customHeight="1">
      <c r="A785" s="111"/>
      <c r="B785" s="111"/>
      <c r="C785" s="111"/>
      <c r="D785" s="111"/>
      <c r="E785" s="111"/>
      <c r="F785" s="111"/>
      <c r="G785" s="111"/>
      <c r="H785" s="111"/>
      <c r="I785" s="111"/>
      <c r="J785" s="112"/>
      <c r="K785" s="111"/>
      <c r="L785" s="98"/>
    </row>
    <row r="786" spans="1:12" ht="15.75" customHeight="1">
      <c r="A786" s="111"/>
      <c r="B786" s="111"/>
      <c r="C786" s="111"/>
      <c r="D786" s="111"/>
      <c r="E786" s="111"/>
      <c r="F786" s="111"/>
      <c r="G786" s="111"/>
      <c r="H786" s="111"/>
      <c r="I786" s="111"/>
      <c r="J786" s="112"/>
      <c r="K786" s="111"/>
      <c r="L786" s="98"/>
    </row>
    <row r="787" spans="1:12" ht="15.75" customHeight="1">
      <c r="A787" s="111"/>
      <c r="B787" s="111"/>
      <c r="C787" s="111"/>
      <c r="D787" s="111"/>
      <c r="E787" s="111"/>
      <c r="F787" s="111"/>
      <c r="G787" s="111"/>
      <c r="H787" s="111"/>
      <c r="I787" s="111"/>
      <c r="J787" s="112"/>
      <c r="K787" s="111"/>
      <c r="L787" s="98"/>
    </row>
    <row r="788" spans="1:12" ht="15.75" customHeight="1">
      <c r="A788" s="111"/>
      <c r="B788" s="111"/>
      <c r="C788" s="111"/>
      <c r="D788" s="111"/>
      <c r="E788" s="111"/>
      <c r="F788" s="111"/>
      <c r="G788" s="111"/>
      <c r="H788" s="111"/>
      <c r="I788" s="111"/>
      <c r="J788" s="112"/>
      <c r="K788" s="111"/>
      <c r="L788" s="98"/>
    </row>
    <row r="789" spans="1:12" ht="15.75" customHeight="1">
      <c r="A789" s="111"/>
      <c r="B789" s="111"/>
      <c r="C789" s="111"/>
      <c r="D789" s="111"/>
      <c r="E789" s="111"/>
      <c r="F789" s="111"/>
      <c r="G789" s="111"/>
      <c r="H789" s="111"/>
      <c r="I789" s="111"/>
      <c r="J789" s="112"/>
      <c r="K789" s="111"/>
      <c r="L789" s="98"/>
    </row>
    <row r="790" spans="1:12" ht="15.75" customHeight="1">
      <c r="A790" s="111"/>
      <c r="B790" s="111"/>
      <c r="C790" s="111"/>
      <c r="D790" s="111"/>
      <c r="E790" s="111"/>
      <c r="F790" s="111"/>
      <c r="G790" s="111"/>
      <c r="H790" s="111"/>
      <c r="I790" s="111"/>
      <c r="J790" s="112"/>
      <c r="K790" s="111"/>
      <c r="L790" s="98"/>
    </row>
    <row r="791" spans="1:12" ht="15.75" customHeight="1">
      <c r="A791" s="111"/>
      <c r="B791" s="111"/>
      <c r="C791" s="111"/>
      <c r="D791" s="111"/>
      <c r="E791" s="111"/>
      <c r="F791" s="111"/>
      <c r="G791" s="111"/>
      <c r="H791" s="111"/>
      <c r="I791" s="111"/>
      <c r="J791" s="112"/>
      <c r="K791" s="111"/>
      <c r="L791" s="98"/>
    </row>
    <row r="792" spans="1:12" ht="15.75" customHeight="1">
      <c r="A792" s="111"/>
      <c r="B792" s="111"/>
      <c r="C792" s="111"/>
      <c r="D792" s="111"/>
      <c r="E792" s="111"/>
      <c r="F792" s="111"/>
      <c r="G792" s="111"/>
      <c r="H792" s="111"/>
      <c r="I792" s="111"/>
      <c r="J792" s="112"/>
      <c r="K792" s="111"/>
      <c r="L792" s="98"/>
    </row>
    <row r="793" spans="1:12" ht="15.75" customHeight="1">
      <c r="A793" s="111"/>
      <c r="B793" s="111"/>
      <c r="C793" s="111"/>
      <c r="D793" s="111"/>
      <c r="E793" s="111"/>
      <c r="F793" s="111"/>
      <c r="G793" s="111"/>
      <c r="H793" s="111"/>
      <c r="I793" s="111"/>
      <c r="J793" s="112"/>
      <c r="K793" s="111"/>
      <c r="L793" s="98"/>
    </row>
    <row r="794" spans="1:12" ht="15.75" customHeight="1">
      <c r="A794" s="111"/>
      <c r="B794" s="111"/>
      <c r="C794" s="111"/>
      <c r="D794" s="111"/>
      <c r="E794" s="111"/>
      <c r="F794" s="111"/>
      <c r="G794" s="111"/>
      <c r="H794" s="111"/>
      <c r="I794" s="111"/>
      <c r="J794" s="112"/>
      <c r="K794" s="111"/>
      <c r="L794" s="98"/>
    </row>
    <row r="795" spans="1:12" ht="15.75" customHeight="1">
      <c r="A795" s="111"/>
      <c r="B795" s="111"/>
      <c r="C795" s="111"/>
      <c r="D795" s="111"/>
      <c r="E795" s="111"/>
      <c r="F795" s="111"/>
      <c r="G795" s="111"/>
      <c r="H795" s="111"/>
      <c r="I795" s="111"/>
      <c r="J795" s="112"/>
      <c r="K795" s="111"/>
      <c r="L795" s="98"/>
    </row>
    <row r="796" spans="1:12" ht="15.75" customHeight="1">
      <c r="A796" s="111"/>
      <c r="B796" s="111"/>
      <c r="C796" s="111"/>
      <c r="D796" s="111"/>
      <c r="E796" s="111"/>
      <c r="F796" s="111"/>
      <c r="G796" s="111"/>
      <c r="H796" s="111"/>
      <c r="I796" s="111"/>
      <c r="J796" s="112"/>
      <c r="K796" s="111"/>
      <c r="L796" s="98"/>
    </row>
    <row r="797" spans="1:12" ht="15.75" customHeight="1">
      <c r="A797" s="111"/>
      <c r="B797" s="111"/>
      <c r="C797" s="111"/>
      <c r="D797" s="111"/>
      <c r="E797" s="111"/>
      <c r="F797" s="111"/>
      <c r="G797" s="111"/>
      <c r="H797" s="111"/>
      <c r="I797" s="111"/>
      <c r="J797" s="112"/>
      <c r="K797" s="111"/>
      <c r="L797" s="98"/>
    </row>
    <row r="798" spans="1:12" ht="15.75" customHeight="1">
      <c r="A798" s="111"/>
      <c r="B798" s="111"/>
      <c r="C798" s="111"/>
      <c r="D798" s="111"/>
      <c r="E798" s="111"/>
      <c r="F798" s="111"/>
      <c r="G798" s="111"/>
      <c r="H798" s="111"/>
      <c r="I798" s="111"/>
      <c r="J798" s="112"/>
      <c r="K798" s="111"/>
      <c r="L798" s="98"/>
    </row>
    <row r="799" spans="1:12" ht="15.75" customHeight="1">
      <c r="A799" s="111"/>
      <c r="B799" s="111"/>
      <c r="C799" s="111"/>
      <c r="D799" s="111"/>
      <c r="E799" s="111"/>
      <c r="F799" s="111"/>
      <c r="G799" s="111"/>
      <c r="H799" s="111"/>
      <c r="I799" s="111"/>
      <c r="J799" s="112"/>
      <c r="K799" s="111"/>
      <c r="L799" s="98"/>
    </row>
    <row r="800" spans="1:12" ht="15.75" customHeight="1">
      <c r="A800" s="111"/>
      <c r="B800" s="111"/>
      <c r="C800" s="111"/>
      <c r="D800" s="111"/>
      <c r="E800" s="111"/>
      <c r="F800" s="111"/>
      <c r="G800" s="111"/>
      <c r="H800" s="111"/>
      <c r="I800" s="111"/>
      <c r="J800" s="112"/>
      <c r="K800" s="111"/>
      <c r="L800" s="98"/>
    </row>
    <row r="801" spans="1:12" ht="15.75" customHeight="1">
      <c r="A801" s="111"/>
      <c r="B801" s="111"/>
      <c r="C801" s="111"/>
      <c r="D801" s="111"/>
      <c r="E801" s="111"/>
      <c r="F801" s="111"/>
      <c r="G801" s="111"/>
      <c r="H801" s="111"/>
      <c r="I801" s="111"/>
      <c r="J801" s="112"/>
      <c r="K801" s="111"/>
      <c r="L801" s="98"/>
    </row>
    <row r="802" spans="1:12" ht="15.75" customHeight="1">
      <c r="A802" s="111"/>
      <c r="B802" s="111"/>
      <c r="C802" s="111"/>
      <c r="D802" s="111"/>
      <c r="E802" s="111"/>
      <c r="F802" s="111"/>
      <c r="G802" s="111"/>
      <c r="H802" s="111"/>
      <c r="I802" s="111"/>
      <c r="J802" s="112"/>
      <c r="K802" s="111"/>
      <c r="L802" s="98"/>
    </row>
    <row r="803" spans="1:12" ht="15.75" customHeight="1">
      <c r="A803" s="111"/>
      <c r="B803" s="111"/>
      <c r="C803" s="111"/>
      <c r="D803" s="111"/>
      <c r="E803" s="111"/>
      <c r="F803" s="111"/>
      <c r="G803" s="111"/>
      <c r="H803" s="111"/>
      <c r="I803" s="111"/>
      <c r="J803" s="112"/>
      <c r="K803" s="111"/>
      <c r="L803" s="98"/>
    </row>
    <row r="804" spans="1:12" ht="15.75" customHeight="1">
      <c r="A804" s="111"/>
      <c r="B804" s="111"/>
      <c r="C804" s="111"/>
      <c r="D804" s="111"/>
      <c r="E804" s="111"/>
      <c r="F804" s="111"/>
      <c r="G804" s="111"/>
      <c r="H804" s="111"/>
      <c r="I804" s="111"/>
      <c r="J804" s="112"/>
      <c r="K804" s="111"/>
      <c r="L804" s="98"/>
    </row>
    <row r="805" spans="1:12" ht="15.75" customHeight="1">
      <c r="A805" s="111"/>
      <c r="B805" s="111"/>
      <c r="C805" s="111"/>
      <c r="D805" s="111"/>
      <c r="E805" s="111"/>
      <c r="F805" s="111"/>
      <c r="G805" s="111"/>
      <c r="H805" s="111"/>
      <c r="I805" s="111"/>
      <c r="J805" s="112"/>
      <c r="K805" s="111"/>
      <c r="L805" s="98"/>
    </row>
    <row r="806" spans="1:12" ht="15.75" customHeight="1">
      <c r="A806" s="111"/>
      <c r="B806" s="111"/>
      <c r="C806" s="111"/>
      <c r="D806" s="111"/>
      <c r="E806" s="111"/>
      <c r="F806" s="111"/>
      <c r="G806" s="111"/>
      <c r="H806" s="111"/>
      <c r="I806" s="111"/>
      <c r="J806" s="112"/>
      <c r="K806" s="111"/>
      <c r="L806" s="98"/>
    </row>
    <row r="807" spans="1:12" ht="15.75" customHeight="1">
      <c r="A807" s="111"/>
      <c r="B807" s="111"/>
      <c r="C807" s="111"/>
      <c r="D807" s="111"/>
      <c r="E807" s="111"/>
      <c r="F807" s="111"/>
      <c r="G807" s="111"/>
      <c r="H807" s="111"/>
      <c r="I807" s="111"/>
      <c r="J807" s="112"/>
      <c r="K807" s="111"/>
      <c r="L807" s="98"/>
    </row>
    <row r="808" spans="1:12" ht="15.75" customHeight="1">
      <c r="A808" s="111"/>
      <c r="B808" s="111"/>
      <c r="C808" s="111"/>
      <c r="D808" s="111"/>
      <c r="E808" s="111"/>
      <c r="F808" s="111"/>
      <c r="G808" s="111"/>
      <c r="H808" s="111"/>
      <c r="I808" s="111"/>
      <c r="J808" s="112"/>
      <c r="K808" s="111"/>
      <c r="L808" s="98"/>
    </row>
    <row r="809" spans="1:12" ht="15.75" customHeight="1">
      <c r="A809" s="111"/>
      <c r="B809" s="111"/>
      <c r="C809" s="111"/>
      <c r="D809" s="111"/>
      <c r="E809" s="111"/>
      <c r="F809" s="111"/>
      <c r="G809" s="111"/>
      <c r="H809" s="111"/>
      <c r="I809" s="111"/>
      <c r="J809" s="112"/>
      <c r="K809" s="111"/>
      <c r="L809" s="98"/>
    </row>
    <row r="810" spans="1:12" ht="15.75" customHeight="1">
      <c r="A810" s="111"/>
      <c r="B810" s="111"/>
      <c r="C810" s="111"/>
      <c r="D810" s="111"/>
      <c r="E810" s="111"/>
      <c r="F810" s="111"/>
      <c r="G810" s="111"/>
      <c r="H810" s="111"/>
      <c r="I810" s="111"/>
      <c r="J810" s="112"/>
      <c r="K810" s="111"/>
      <c r="L810" s="98"/>
    </row>
    <row r="811" spans="1:12" ht="15.75" customHeight="1">
      <c r="A811" s="111"/>
      <c r="B811" s="111"/>
      <c r="C811" s="111"/>
      <c r="D811" s="111"/>
      <c r="E811" s="111"/>
      <c r="F811" s="111"/>
      <c r="G811" s="111"/>
      <c r="H811" s="111"/>
      <c r="I811" s="111"/>
      <c r="J811" s="112"/>
      <c r="K811" s="111"/>
      <c r="L811" s="98"/>
    </row>
    <row r="812" spans="1:12" ht="15.75" customHeight="1">
      <c r="A812" s="111"/>
      <c r="B812" s="111"/>
      <c r="C812" s="111"/>
      <c r="D812" s="111"/>
      <c r="E812" s="111"/>
      <c r="F812" s="111"/>
      <c r="G812" s="111"/>
      <c r="H812" s="111"/>
      <c r="I812" s="111"/>
      <c r="J812" s="112"/>
      <c r="K812" s="111"/>
      <c r="L812" s="98"/>
    </row>
    <row r="813" spans="1:12" ht="15.75" customHeight="1">
      <c r="A813" s="111"/>
      <c r="B813" s="111"/>
      <c r="C813" s="111"/>
      <c r="D813" s="111"/>
      <c r="E813" s="111"/>
      <c r="F813" s="111"/>
      <c r="G813" s="111"/>
      <c r="H813" s="111"/>
      <c r="I813" s="111"/>
      <c r="J813" s="112"/>
      <c r="K813" s="111"/>
      <c r="L813" s="98"/>
    </row>
    <row r="814" spans="1:12" ht="15.75" customHeight="1">
      <c r="A814" s="111"/>
      <c r="B814" s="111"/>
      <c r="C814" s="111"/>
      <c r="D814" s="111"/>
      <c r="E814" s="111"/>
      <c r="F814" s="111"/>
      <c r="G814" s="111"/>
      <c r="H814" s="111"/>
      <c r="I814" s="111"/>
      <c r="J814" s="112"/>
      <c r="K814" s="111"/>
      <c r="L814" s="98"/>
    </row>
    <row r="815" spans="1:12" ht="15.75" customHeight="1">
      <c r="A815" s="111"/>
      <c r="B815" s="111"/>
      <c r="C815" s="111"/>
      <c r="D815" s="111"/>
      <c r="E815" s="111"/>
      <c r="F815" s="111"/>
      <c r="G815" s="111"/>
      <c r="H815" s="111"/>
      <c r="I815" s="111"/>
      <c r="J815" s="112"/>
      <c r="K815" s="111"/>
      <c r="L815" s="98"/>
    </row>
    <row r="816" spans="1:12" ht="15.75" customHeight="1">
      <c r="A816" s="111"/>
      <c r="B816" s="111"/>
      <c r="C816" s="111"/>
      <c r="D816" s="111"/>
      <c r="E816" s="111"/>
      <c r="F816" s="111"/>
      <c r="G816" s="111"/>
      <c r="H816" s="111"/>
      <c r="I816" s="111"/>
      <c r="J816" s="112"/>
      <c r="K816" s="111"/>
      <c r="L816" s="98"/>
    </row>
    <row r="817" spans="1:12" ht="15.75" customHeight="1">
      <c r="A817" s="111"/>
      <c r="B817" s="111"/>
      <c r="C817" s="111"/>
      <c r="D817" s="111"/>
      <c r="E817" s="111"/>
      <c r="F817" s="111"/>
      <c r="G817" s="111"/>
      <c r="H817" s="111"/>
      <c r="I817" s="111"/>
      <c r="J817" s="112"/>
      <c r="K817" s="111"/>
      <c r="L817" s="98"/>
    </row>
    <row r="818" spans="1:12" ht="15.75" customHeight="1">
      <c r="A818" s="111"/>
      <c r="B818" s="111"/>
      <c r="C818" s="111"/>
      <c r="D818" s="111"/>
      <c r="E818" s="111"/>
      <c r="F818" s="111"/>
      <c r="G818" s="111"/>
      <c r="H818" s="111"/>
      <c r="I818" s="111"/>
      <c r="J818" s="112"/>
      <c r="K818" s="111"/>
      <c r="L818" s="98"/>
    </row>
    <row r="819" spans="1:12" ht="15.75" customHeight="1">
      <c r="A819" s="111"/>
      <c r="B819" s="111"/>
      <c r="C819" s="111"/>
      <c r="D819" s="111"/>
      <c r="E819" s="111"/>
      <c r="F819" s="111"/>
      <c r="G819" s="111"/>
      <c r="H819" s="111"/>
      <c r="I819" s="111"/>
      <c r="J819" s="112"/>
      <c r="K819" s="111"/>
      <c r="L819" s="98"/>
    </row>
    <row r="820" spans="1:12" ht="15.75" customHeight="1">
      <c r="A820" s="111"/>
      <c r="B820" s="111"/>
      <c r="C820" s="111"/>
      <c r="D820" s="111"/>
      <c r="E820" s="111"/>
      <c r="F820" s="111"/>
      <c r="G820" s="111"/>
      <c r="H820" s="111"/>
      <c r="I820" s="111"/>
      <c r="J820" s="112"/>
      <c r="K820" s="111"/>
      <c r="L820" s="98"/>
    </row>
    <row r="821" spans="1:12" ht="15.75" customHeight="1">
      <c r="A821" s="111"/>
      <c r="B821" s="111"/>
      <c r="C821" s="111"/>
      <c r="D821" s="111"/>
      <c r="E821" s="111"/>
      <c r="F821" s="111"/>
      <c r="G821" s="111"/>
      <c r="H821" s="111"/>
      <c r="I821" s="111"/>
      <c r="J821" s="112"/>
      <c r="K821" s="111"/>
      <c r="L821" s="98"/>
    </row>
    <row r="822" spans="1:12" ht="15.75" customHeight="1">
      <c r="A822" s="111"/>
      <c r="B822" s="111"/>
      <c r="C822" s="111"/>
      <c r="D822" s="111"/>
      <c r="E822" s="111"/>
      <c r="F822" s="111"/>
      <c r="G822" s="111"/>
      <c r="H822" s="111"/>
      <c r="I822" s="111"/>
      <c r="J822" s="112"/>
      <c r="K822" s="111"/>
      <c r="L822" s="98"/>
    </row>
    <row r="823" spans="1:12" ht="15.75" customHeight="1">
      <c r="A823" s="111"/>
      <c r="B823" s="111"/>
      <c r="C823" s="111"/>
      <c r="D823" s="111"/>
      <c r="E823" s="111"/>
      <c r="F823" s="111"/>
      <c r="G823" s="111"/>
      <c r="H823" s="111"/>
      <c r="I823" s="111"/>
      <c r="J823" s="112"/>
      <c r="K823" s="111"/>
      <c r="L823" s="98"/>
    </row>
    <row r="824" spans="1:12" ht="15.75" customHeight="1">
      <c r="A824" s="111"/>
      <c r="B824" s="111"/>
      <c r="C824" s="111"/>
      <c r="D824" s="111"/>
      <c r="E824" s="111"/>
      <c r="F824" s="111"/>
      <c r="G824" s="111"/>
      <c r="H824" s="111"/>
      <c r="I824" s="111"/>
      <c r="J824" s="112"/>
      <c r="K824" s="111"/>
      <c r="L824" s="98"/>
    </row>
    <row r="825" spans="1:12" ht="15.75" customHeight="1">
      <c r="A825" s="111"/>
      <c r="B825" s="111"/>
      <c r="C825" s="111"/>
      <c r="D825" s="111"/>
      <c r="E825" s="111"/>
      <c r="F825" s="111"/>
      <c r="G825" s="111"/>
      <c r="H825" s="111"/>
      <c r="I825" s="111"/>
      <c r="J825" s="112"/>
      <c r="K825" s="111"/>
      <c r="L825" s="98"/>
    </row>
    <row r="826" spans="1:12" ht="15.75" customHeight="1">
      <c r="A826" s="111"/>
      <c r="B826" s="111"/>
      <c r="C826" s="111"/>
      <c r="D826" s="111"/>
      <c r="E826" s="111"/>
      <c r="F826" s="111"/>
      <c r="G826" s="111"/>
      <c r="H826" s="111"/>
      <c r="I826" s="111"/>
      <c r="J826" s="112"/>
      <c r="K826" s="111"/>
      <c r="L826" s="98"/>
    </row>
    <row r="827" spans="1:12" ht="15.75" customHeight="1">
      <c r="A827" s="111"/>
      <c r="B827" s="111"/>
      <c r="C827" s="111"/>
      <c r="D827" s="111"/>
      <c r="E827" s="111"/>
      <c r="F827" s="111"/>
      <c r="G827" s="111"/>
      <c r="H827" s="111"/>
      <c r="I827" s="111"/>
      <c r="J827" s="112"/>
      <c r="K827" s="111"/>
      <c r="L827" s="98"/>
    </row>
    <row r="828" spans="1:12" ht="15.75" customHeight="1">
      <c r="A828" s="111"/>
      <c r="B828" s="111"/>
      <c r="C828" s="111"/>
      <c r="D828" s="111"/>
      <c r="E828" s="111"/>
      <c r="F828" s="111"/>
      <c r="G828" s="111"/>
      <c r="H828" s="111"/>
      <c r="I828" s="111"/>
      <c r="J828" s="112"/>
      <c r="K828" s="111"/>
      <c r="L828" s="98"/>
    </row>
    <row r="829" spans="1:12" ht="15.75" customHeight="1">
      <c r="A829" s="111"/>
      <c r="B829" s="111"/>
      <c r="C829" s="111"/>
      <c r="D829" s="111"/>
      <c r="E829" s="111"/>
      <c r="F829" s="111"/>
      <c r="G829" s="111"/>
      <c r="H829" s="111"/>
      <c r="I829" s="111"/>
      <c r="J829" s="112"/>
      <c r="K829" s="111"/>
      <c r="L829" s="98"/>
    </row>
    <row r="830" spans="1:12" ht="15.75" customHeight="1">
      <c r="A830" s="111"/>
      <c r="B830" s="111"/>
      <c r="C830" s="111"/>
      <c r="D830" s="111"/>
      <c r="E830" s="111"/>
      <c r="F830" s="111"/>
      <c r="G830" s="111"/>
      <c r="H830" s="111"/>
      <c r="I830" s="111"/>
      <c r="J830" s="112"/>
      <c r="K830" s="111"/>
      <c r="L830" s="98"/>
    </row>
    <row r="831" spans="1:12" ht="15.75" customHeight="1">
      <c r="A831" s="111"/>
      <c r="B831" s="111"/>
      <c r="C831" s="111"/>
      <c r="D831" s="111"/>
      <c r="E831" s="111"/>
      <c r="F831" s="111"/>
      <c r="G831" s="111"/>
      <c r="H831" s="111"/>
      <c r="I831" s="111"/>
      <c r="J831" s="112"/>
      <c r="K831" s="111"/>
      <c r="L831" s="98"/>
    </row>
    <row r="832" spans="1:12" ht="15.75" customHeight="1">
      <c r="A832" s="111"/>
      <c r="B832" s="111"/>
      <c r="C832" s="111"/>
      <c r="D832" s="111"/>
      <c r="E832" s="111"/>
      <c r="F832" s="111"/>
      <c r="G832" s="111"/>
      <c r="H832" s="111"/>
      <c r="I832" s="111"/>
      <c r="J832" s="112"/>
      <c r="K832" s="111"/>
      <c r="L832" s="98"/>
    </row>
    <row r="833" spans="1:12" ht="15.75" customHeight="1">
      <c r="A833" s="111"/>
      <c r="B833" s="111"/>
      <c r="C833" s="111"/>
      <c r="D833" s="111"/>
      <c r="E833" s="111"/>
      <c r="F833" s="111"/>
      <c r="G833" s="111"/>
      <c r="H833" s="111"/>
      <c r="I833" s="111"/>
      <c r="J833" s="112"/>
      <c r="K833" s="111"/>
      <c r="L833" s="98"/>
    </row>
    <row r="834" spans="1:12" ht="15.75" customHeight="1">
      <c r="A834" s="111"/>
      <c r="B834" s="111"/>
      <c r="C834" s="111"/>
      <c r="D834" s="111"/>
      <c r="E834" s="111"/>
      <c r="F834" s="111"/>
      <c r="G834" s="111"/>
      <c r="H834" s="111"/>
      <c r="I834" s="111"/>
      <c r="J834" s="112"/>
      <c r="K834" s="111"/>
      <c r="L834" s="98"/>
    </row>
    <row r="835" spans="1:12" ht="15.75" customHeight="1">
      <c r="A835" s="111"/>
      <c r="B835" s="111"/>
      <c r="C835" s="111"/>
      <c r="D835" s="111"/>
      <c r="E835" s="111"/>
      <c r="F835" s="111"/>
      <c r="G835" s="111"/>
      <c r="H835" s="111"/>
      <c r="I835" s="111"/>
      <c r="J835" s="112"/>
      <c r="K835" s="111"/>
      <c r="L835" s="98"/>
    </row>
    <row r="836" spans="1:12" ht="15.75" customHeight="1">
      <c r="A836" s="96"/>
      <c r="B836" s="96"/>
      <c r="C836" s="96"/>
      <c r="D836" s="96"/>
      <c r="E836" s="96"/>
      <c r="F836" s="96"/>
      <c r="G836" s="96"/>
      <c r="H836" s="96"/>
      <c r="I836" s="96"/>
      <c r="J836" s="97"/>
      <c r="K836" s="96"/>
      <c r="L836" s="98"/>
    </row>
    <row r="837" spans="1:12" ht="15.75" customHeight="1">
      <c r="A837" s="96"/>
      <c r="B837" s="96"/>
      <c r="C837" s="96"/>
      <c r="D837" s="96"/>
      <c r="E837" s="96"/>
      <c r="F837" s="96"/>
      <c r="G837" s="96"/>
      <c r="H837" s="96"/>
      <c r="I837" s="96"/>
      <c r="J837" s="97"/>
      <c r="K837" s="96"/>
      <c r="L837" s="98"/>
    </row>
    <row r="838" spans="1:12" ht="15.75" customHeight="1">
      <c r="A838" s="96"/>
      <c r="B838" s="96"/>
      <c r="C838" s="96"/>
      <c r="D838" s="96"/>
      <c r="E838" s="96"/>
      <c r="F838" s="96"/>
      <c r="G838" s="96"/>
      <c r="H838" s="96"/>
      <c r="I838" s="96"/>
      <c r="J838" s="97"/>
      <c r="K838" s="96"/>
      <c r="L838" s="98"/>
    </row>
    <row r="839" spans="1:12" ht="15.75" customHeight="1">
      <c r="A839" s="96"/>
      <c r="B839" s="96"/>
      <c r="C839" s="96"/>
      <c r="D839" s="96"/>
      <c r="E839" s="96"/>
      <c r="F839" s="96"/>
      <c r="G839" s="96"/>
      <c r="H839" s="96"/>
      <c r="I839" s="96"/>
      <c r="J839" s="97"/>
      <c r="K839" s="96"/>
      <c r="L839" s="98"/>
    </row>
    <row r="840" spans="1:12" ht="15.75" customHeight="1">
      <c r="A840" s="96"/>
      <c r="B840" s="96"/>
      <c r="C840" s="96"/>
      <c r="D840" s="96"/>
      <c r="E840" s="96"/>
      <c r="F840" s="96"/>
      <c r="G840" s="96"/>
      <c r="H840" s="96"/>
      <c r="I840" s="96"/>
      <c r="J840" s="97"/>
      <c r="K840" s="96"/>
      <c r="L840" s="98"/>
    </row>
    <row r="841" spans="1:12" ht="15.75" customHeight="1">
      <c r="A841" s="96"/>
      <c r="B841" s="96"/>
      <c r="C841" s="96"/>
      <c r="D841" s="96"/>
      <c r="E841" s="96"/>
      <c r="F841" s="96"/>
      <c r="G841" s="96"/>
      <c r="H841" s="96"/>
      <c r="I841" s="96"/>
      <c r="J841" s="97"/>
      <c r="K841" s="96"/>
      <c r="L841" s="98"/>
    </row>
    <row r="842" spans="1:12" ht="15.75" customHeight="1">
      <c r="A842" s="96"/>
      <c r="B842" s="96"/>
      <c r="C842" s="96"/>
      <c r="D842" s="96"/>
      <c r="E842" s="96"/>
      <c r="F842" s="96"/>
      <c r="G842" s="96"/>
      <c r="H842" s="96"/>
      <c r="I842" s="96"/>
      <c r="J842" s="97"/>
      <c r="K842" s="96"/>
      <c r="L842" s="98"/>
    </row>
    <row r="843" spans="1:12" ht="15.75" customHeight="1">
      <c r="A843" s="96"/>
      <c r="B843" s="96"/>
      <c r="C843" s="96"/>
      <c r="D843" s="96"/>
      <c r="E843" s="96"/>
      <c r="F843" s="96"/>
      <c r="G843" s="96"/>
      <c r="H843" s="96"/>
      <c r="I843" s="96"/>
      <c r="J843" s="97"/>
      <c r="K843" s="96"/>
      <c r="L843" s="98"/>
    </row>
    <row r="844" spans="1:12" ht="15.75" customHeight="1">
      <c r="A844" s="96"/>
      <c r="B844" s="96"/>
      <c r="C844" s="96"/>
      <c r="D844" s="96"/>
      <c r="E844" s="96"/>
      <c r="F844" s="96"/>
      <c r="G844" s="96"/>
      <c r="H844" s="96"/>
      <c r="I844" s="96"/>
      <c r="J844" s="97"/>
      <c r="K844" s="96"/>
      <c r="L844" s="98"/>
    </row>
    <row r="845" spans="1:12" ht="15.75" customHeight="1">
      <c r="A845" s="96"/>
      <c r="B845" s="96"/>
      <c r="C845" s="96"/>
      <c r="D845" s="96"/>
      <c r="E845" s="96"/>
      <c r="F845" s="96"/>
      <c r="G845" s="96"/>
      <c r="H845" s="96"/>
      <c r="I845" s="96"/>
      <c r="J845" s="97"/>
      <c r="K845" s="96"/>
      <c r="L845" s="98"/>
    </row>
    <row r="846" spans="1:12" ht="15.75" customHeight="1">
      <c r="A846" s="96"/>
      <c r="B846" s="96"/>
      <c r="C846" s="96"/>
      <c r="D846" s="96"/>
      <c r="E846" s="96"/>
      <c r="F846" s="96"/>
      <c r="G846" s="96"/>
      <c r="H846" s="96"/>
      <c r="I846" s="96"/>
      <c r="J846" s="97"/>
      <c r="K846" s="96"/>
      <c r="L846" s="98"/>
    </row>
    <row r="847" spans="1:12" ht="15.75" customHeight="1">
      <c r="A847" s="96"/>
      <c r="B847" s="96"/>
      <c r="C847" s="96"/>
      <c r="D847" s="96"/>
      <c r="E847" s="96"/>
      <c r="F847" s="96"/>
      <c r="G847" s="96"/>
      <c r="H847" s="96"/>
      <c r="I847" s="96"/>
      <c r="J847" s="97"/>
      <c r="K847" s="96"/>
      <c r="L847" s="98"/>
    </row>
    <row r="848" spans="1:12" ht="14.4">
      <c r="A848" s="96"/>
      <c r="B848" s="96"/>
      <c r="C848" s="96"/>
      <c r="D848" s="96"/>
      <c r="E848" s="96"/>
      <c r="F848" s="96"/>
      <c r="G848" s="96"/>
      <c r="H848" s="96"/>
      <c r="I848" s="96"/>
      <c r="J848" s="97"/>
      <c r="K848" s="96"/>
      <c r="L848" s="98"/>
    </row>
    <row r="849" spans="1:12" ht="14.4">
      <c r="A849" s="96"/>
      <c r="B849" s="96"/>
      <c r="C849" s="96"/>
      <c r="D849" s="96"/>
      <c r="E849" s="96"/>
      <c r="F849" s="96"/>
      <c r="G849" s="96"/>
      <c r="H849" s="96"/>
      <c r="I849" s="96"/>
      <c r="J849" s="97"/>
      <c r="K849" s="96"/>
      <c r="L849" s="98"/>
    </row>
    <row r="850" spans="1:12" ht="14.4">
      <c r="A850" s="96"/>
      <c r="B850" s="96"/>
      <c r="C850" s="96"/>
      <c r="D850" s="96"/>
      <c r="E850" s="96"/>
      <c r="F850" s="96"/>
      <c r="G850" s="96"/>
      <c r="H850" s="96"/>
      <c r="I850" s="96"/>
      <c r="J850" s="97"/>
      <c r="K850" s="96"/>
      <c r="L850" s="98"/>
    </row>
    <row r="851" spans="1:12" ht="14.4">
      <c r="A851" s="96"/>
      <c r="B851" s="96"/>
      <c r="C851" s="96"/>
      <c r="D851" s="96"/>
      <c r="E851" s="96"/>
      <c r="F851" s="96"/>
      <c r="G851" s="96"/>
      <c r="H851" s="96"/>
      <c r="I851" s="96"/>
      <c r="J851" s="97"/>
      <c r="K851" s="96"/>
      <c r="L851" s="98"/>
    </row>
    <row r="852" spans="1:12" ht="14.4">
      <c r="A852" s="96"/>
      <c r="B852" s="96"/>
      <c r="C852" s="96"/>
      <c r="D852" s="96"/>
      <c r="E852" s="96"/>
      <c r="F852" s="96"/>
      <c r="G852" s="96"/>
      <c r="H852" s="96"/>
      <c r="I852" s="96"/>
      <c r="J852" s="97"/>
      <c r="K852" s="96"/>
      <c r="L852" s="98"/>
    </row>
    <row r="853" spans="1:12" ht="14.4">
      <c r="A853" s="96"/>
      <c r="B853" s="96"/>
      <c r="C853" s="96"/>
      <c r="D853" s="96"/>
      <c r="E853" s="96"/>
      <c r="F853" s="96"/>
      <c r="G853" s="96"/>
      <c r="H853" s="96"/>
      <c r="I853" s="96"/>
      <c r="J853" s="97"/>
      <c r="K853" s="96"/>
      <c r="L853" s="98"/>
    </row>
    <row r="854" spans="1:12" ht="14.4">
      <c r="A854" s="96"/>
      <c r="B854" s="96"/>
      <c r="C854" s="96"/>
      <c r="D854" s="96"/>
      <c r="E854" s="96"/>
      <c r="F854" s="96"/>
      <c r="G854" s="96"/>
      <c r="H854" s="96"/>
      <c r="I854" s="96"/>
      <c r="J854" s="97"/>
      <c r="K854" s="96"/>
      <c r="L854" s="98"/>
    </row>
    <row r="855" spans="1:12" ht="14.4">
      <c r="A855" s="96"/>
      <c r="B855" s="96"/>
      <c r="C855" s="96"/>
      <c r="D855" s="96"/>
      <c r="E855" s="96"/>
      <c r="F855" s="96"/>
      <c r="G855" s="96"/>
      <c r="H855" s="96"/>
      <c r="I855" s="96"/>
      <c r="J855" s="97"/>
      <c r="K855" s="96"/>
      <c r="L855" s="98"/>
    </row>
    <row r="856" spans="1:12" ht="14.4">
      <c r="A856" s="96"/>
      <c r="B856" s="96"/>
      <c r="C856" s="96"/>
      <c r="D856" s="96"/>
      <c r="E856" s="96"/>
      <c r="F856" s="96"/>
      <c r="G856" s="96"/>
      <c r="H856" s="96"/>
      <c r="I856" s="96"/>
      <c r="J856" s="97"/>
      <c r="K856" s="96"/>
      <c r="L856" s="98"/>
    </row>
    <row r="857" spans="1:12" ht="14.4">
      <c r="A857" s="96"/>
      <c r="B857" s="96"/>
      <c r="C857" s="96"/>
      <c r="D857" s="96"/>
      <c r="E857" s="96"/>
      <c r="F857" s="96"/>
      <c r="G857" s="96"/>
      <c r="H857" s="96"/>
      <c r="I857" s="96"/>
      <c r="J857" s="97"/>
      <c r="K857" s="96"/>
      <c r="L857" s="98"/>
    </row>
    <row r="858" spans="1:12" ht="14.4">
      <c r="A858" s="96"/>
      <c r="B858" s="96"/>
      <c r="C858" s="96"/>
      <c r="D858" s="96"/>
      <c r="E858" s="96"/>
      <c r="F858" s="96"/>
      <c r="G858" s="96"/>
      <c r="H858" s="96"/>
      <c r="I858" s="96"/>
      <c r="J858" s="97"/>
      <c r="K858" s="96"/>
      <c r="L858" s="98"/>
    </row>
    <row r="859" spans="1:12" ht="14.4">
      <c r="A859" s="96"/>
      <c r="B859" s="96"/>
      <c r="C859" s="96"/>
      <c r="D859" s="96"/>
      <c r="E859" s="96"/>
      <c r="F859" s="96"/>
      <c r="G859" s="96"/>
      <c r="H859" s="96"/>
      <c r="I859" s="96"/>
      <c r="J859" s="97"/>
      <c r="K859" s="96"/>
      <c r="L859" s="98"/>
    </row>
    <row r="860" spans="1:12" ht="14.4">
      <c r="A860" s="96"/>
      <c r="B860" s="96"/>
      <c r="C860" s="96"/>
      <c r="D860" s="96"/>
      <c r="E860" s="96"/>
      <c r="F860" s="96"/>
      <c r="G860" s="96"/>
      <c r="H860" s="96"/>
      <c r="I860" s="96"/>
      <c r="J860" s="97"/>
      <c r="K860" s="96"/>
      <c r="L860" s="98"/>
    </row>
    <row r="861" spans="1:12" ht="14.4">
      <c r="A861" s="96"/>
      <c r="B861" s="96"/>
      <c r="C861" s="96"/>
      <c r="D861" s="96"/>
      <c r="E861" s="96"/>
      <c r="F861" s="96"/>
      <c r="G861" s="96"/>
      <c r="H861" s="96"/>
      <c r="I861" s="96"/>
      <c r="J861" s="97"/>
      <c r="K861" s="96"/>
      <c r="L861" s="98"/>
    </row>
    <row r="862" spans="1:12" ht="14.4">
      <c r="A862" s="96"/>
      <c r="B862" s="96"/>
      <c r="C862" s="96"/>
      <c r="D862" s="96"/>
      <c r="E862" s="96"/>
      <c r="F862" s="96"/>
      <c r="G862" s="96"/>
      <c r="H862" s="96"/>
      <c r="I862" s="96"/>
      <c r="J862" s="97"/>
      <c r="K862" s="96"/>
      <c r="L862" s="98"/>
    </row>
    <row r="863" spans="1:12" ht="14.4">
      <c r="A863" s="96"/>
      <c r="B863" s="96"/>
      <c r="C863" s="96"/>
      <c r="D863" s="96"/>
      <c r="E863" s="96"/>
      <c r="F863" s="96"/>
      <c r="G863" s="96"/>
      <c r="H863" s="96"/>
      <c r="I863" s="96"/>
      <c r="J863" s="97"/>
      <c r="K863" s="96"/>
      <c r="L863" s="98"/>
    </row>
    <row r="864" spans="1:12" ht="14.4">
      <c r="A864" s="96"/>
      <c r="B864" s="96"/>
      <c r="C864" s="96"/>
      <c r="D864" s="96"/>
      <c r="E864" s="96"/>
      <c r="F864" s="96"/>
      <c r="G864" s="96"/>
      <c r="H864" s="96"/>
      <c r="I864" s="96"/>
      <c r="J864" s="97"/>
      <c r="K864" s="96"/>
      <c r="L864" s="98"/>
    </row>
    <row r="865" spans="1:12" ht="14.4">
      <c r="A865" s="96"/>
      <c r="B865" s="96"/>
      <c r="C865" s="96"/>
      <c r="D865" s="96"/>
      <c r="E865" s="96"/>
      <c r="F865" s="96"/>
      <c r="G865" s="96"/>
      <c r="H865" s="96"/>
      <c r="I865" s="96"/>
      <c r="J865" s="97"/>
      <c r="K865" s="96"/>
      <c r="L865" s="98"/>
    </row>
    <row r="866" spans="1:12" ht="14.4">
      <c r="A866" s="96"/>
      <c r="B866" s="96"/>
      <c r="C866" s="96"/>
      <c r="D866" s="96"/>
      <c r="E866" s="96"/>
      <c r="F866" s="96"/>
      <c r="G866" s="96"/>
      <c r="H866" s="96"/>
      <c r="I866" s="96"/>
      <c r="J866" s="97"/>
      <c r="K866" s="96"/>
      <c r="L866" s="98"/>
    </row>
    <row r="867" spans="1:12" ht="14.4">
      <c r="A867" s="96"/>
      <c r="B867" s="96"/>
      <c r="C867" s="96"/>
      <c r="D867" s="96"/>
      <c r="E867" s="96"/>
      <c r="F867" s="96"/>
      <c r="G867" s="96"/>
      <c r="H867" s="96"/>
      <c r="I867" s="96"/>
      <c r="J867" s="97"/>
      <c r="K867" s="96"/>
      <c r="L867" s="98"/>
    </row>
    <row r="868" spans="1:12" ht="14.4">
      <c r="A868" s="96"/>
      <c r="B868" s="96"/>
      <c r="C868" s="96"/>
      <c r="D868" s="96"/>
      <c r="E868" s="96"/>
      <c r="F868" s="96"/>
      <c r="G868" s="96"/>
      <c r="H868" s="96"/>
      <c r="I868" s="96"/>
      <c r="J868" s="97"/>
      <c r="K868" s="96"/>
      <c r="L868" s="98"/>
    </row>
    <row r="869" spans="1:12" ht="14.4">
      <c r="A869" s="96"/>
      <c r="B869" s="96"/>
      <c r="C869" s="96"/>
      <c r="D869" s="96"/>
      <c r="E869" s="96"/>
      <c r="F869" s="96"/>
      <c r="G869" s="96"/>
      <c r="H869" s="96"/>
      <c r="I869" s="96"/>
      <c r="J869" s="97"/>
      <c r="K869" s="96"/>
      <c r="L869" s="98"/>
    </row>
    <row r="870" spans="1:12" ht="14.4">
      <c r="A870" s="96"/>
      <c r="B870" s="96"/>
      <c r="C870" s="96"/>
      <c r="D870" s="96"/>
      <c r="E870" s="96"/>
      <c r="F870" s="96"/>
      <c r="G870" s="96"/>
      <c r="H870" s="96"/>
      <c r="I870" s="96"/>
      <c r="J870" s="97"/>
      <c r="K870" s="96"/>
      <c r="L870" s="98"/>
    </row>
    <row r="871" spans="1:12" ht="14.4">
      <c r="A871" s="96"/>
      <c r="B871" s="96"/>
      <c r="C871" s="96"/>
      <c r="D871" s="96"/>
      <c r="E871" s="96"/>
      <c r="F871" s="96"/>
      <c r="G871" s="96"/>
      <c r="H871" s="96"/>
      <c r="I871" s="96"/>
      <c r="J871" s="97"/>
      <c r="K871" s="96"/>
      <c r="L871" s="98"/>
    </row>
    <row r="872" spans="1:12" ht="14.4">
      <c r="A872" s="96"/>
      <c r="B872" s="96"/>
      <c r="C872" s="96"/>
      <c r="D872" s="96"/>
      <c r="E872" s="96"/>
      <c r="F872" s="96"/>
      <c r="G872" s="96"/>
      <c r="H872" s="96"/>
      <c r="I872" s="96"/>
      <c r="J872" s="97"/>
      <c r="K872" s="96"/>
      <c r="L872" s="98"/>
    </row>
    <row r="873" spans="1:12" ht="14.4">
      <c r="A873" s="96"/>
      <c r="B873" s="96"/>
      <c r="C873" s="96"/>
      <c r="D873" s="96"/>
      <c r="E873" s="96"/>
      <c r="F873" s="96"/>
      <c r="G873" s="96"/>
      <c r="H873" s="96"/>
      <c r="I873" s="96"/>
      <c r="J873" s="97"/>
      <c r="K873" s="96"/>
      <c r="L873" s="98"/>
    </row>
    <row r="874" spans="1:12" ht="14.4">
      <c r="A874" s="96"/>
      <c r="B874" s="96"/>
      <c r="C874" s="96"/>
      <c r="D874" s="96"/>
      <c r="E874" s="96"/>
      <c r="F874" s="96"/>
      <c r="G874" s="96"/>
      <c r="H874" s="96"/>
      <c r="I874" s="96"/>
      <c r="J874" s="97"/>
      <c r="K874" s="96"/>
      <c r="L874" s="98"/>
    </row>
    <row r="875" spans="1:12" ht="14.4">
      <c r="A875" s="96"/>
      <c r="B875" s="96"/>
      <c r="C875" s="96"/>
      <c r="D875" s="96"/>
      <c r="E875" s="96"/>
      <c r="F875" s="96"/>
      <c r="G875" s="96"/>
      <c r="H875" s="96"/>
      <c r="I875" s="96"/>
      <c r="J875" s="97"/>
      <c r="K875" s="96"/>
      <c r="L875" s="98"/>
    </row>
    <row r="876" spans="1:12" ht="14.4">
      <c r="A876" s="96"/>
      <c r="B876" s="96"/>
      <c r="C876" s="96"/>
      <c r="D876" s="96"/>
      <c r="E876" s="96"/>
      <c r="F876" s="96"/>
      <c r="G876" s="96"/>
      <c r="H876" s="96"/>
      <c r="I876" s="96"/>
      <c r="J876" s="97"/>
      <c r="K876" s="96"/>
      <c r="L876" s="98"/>
    </row>
    <row r="877" spans="1:12" ht="14.4">
      <c r="A877" s="96"/>
      <c r="B877" s="96"/>
      <c r="C877" s="96"/>
      <c r="D877" s="96"/>
      <c r="E877" s="96"/>
      <c r="F877" s="96"/>
      <c r="G877" s="96"/>
      <c r="H877" s="96"/>
      <c r="I877" s="96"/>
      <c r="J877" s="97"/>
      <c r="K877" s="96"/>
      <c r="L877" s="98"/>
    </row>
    <row r="878" spans="1:12" ht="14.4">
      <c r="A878" s="96"/>
      <c r="B878" s="96"/>
      <c r="C878" s="96"/>
      <c r="D878" s="96"/>
      <c r="E878" s="96"/>
      <c r="F878" s="96"/>
      <c r="G878" s="96"/>
      <c r="H878" s="96"/>
      <c r="I878" s="96"/>
      <c r="J878" s="97"/>
      <c r="K878" s="96"/>
      <c r="L878" s="98"/>
    </row>
    <row r="879" spans="1:12" ht="14.4">
      <c r="A879" s="96"/>
      <c r="B879" s="96"/>
      <c r="C879" s="96"/>
      <c r="D879" s="96"/>
      <c r="E879" s="96"/>
      <c r="F879" s="96"/>
      <c r="G879" s="96"/>
      <c r="H879" s="96"/>
      <c r="I879" s="96"/>
      <c r="J879" s="97"/>
      <c r="K879" s="96"/>
      <c r="L879" s="98"/>
    </row>
    <row r="880" spans="1:12" ht="14.4">
      <c r="A880" s="96"/>
      <c r="B880" s="96"/>
      <c r="C880" s="96"/>
      <c r="D880" s="96"/>
      <c r="E880" s="96"/>
      <c r="F880" s="96"/>
      <c r="G880" s="96"/>
      <c r="H880" s="96"/>
      <c r="I880" s="96"/>
      <c r="J880" s="97"/>
      <c r="K880" s="96"/>
      <c r="L880" s="98"/>
    </row>
    <row r="881" spans="1:12" ht="14.4">
      <c r="A881" s="96"/>
      <c r="B881" s="96"/>
      <c r="C881" s="96"/>
      <c r="D881" s="96"/>
      <c r="E881" s="96"/>
      <c r="F881" s="96"/>
      <c r="G881" s="96"/>
      <c r="H881" s="96"/>
      <c r="I881" s="96"/>
      <c r="J881" s="97"/>
      <c r="K881" s="96"/>
      <c r="L881" s="98"/>
    </row>
    <row r="882" spans="1:12" ht="14.4">
      <c r="A882" s="96"/>
      <c r="B882" s="96"/>
      <c r="C882" s="96"/>
      <c r="D882" s="96"/>
      <c r="E882" s="96"/>
      <c r="F882" s="96"/>
      <c r="G882" s="96"/>
      <c r="H882" s="96"/>
      <c r="I882" s="96"/>
      <c r="J882" s="97"/>
      <c r="K882" s="96"/>
      <c r="L882" s="98"/>
    </row>
    <row r="883" spans="1:12" ht="14.4">
      <c r="A883" s="96"/>
      <c r="B883" s="96"/>
      <c r="C883" s="96"/>
      <c r="D883" s="96"/>
      <c r="E883" s="96"/>
      <c r="F883" s="96"/>
      <c r="G883" s="96"/>
      <c r="H883" s="96"/>
      <c r="I883" s="96"/>
      <c r="J883" s="97"/>
      <c r="K883" s="96"/>
      <c r="L883" s="98"/>
    </row>
    <row r="884" spans="1:12" ht="14.4">
      <c r="A884" s="96"/>
      <c r="B884" s="96"/>
      <c r="C884" s="96"/>
      <c r="D884" s="96"/>
      <c r="E884" s="96"/>
      <c r="F884" s="96"/>
      <c r="G884" s="96"/>
      <c r="H884" s="96"/>
      <c r="I884" s="96"/>
      <c r="J884" s="97"/>
      <c r="K884" s="96"/>
      <c r="L884" s="98"/>
    </row>
    <row r="885" spans="1:12" ht="14.4">
      <c r="A885" s="96"/>
      <c r="B885" s="96"/>
      <c r="C885" s="96"/>
      <c r="D885" s="96"/>
      <c r="E885" s="96"/>
      <c r="F885" s="96"/>
      <c r="G885" s="96"/>
      <c r="H885" s="96"/>
      <c r="I885" s="96"/>
      <c r="J885" s="97"/>
      <c r="K885" s="96"/>
      <c r="L885" s="98"/>
    </row>
    <row r="886" spans="1:12" ht="14.4">
      <c r="A886" s="96"/>
      <c r="B886" s="96"/>
      <c r="C886" s="96"/>
      <c r="D886" s="96"/>
      <c r="E886" s="96"/>
      <c r="F886" s="96"/>
      <c r="G886" s="96"/>
      <c r="H886" s="96"/>
      <c r="I886" s="96"/>
      <c r="J886" s="97"/>
      <c r="K886" s="96"/>
      <c r="L886" s="98"/>
    </row>
    <row r="887" spans="1:12" ht="14.4">
      <c r="A887" s="96"/>
      <c r="B887" s="96"/>
      <c r="C887" s="96"/>
      <c r="D887" s="96"/>
      <c r="E887" s="96"/>
      <c r="F887" s="96"/>
      <c r="G887" s="96"/>
      <c r="H887" s="96"/>
      <c r="I887" s="96"/>
      <c r="J887" s="97"/>
      <c r="K887" s="96"/>
      <c r="L887" s="98"/>
    </row>
    <row r="888" spans="1:12" ht="14.4">
      <c r="A888" s="96"/>
      <c r="B888" s="96"/>
      <c r="C888" s="96"/>
      <c r="D888" s="96"/>
      <c r="E888" s="96"/>
      <c r="F888" s="96"/>
      <c r="G888" s="96"/>
      <c r="H888" s="96"/>
      <c r="I888" s="96"/>
      <c r="J888" s="97"/>
      <c r="K888" s="96"/>
      <c r="L888" s="98"/>
    </row>
    <row r="889" spans="1:12" ht="14.4">
      <c r="A889" s="96"/>
      <c r="B889" s="96"/>
      <c r="C889" s="96"/>
      <c r="D889" s="96"/>
      <c r="E889" s="96"/>
      <c r="F889" s="96"/>
      <c r="G889" s="96"/>
      <c r="H889" s="96"/>
      <c r="I889" s="96"/>
      <c r="J889" s="97"/>
      <c r="K889" s="96"/>
      <c r="L889" s="98"/>
    </row>
    <row r="890" spans="1:12" ht="14.4">
      <c r="A890" s="96"/>
      <c r="B890" s="96"/>
      <c r="C890" s="96"/>
      <c r="D890" s="96"/>
      <c r="E890" s="96"/>
      <c r="F890" s="96"/>
      <c r="G890" s="96"/>
      <c r="H890" s="96"/>
      <c r="I890" s="96"/>
      <c r="J890" s="97"/>
      <c r="K890" s="96"/>
      <c r="L890" s="98"/>
    </row>
    <row r="891" spans="1:12" ht="14.4">
      <c r="A891" s="96"/>
      <c r="B891" s="96"/>
      <c r="C891" s="96"/>
      <c r="D891" s="96"/>
      <c r="E891" s="96"/>
      <c r="F891" s="96"/>
      <c r="G891" s="96"/>
      <c r="H891" s="96"/>
      <c r="I891" s="96"/>
      <c r="J891" s="97"/>
      <c r="K891" s="96"/>
      <c r="L891" s="98"/>
    </row>
    <row r="892" spans="1:12" ht="14.4">
      <c r="A892" s="96"/>
      <c r="B892" s="96"/>
      <c r="C892" s="96"/>
      <c r="D892" s="96"/>
      <c r="E892" s="96"/>
      <c r="F892" s="96"/>
      <c r="G892" s="96"/>
      <c r="H892" s="96"/>
      <c r="I892" s="96"/>
      <c r="J892" s="97"/>
      <c r="K892" s="96"/>
      <c r="L892" s="98"/>
    </row>
    <row r="893" spans="1:12" ht="14.4">
      <c r="A893" s="96"/>
      <c r="B893" s="96"/>
      <c r="C893" s="96"/>
      <c r="D893" s="96"/>
      <c r="E893" s="96"/>
      <c r="F893" s="96"/>
      <c r="G893" s="96"/>
      <c r="H893" s="96"/>
      <c r="I893" s="96"/>
      <c r="J893" s="97"/>
      <c r="K893" s="96"/>
      <c r="L893" s="98"/>
    </row>
    <row r="894" spans="1:12" ht="14.4">
      <c r="A894" s="96"/>
      <c r="B894" s="96"/>
      <c r="C894" s="96"/>
      <c r="D894" s="96"/>
      <c r="E894" s="96"/>
      <c r="F894" s="96"/>
      <c r="G894" s="96"/>
      <c r="H894" s="96"/>
      <c r="I894" s="96"/>
      <c r="J894" s="97"/>
      <c r="K894" s="96"/>
      <c r="L894" s="98"/>
    </row>
    <row r="895" spans="1:12" ht="14.4">
      <c r="A895" s="96"/>
      <c r="B895" s="96"/>
      <c r="C895" s="96"/>
      <c r="D895" s="96"/>
      <c r="E895" s="96"/>
      <c r="F895" s="96"/>
      <c r="G895" s="96"/>
      <c r="H895" s="96"/>
      <c r="I895" s="96"/>
      <c r="J895" s="97"/>
      <c r="K895" s="96"/>
      <c r="L895" s="98"/>
    </row>
    <row r="896" spans="1:12" ht="14.4">
      <c r="A896" s="96"/>
      <c r="B896" s="96"/>
      <c r="C896" s="96"/>
      <c r="D896" s="96"/>
      <c r="E896" s="96"/>
      <c r="F896" s="96"/>
      <c r="G896" s="96"/>
      <c r="H896" s="96"/>
      <c r="I896" s="96"/>
      <c r="J896" s="97"/>
      <c r="K896" s="96"/>
      <c r="L896" s="98"/>
    </row>
    <row r="897" spans="1:12" ht="14.4">
      <c r="A897" s="96"/>
      <c r="B897" s="96"/>
      <c r="C897" s="96"/>
      <c r="D897" s="96"/>
      <c r="E897" s="96"/>
      <c r="F897" s="96"/>
      <c r="G897" s="96"/>
      <c r="H897" s="96"/>
      <c r="I897" s="96"/>
      <c r="J897" s="97"/>
      <c r="K897" s="96"/>
      <c r="L897" s="98"/>
    </row>
    <row r="898" spans="1:12" ht="14.4">
      <c r="A898" s="96"/>
      <c r="B898" s="96"/>
      <c r="C898" s="96"/>
      <c r="D898" s="96"/>
      <c r="E898" s="96"/>
      <c r="F898" s="96"/>
      <c r="G898" s="96"/>
      <c r="H898" s="96"/>
      <c r="I898" s="96"/>
      <c r="J898" s="97"/>
      <c r="K898" s="96"/>
      <c r="L898" s="98"/>
    </row>
    <row r="899" spans="1:12" ht="14.4">
      <c r="A899" s="96"/>
      <c r="B899" s="96"/>
      <c r="C899" s="96"/>
      <c r="D899" s="96"/>
      <c r="E899" s="96"/>
      <c r="F899" s="96"/>
      <c r="G899" s="96"/>
      <c r="H899" s="96"/>
      <c r="I899" s="96"/>
      <c r="J899" s="97"/>
      <c r="K899" s="96"/>
      <c r="L899" s="98"/>
    </row>
    <row r="900" spans="1:12" ht="14.4">
      <c r="A900" s="96"/>
      <c r="B900" s="96"/>
      <c r="C900" s="96"/>
      <c r="D900" s="96"/>
      <c r="E900" s="96"/>
      <c r="F900" s="96"/>
      <c r="G900" s="96"/>
      <c r="H900" s="96"/>
      <c r="I900" s="96"/>
      <c r="J900" s="97"/>
      <c r="K900" s="96"/>
      <c r="L900" s="98"/>
    </row>
    <row r="901" spans="1:12" ht="14.4">
      <c r="A901" s="96"/>
      <c r="B901" s="96"/>
      <c r="C901" s="96"/>
      <c r="D901" s="96"/>
      <c r="E901" s="96"/>
      <c r="F901" s="96"/>
      <c r="G901" s="96"/>
      <c r="H901" s="96"/>
      <c r="I901" s="96"/>
      <c r="J901" s="97"/>
      <c r="K901" s="96"/>
      <c r="L901" s="98"/>
    </row>
    <row r="902" spans="1:12" ht="14.4">
      <c r="A902" s="96"/>
      <c r="B902" s="96"/>
      <c r="C902" s="96"/>
      <c r="D902" s="96"/>
      <c r="E902" s="96"/>
      <c r="F902" s="96"/>
      <c r="G902" s="96"/>
      <c r="H902" s="96"/>
      <c r="I902" s="96"/>
      <c r="J902" s="97"/>
      <c r="K902" s="96"/>
      <c r="L902" s="98"/>
    </row>
    <row r="903" spans="1:12" ht="14.4">
      <c r="A903" s="96"/>
      <c r="B903" s="96"/>
      <c r="C903" s="96"/>
      <c r="D903" s="96"/>
      <c r="E903" s="96"/>
      <c r="F903" s="96"/>
      <c r="G903" s="96"/>
      <c r="H903" s="96"/>
      <c r="I903" s="96"/>
      <c r="J903" s="97"/>
      <c r="K903" s="96"/>
      <c r="L903" s="98"/>
    </row>
    <row r="904" spans="1:12" ht="14.4">
      <c r="A904" s="96"/>
      <c r="B904" s="96"/>
      <c r="C904" s="96"/>
      <c r="D904" s="96"/>
      <c r="E904" s="96"/>
      <c r="F904" s="96"/>
      <c r="G904" s="96"/>
      <c r="H904" s="96"/>
      <c r="I904" s="96"/>
      <c r="J904" s="97"/>
      <c r="K904" s="96"/>
      <c r="L904" s="98"/>
    </row>
    <row r="905" spans="1:12" ht="14.4">
      <c r="A905" s="96"/>
      <c r="B905" s="96"/>
      <c r="C905" s="96"/>
      <c r="D905" s="96"/>
      <c r="E905" s="96"/>
      <c r="F905" s="96"/>
      <c r="G905" s="96"/>
      <c r="H905" s="96"/>
      <c r="I905" s="96"/>
      <c r="J905" s="97"/>
      <c r="K905" s="96"/>
      <c r="L905" s="98"/>
    </row>
    <row r="906" spans="1:12" ht="14.4">
      <c r="A906" s="96"/>
      <c r="B906" s="96"/>
      <c r="C906" s="96"/>
      <c r="D906" s="96"/>
      <c r="E906" s="96"/>
      <c r="F906" s="96"/>
      <c r="G906" s="96"/>
      <c r="H906" s="96"/>
      <c r="I906" s="96"/>
      <c r="J906" s="97"/>
      <c r="K906" s="96"/>
      <c r="L906" s="98"/>
    </row>
    <row r="907" spans="1:12" ht="14.4">
      <c r="A907" s="96"/>
      <c r="B907" s="96"/>
      <c r="C907" s="96"/>
      <c r="D907" s="96"/>
      <c r="E907" s="96"/>
      <c r="F907" s="96"/>
      <c r="G907" s="96"/>
      <c r="H907" s="96"/>
      <c r="I907" s="96"/>
      <c r="J907" s="97"/>
      <c r="K907" s="96"/>
      <c r="L907" s="98"/>
    </row>
    <row r="908" spans="1:12" ht="14.4">
      <c r="A908" s="96"/>
      <c r="B908" s="96"/>
      <c r="C908" s="96"/>
      <c r="D908" s="96"/>
      <c r="E908" s="96"/>
      <c r="F908" s="96"/>
      <c r="G908" s="96"/>
      <c r="H908" s="96"/>
      <c r="I908" s="96"/>
      <c r="J908" s="97"/>
      <c r="K908" s="96"/>
      <c r="L908" s="98"/>
    </row>
    <row r="909" spans="1:12" ht="14.4">
      <c r="A909" s="96"/>
      <c r="B909" s="96"/>
      <c r="C909" s="96"/>
      <c r="D909" s="96"/>
      <c r="E909" s="96"/>
      <c r="F909" s="96"/>
      <c r="G909" s="96"/>
      <c r="H909" s="96"/>
      <c r="I909" s="96"/>
      <c r="J909" s="97"/>
      <c r="K909" s="96"/>
      <c r="L909" s="98"/>
    </row>
    <row r="910" spans="1:12" ht="14.4">
      <c r="A910" s="96"/>
      <c r="B910" s="96"/>
      <c r="C910" s="96"/>
      <c r="D910" s="96"/>
      <c r="E910" s="96"/>
      <c r="F910" s="96"/>
      <c r="G910" s="96"/>
      <c r="H910" s="96"/>
      <c r="I910" s="96"/>
      <c r="J910" s="97"/>
      <c r="K910" s="96"/>
      <c r="L910" s="98"/>
    </row>
    <row r="911" spans="1:12" ht="14.4">
      <c r="A911" s="96"/>
      <c r="B911" s="96"/>
      <c r="C911" s="96"/>
      <c r="D911" s="96"/>
      <c r="E911" s="96"/>
      <c r="F911" s="96"/>
      <c r="G911" s="96"/>
      <c r="H911" s="96"/>
      <c r="I911" s="96"/>
      <c r="J911" s="97"/>
      <c r="K911" s="96"/>
      <c r="L911" s="98"/>
    </row>
    <row r="912" spans="1:12" ht="14.4">
      <c r="A912" s="96"/>
      <c r="B912" s="96"/>
      <c r="C912" s="96"/>
      <c r="D912" s="96"/>
      <c r="E912" s="96"/>
      <c r="F912" s="96"/>
      <c r="G912" s="96"/>
      <c r="H912" s="96"/>
      <c r="I912" s="96"/>
      <c r="J912" s="97"/>
      <c r="K912" s="96"/>
      <c r="L912" s="98"/>
    </row>
    <row r="913" spans="1:12" ht="14.4">
      <c r="A913" s="96"/>
      <c r="B913" s="96"/>
      <c r="C913" s="96"/>
      <c r="D913" s="96"/>
      <c r="E913" s="96"/>
      <c r="F913" s="96"/>
      <c r="G913" s="96"/>
      <c r="H913" s="96"/>
      <c r="I913" s="96"/>
      <c r="J913" s="97"/>
      <c r="K913" s="96"/>
      <c r="L913" s="98"/>
    </row>
    <row r="914" spans="1:12" ht="14.4">
      <c r="A914" s="96"/>
      <c r="B914" s="96"/>
      <c r="C914" s="96"/>
      <c r="D914" s="96"/>
      <c r="E914" s="96"/>
      <c r="F914" s="96"/>
      <c r="G914" s="96"/>
      <c r="H914" s="96"/>
      <c r="I914" s="96"/>
      <c r="J914" s="97"/>
      <c r="K914" s="96"/>
      <c r="L914" s="98"/>
    </row>
    <row r="915" spans="1:12" ht="14.4">
      <c r="A915" s="96"/>
      <c r="B915" s="96"/>
      <c r="C915" s="96"/>
      <c r="D915" s="96"/>
      <c r="E915" s="96"/>
      <c r="F915" s="96"/>
      <c r="G915" s="96"/>
      <c r="H915" s="96"/>
      <c r="I915" s="96"/>
      <c r="J915" s="97"/>
      <c r="K915" s="96"/>
      <c r="L915" s="98"/>
    </row>
    <row r="916" spans="1:12" ht="14.4">
      <c r="A916" s="96"/>
      <c r="B916" s="96"/>
      <c r="C916" s="96"/>
      <c r="D916" s="96"/>
      <c r="E916" s="96"/>
      <c r="F916" s="96"/>
      <c r="G916" s="96"/>
      <c r="H916" s="96"/>
      <c r="I916" s="96"/>
      <c r="J916" s="97"/>
      <c r="K916" s="96"/>
      <c r="L916" s="98"/>
    </row>
    <row r="917" spans="1:12" ht="14.4">
      <c r="A917" s="96"/>
      <c r="B917" s="96"/>
      <c r="C917" s="96"/>
      <c r="D917" s="96"/>
      <c r="E917" s="96"/>
      <c r="F917" s="96"/>
      <c r="G917" s="96"/>
      <c r="H917" s="96"/>
      <c r="I917" s="96"/>
      <c r="J917" s="97"/>
      <c r="K917" s="96"/>
      <c r="L917" s="98"/>
    </row>
    <row r="918" spans="1:12" ht="14.4">
      <c r="A918" s="96"/>
      <c r="B918" s="96"/>
      <c r="C918" s="96"/>
      <c r="D918" s="96"/>
      <c r="E918" s="96"/>
      <c r="F918" s="96"/>
      <c r="G918" s="96"/>
      <c r="H918" s="96"/>
      <c r="I918" s="96"/>
      <c r="J918" s="97"/>
      <c r="K918" s="96"/>
      <c r="L918" s="98"/>
    </row>
    <row r="919" spans="1:12" ht="14.4">
      <c r="A919" s="96"/>
      <c r="B919" s="96"/>
      <c r="C919" s="96"/>
      <c r="D919" s="96"/>
      <c r="E919" s="96"/>
      <c r="F919" s="96"/>
      <c r="G919" s="96"/>
      <c r="H919" s="96"/>
      <c r="I919" s="96"/>
      <c r="J919" s="97"/>
      <c r="K919" s="96"/>
      <c r="L919" s="98"/>
    </row>
    <row r="920" spans="1:12" ht="14.4">
      <c r="A920" s="96"/>
      <c r="B920" s="96"/>
      <c r="C920" s="96"/>
      <c r="D920" s="96"/>
      <c r="E920" s="96"/>
      <c r="F920" s="96"/>
      <c r="G920" s="96"/>
      <c r="H920" s="96"/>
      <c r="I920" s="96"/>
      <c r="J920" s="97"/>
      <c r="K920" s="96"/>
      <c r="L920" s="98"/>
    </row>
    <row r="921" spans="1:12" ht="14.4">
      <c r="A921" s="96"/>
      <c r="B921" s="96"/>
      <c r="C921" s="96"/>
      <c r="D921" s="96"/>
      <c r="E921" s="96"/>
      <c r="F921" s="96"/>
      <c r="G921" s="96"/>
      <c r="H921" s="96"/>
      <c r="I921" s="96"/>
      <c r="J921" s="97"/>
      <c r="K921" s="96"/>
      <c r="L921" s="98"/>
    </row>
    <row r="922" spans="1:12" ht="14.4">
      <c r="A922" s="96"/>
      <c r="B922" s="96"/>
      <c r="C922" s="96"/>
      <c r="D922" s="96"/>
      <c r="E922" s="96"/>
      <c r="F922" s="96"/>
      <c r="G922" s="96"/>
      <c r="H922" s="96"/>
      <c r="I922" s="96"/>
      <c r="J922" s="97"/>
      <c r="K922" s="96"/>
      <c r="L922" s="98"/>
    </row>
    <row r="923" spans="1:12" ht="14.4">
      <c r="A923" s="96"/>
      <c r="B923" s="96"/>
      <c r="C923" s="96"/>
      <c r="D923" s="96"/>
      <c r="E923" s="96"/>
      <c r="F923" s="96"/>
      <c r="G923" s="96"/>
      <c r="H923" s="96"/>
      <c r="I923" s="96"/>
      <c r="J923" s="97"/>
      <c r="K923" s="96"/>
      <c r="L923" s="98"/>
    </row>
    <row r="924" spans="1:12" ht="14.4">
      <c r="A924" s="96"/>
      <c r="B924" s="96"/>
      <c r="C924" s="96"/>
      <c r="D924" s="96"/>
      <c r="E924" s="96"/>
      <c r="F924" s="96"/>
      <c r="G924" s="96"/>
      <c r="H924" s="96"/>
      <c r="I924" s="96"/>
      <c r="J924" s="97"/>
      <c r="K924" s="96"/>
      <c r="L924" s="98"/>
    </row>
    <row r="925" spans="1:12" ht="14.4">
      <c r="A925" s="96"/>
      <c r="B925" s="96"/>
      <c r="C925" s="96"/>
      <c r="D925" s="96"/>
      <c r="E925" s="96"/>
      <c r="F925" s="96"/>
      <c r="G925" s="96"/>
      <c r="H925" s="96"/>
      <c r="I925" s="96"/>
      <c r="J925" s="97"/>
      <c r="K925" s="96"/>
      <c r="L925" s="98"/>
    </row>
    <row r="926" spans="1:12" ht="14.4">
      <c r="A926" s="96"/>
      <c r="B926" s="96"/>
      <c r="C926" s="96"/>
      <c r="D926" s="96"/>
      <c r="E926" s="96"/>
      <c r="F926" s="96"/>
      <c r="G926" s="96"/>
      <c r="H926" s="96"/>
      <c r="I926" s="96"/>
      <c r="J926" s="97"/>
      <c r="K926" s="96"/>
      <c r="L926" s="98"/>
    </row>
    <row r="927" spans="1:12" ht="14.4">
      <c r="A927" s="96"/>
      <c r="B927" s="96"/>
      <c r="C927" s="96"/>
      <c r="D927" s="96"/>
      <c r="E927" s="96"/>
      <c r="F927" s="96"/>
      <c r="G927" s="96"/>
      <c r="H927" s="96"/>
      <c r="I927" s="96"/>
      <c r="J927" s="97"/>
      <c r="K927" s="96"/>
      <c r="L927" s="98"/>
    </row>
    <row r="928" spans="1:12" ht="14.4">
      <c r="A928" s="96"/>
      <c r="B928" s="96"/>
      <c r="C928" s="96"/>
      <c r="D928" s="96"/>
      <c r="E928" s="96"/>
      <c r="F928" s="96"/>
      <c r="G928" s="96"/>
      <c r="H928" s="96"/>
      <c r="I928" s="96"/>
      <c r="J928" s="97"/>
      <c r="K928" s="96"/>
      <c r="L928" s="98"/>
    </row>
    <row r="929" spans="1:12" ht="14.4">
      <c r="A929" s="96"/>
      <c r="B929" s="96"/>
      <c r="C929" s="96"/>
      <c r="D929" s="96"/>
      <c r="E929" s="96"/>
      <c r="F929" s="96"/>
      <c r="G929" s="96"/>
      <c r="H929" s="96"/>
      <c r="I929" s="96"/>
      <c r="J929" s="97"/>
      <c r="K929" s="96"/>
      <c r="L929" s="98"/>
    </row>
    <row r="930" spans="1:12" ht="14.4">
      <c r="A930" s="96"/>
      <c r="B930" s="96"/>
      <c r="C930" s="96"/>
      <c r="D930" s="96"/>
      <c r="E930" s="96"/>
      <c r="F930" s="96"/>
      <c r="G930" s="96"/>
      <c r="H930" s="96"/>
      <c r="I930" s="96"/>
      <c r="J930" s="97"/>
      <c r="K930" s="96"/>
      <c r="L930" s="98"/>
    </row>
    <row r="931" spans="1:12" ht="14.4">
      <c r="A931" s="96"/>
      <c r="B931" s="96"/>
      <c r="C931" s="96"/>
      <c r="D931" s="96"/>
      <c r="E931" s="96"/>
      <c r="F931" s="96"/>
      <c r="G931" s="96"/>
      <c r="H931" s="96"/>
      <c r="I931" s="96"/>
      <c r="J931" s="97"/>
      <c r="K931" s="96"/>
      <c r="L931" s="98"/>
    </row>
    <row r="932" spans="1:12" ht="14.4">
      <c r="A932" s="96"/>
      <c r="B932" s="96"/>
      <c r="C932" s="96"/>
      <c r="D932" s="96"/>
      <c r="E932" s="96"/>
      <c r="F932" s="96"/>
      <c r="G932" s="96"/>
      <c r="H932" s="96"/>
      <c r="I932" s="96"/>
      <c r="J932" s="97"/>
      <c r="K932" s="96"/>
      <c r="L932" s="98"/>
    </row>
    <row r="933" spans="1:12" ht="14.4">
      <c r="A933" s="96"/>
      <c r="B933" s="96"/>
      <c r="C933" s="96"/>
      <c r="D933" s="96"/>
      <c r="E933" s="96"/>
      <c r="F933" s="96"/>
      <c r="G933" s="96"/>
      <c r="H933" s="96"/>
      <c r="I933" s="96"/>
      <c r="J933" s="97"/>
      <c r="K933" s="96"/>
      <c r="L933" s="98"/>
    </row>
    <row r="934" spans="1:12" ht="14.4">
      <c r="A934" s="96"/>
      <c r="B934" s="96"/>
      <c r="C934" s="96"/>
      <c r="D934" s="96"/>
      <c r="E934" s="96"/>
      <c r="F934" s="96"/>
      <c r="G934" s="96"/>
      <c r="H934" s="96"/>
      <c r="I934" s="96"/>
      <c r="J934" s="97"/>
      <c r="K934" s="96"/>
      <c r="L934" s="98"/>
    </row>
    <row r="935" spans="1:12" ht="14.4">
      <c r="A935" s="96"/>
      <c r="B935" s="96"/>
      <c r="C935" s="96"/>
      <c r="D935" s="96"/>
      <c r="E935" s="96"/>
      <c r="F935" s="96"/>
      <c r="G935" s="96"/>
      <c r="H935" s="96"/>
      <c r="I935" s="96"/>
      <c r="J935" s="97"/>
      <c r="K935" s="96"/>
      <c r="L935" s="98"/>
    </row>
    <row r="936" spans="1:12" ht="14.4">
      <c r="A936" s="96"/>
      <c r="B936" s="96"/>
      <c r="C936" s="96"/>
      <c r="D936" s="96"/>
      <c r="E936" s="96"/>
      <c r="F936" s="96"/>
      <c r="G936" s="96"/>
      <c r="H936" s="96"/>
      <c r="I936" s="96"/>
      <c r="J936" s="97"/>
      <c r="K936" s="96"/>
      <c r="L936" s="98"/>
    </row>
    <row r="937" spans="1:12" ht="14.4">
      <c r="A937" s="96"/>
      <c r="B937" s="96"/>
      <c r="C937" s="96"/>
      <c r="D937" s="96"/>
      <c r="E937" s="96"/>
      <c r="F937" s="96"/>
      <c r="G937" s="96"/>
      <c r="H937" s="96"/>
      <c r="I937" s="96"/>
      <c r="J937" s="97"/>
      <c r="K937" s="96"/>
      <c r="L937" s="98"/>
    </row>
    <row r="938" spans="1:12" ht="14.4">
      <c r="A938" s="96"/>
      <c r="B938" s="96"/>
      <c r="C938" s="96"/>
      <c r="D938" s="96"/>
      <c r="E938" s="96"/>
      <c r="F938" s="96"/>
      <c r="G938" s="96"/>
      <c r="H938" s="96"/>
      <c r="I938" s="96"/>
      <c r="J938" s="97"/>
      <c r="K938" s="96"/>
      <c r="L938" s="98"/>
    </row>
    <row r="939" spans="1:12" ht="14.4">
      <c r="A939" s="96"/>
      <c r="B939" s="96"/>
      <c r="C939" s="96"/>
      <c r="D939" s="96"/>
      <c r="E939" s="96"/>
      <c r="F939" s="96"/>
      <c r="G939" s="96"/>
      <c r="H939" s="96"/>
      <c r="I939" s="96"/>
      <c r="J939" s="97"/>
      <c r="K939" s="96"/>
      <c r="L939" s="98"/>
    </row>
    <row r="940" spans="1:12" ht="14.4">
      <c r="A940" s="96"/>
      <c r="B940" s="96"/>
      <c r="C940" s="96"/>
      <c r="D940" s="96"/>
      <c r="E940" s="96"/>
      <c r="F940" s="96"/>
      <c r="G940" s="96"/>
      <c r="H940" s="96"/>
      <c r="I940" s="96"/>
      <c r="J940" s="97"/>
      <c r="K940" s="96"/>
      <c r="L940" s="98"/>
    </row>
    <row r="941" spans="1:12" ht="14.4">
      <c r="A941" s="96"/>
      <c r="B941" s="96"/>
      <c r="C941" s="96"/>
      <c r="D941" s="96"/>
      <c r="E941" s="96"/>
      <c r="F941" s="96"/>
      <c r="G941" s="96"/>
      <c r="H941" s="96"/>
      <c r="I941" s="96"/>
      <c r="J941" s="97"/>
      <c r="K941" s="96"/>
      <c r="L941" s="98"/>
    </row>
    <row r="942" spans="1:12" ht="14.4">
      <c r="A942" s="96"/>
      <c r="B942" s="96"/>
      <c r="C942" s="96"/>
      <c r="D942" s="96"/>
      <c r="E942" s="96"/>
      <c r="F942" s="96"/>
      <c r="G942" s="96"/>
      <c r="H942" s="96"/>
      <c r="I942" s="96"/>
      <c r="J942" s="97"/>
      <c r="K942" s="96"/>
      <c r="L942" s="98"/>
    </row>
    <row r="943" spans="1:12" ht="14.4">
      <c r="A943" s="96"/>
      <c r="B943" s="96"/>
      <c r="C943" s="96"/>
      <c r="D943" s="96"/>
      <c r="E943" s="96"/>
      <c r="F943" s="96"/>
      <c r="G943" s="96"/>
      <c r="H943" s="96"/>
      <c r="I943" s="96"/>
      <c r="J943" s="97"/>
      <c r="K943" s="96"/>
      <c r="L943" s="98"/>
    </row>
    <row r="944" spans="1:12" ht="14.4">
      <c r="A944" s="96"/>
      <c r="B944" s="96"/>
      <c r="C944" s="96"/>
      <c r="D944" s="96"/>
      <c r="E944" s="96"/>
      <c r="F944" s="96"/>
      <c r="G944" s="96"/>
      <c r="H944" s="96"/>
      <c r="I944" s="96"/>
      <c r="J944" s="97"/>
      <c r="K944" s="96"/>
      <c r="L944" s="98"/>
    </row>
    <row r="945" spans="1:12" ht="14.4">
      <c r="A945" s="96"/>
      <c r="B945" s="96"/>
      <c r="C945" s="96"/>
      <c r="D945" s="96"/>
      <c r="E945" s="96"/>
      <c r="F945" s="96"/>
      <c r="G945" s="96"/>
      <c r="H945" s="96"/>
      <c r="I945" s="96"/>
      <c r="J945" s="97"/>
      <c r="K945" s="96"/>
      <c r="L945" s="98"/>
    </row>
    <row r="946" spans="1:12" ht="14.4">
      <c r="A946" s="96"/>
      <c r="B946" s="96"/>
      <c r="C946" s="96"/>
      <c r="D946" s="96"/>
      <c r="E946" s="96"/>
      <c r="F946" s="96"/>
      <c r="G946" s="96"/>
      <c r="H946" s="96"/>
      <c r="I946" s="96"/>
      <c r="J946" s="97"/>
      <c r="K946" s="96"/>
      <c r="L946" s="98"/>
    </row>
    <row r="947" spans="1:12" ht="14.4">
      <c r="A947" s="96"/>
      <c r="B947" s="96"/>
      <c r="C947" s="96"/>
      <c r="D947" s="96"/>
      <c r="E947" s="96"/>
      <c r="F947" s="96"/>
      <c r="G947" s="96"/>
      <c r="H947" s="96"/>
      <c r="I947" s="96"/>
      <c r="J947" s="97"/>
      <c r="K947" s="96"/>
      <c r="L947" s="98"/>
    </row>
    <row r="948" spans="1:12" ht="14.4">
      <c r="A948" s="96"/>
      <c r="B948" s="96"/>
      <c r="C948" s="96"/>
      <c r="D948" s="96"/>
      <c r="E948" s="96"/>
      <c r="F948" s="96"/>
      <c r="G948" s="96"/>
      <c r="H948" s="96"/>
      <c r="I948" s="96"/>
      <c r="J948" s="97"/>
      <c r="K948" s="96"/>
      <c r="L948" s="98"/>
    </row>
    <row r="949" spans="1:12" ht="14.4">
      <c r="A949" s="96"/>
      <c r="B949" s="96"/>
      <c r="C949" s="96"/>
      <c r="D949" s="96"/>
      <c r="E949" s="96"/>
      <c r="F949" s="96"/>
      <c r="G949" s="96"/>
      <c r="H949" s="96"/>
      <c r="I949" s="96"/>
      <c r="J949" s="97"/>
      <c r="K949" s="96"/>
      <c r="L949" s="98"/>
    </row>
    <row r="950" spans="1:12" ht="14.4">
      <c r="A950" s="96"/>
      <c r="B950" s="96"/>
      <c r="C950" s="96"/>
      <c r="D950" s="96"/>
      <c r="E950" s="96"/>
      <c r="F950" s="96"/>
      <c r="G950" s="96"/>
      <c r="H950" s="96"/>
      <c r="I950" s="96"/>
      <c r="J950" s="97"/>
      <c r="K950" s="96"/>
      <c r="L950" s="98"/>
    </row>
    <row r="951" spans="1:12" ht="14.4">
      <c r="A951" s="96"/>
      <c r="B951" s="96"/>
      <c r="C951" s="96"/>
      <c r="D951" s="96"/>
      <c r="E951" s="96"/>
      <c r="F951" s="96"/>
      <c r="G951" s="96"/>
      <c r="H951" s="96"/>
      <c r="I951" s="96"/>
      <c r="J951" s="97"/>
      <c r="K951" s="96"/>
      <c r="L951" s="98"/>
    </row>
    <row r="952" spans="1:12" ht="14.4">
      <c r="A952" s="96"/>
      <c r="B952" s="96"/>
      <c r="C952" s="96"/>
      <c r="D952" s="96"/>
      <c r="E952" s="96"/>
      <c r="F952" s="96"/>
      <c r="G952" s="96"/>
      <c r="H952" s="96"/>
      <c r="I952" s="96"/>
      <c r="J952" s="97"/>
      <c r="K952" s="96"/>
      <c r="L952" s="98"/>
    </row>
    <row r="953" spans="1:12" ht="14.4">
      <c r="A953" s="96"/>
      <c r="B953" s="96"/>
      <c r="C953" s="96"/>
      <c r="D953" s="96"/>
      <c r="E953" s="96"/>
      <c r="F953" s="96"/>
      <c r="G953" s="96"/>
      <c r="H953" s="96"/>
      <c r="I953" s="96"/>
      <c r="J953" s="97"/>
      <c r="K953" s="96"/>
      <c r="L953" s="98"/>
    </row>
    <row r="954" spans="1:12" ht="14.4">
      <c r="A954" s="96"/>
      <c r="B954" s="96"/>
      <c r="C954" s="96"/>
      <c r="D954" s="96"/>
      <c r="E954" s="96"/>
      <c r="F954" s="96"/>
      <c r="G954" s="96"/>
      <c r="H954" s="96"/>
      <c r="I954" s="96"/>
      <c r="J954" s="97"/>
      <c r="K954" s="96"/>
      <c r="L954" s="98"/>
    </row>
    <row r="955" spans="1:12" ht="14.4">
      <c r="A955" s="96"/>
      <c r="B955" s="96"/>
      <c r="C955" s="96"/>
      <c r="D955" s="96"/>
      <c r="E955" s="96"/>
      <c r="F955" s="96"/>
      <c r="G955" s="96"/>
      <c r="H955" s="96"/>
      <c r="I955" s="96"/>
      <c r="J955" s="97"/>
      <c r="K955" s="96"/>
      <c r="L955" s="98"/>
    </row>
    <row r="956" spans="1:12" ht="14.4">
      <c r="A956" s="96"/>
      <c r="B956" s="96"/>
      <c r="C956" s="96"/>
      <c r="D956" s="96"/>
      <c r="E956" s="96"/>
      <c r="F956" s="96"/>
      <c r="G956" s="96"/>
      <c r="H956" s="96"/>
      <c r="I956" s="96"/>
      <c r="J956" s="97"/>
      <c r="K956" s="96"/>
      <c r="L956" s="98"/>
    </row>
    <row r="957" spans="1:12" ht="14.4">
      <c r="A957" s="96"/>
      <c r="B957" s="96"/>
      <c r="C957" s="96"/>
      <c r="D957" s="96"/>
      <c r="E957" s="96"/>
      <c r="F957" s="96"/>
      <c r="G957" s="96"/>
      <c r="H957" s="96"/>
      <c r="I957" s="96"/>
      <c r="J957" s="97"/>
      <c r="K957" s="96"/>
      <c r="L957" s="98"/>
    </row>
    <row r="958" spans="1:12" ht="14.4">
      <c r="A958" s="96"/>
      <c r="B958" s="96"/>
      <c r="C958" s="96"/>
      <c r="D958" s="96"/>
      <c r="E958" s="96"/>
      <c r="F958" s="96"/>
      <c r="G958" s="96"/>
      <c r="H958" s="96"/>
      <c r="I958" s="96"/>
      <c r="J958" s="97"/>
      <c r="K958" s="96"/>
      <c r="L958" s="98"/>
    </row>
    <row r="959" spans="1:12" ht="14.4">
      <c r="A959" s="96"/>
      <c r="B959" s="96"/>
      <c r="C959" s="96"/>
      <c r="D959" s="96"/>
      <c r="E959" s="96"/>
      <c r="F959" s="96"/>
      <c r="G959" s="96"/>
      <c r="H959" s="96"/>
      <c r="I959" s="96"/>
      <c r="J959" s="97"/>
      <c r="K959" s="96"/>
      <c r="L959" s="98"/>
    </row>
    <row r="960" spans="1:12" ht="14.4">
      <c r="A960" s="96"/>
      <c r="B960" s="96"/>
      <c r="C960" s="96"/>
      <c r="D960" s="96"/>
      <c r="E960" s="96"/>
      <c r="F960" s="96"/>
      <c r="G960" s="96"/>
      <c r="H960" s="96"/>
      <c r="I960" s="96"/>
      <c r="J960" s="97"/>
      <c r="K960" s="96"/>
      <c r="L960" s="98"/>
    </row>
    <row r="961" spans="1:12" ht="14.4">
      <c r="A961" s="96"/>
      <c r="B961" s="96"/>
      <c r="C961" s="96"/>
      <c r="D961" s="96"/>
      <c r="E961" s="96"/>
      <c r="F961" s="96"/>
      <c r="G961" s="96"/>
      <c r="H961" s="96"/>
      <c r="I961" s="96"/>
      <c r="J961" s="97"/>
      <c r="K961" s="96"/>
      <c r="L961" s="98"/>
    </row>
    <row r="962" spans="1:12" ht="14.4">
      <c r="A962" s="96"/>
      <c r="B962" s="96"/>
      <c r="C962" s="96"/>
      <c r="D962" s="96"/>
      <c r="E962" s="96"/>
      <c r="F962" s="96"/>
      <c r="G962" s="96"/>
      <c r="H962" s="96"/>
      <c r="I962" s="96"/>
      <c r="J962" s="97"/>
      <c r="K962" s="96"/>
      <c r="L962" s="98"/>
    </row>
    <row r="963" spans="1:12" ht="14.4">
      <c r="A963" s="96"/>
      <c r="B963" s="96"/>
      <c r="C963" s="96"/>
      <c r="D963" s="96"/>
      <c r="E963" s="96"/>
      <c r="F963" s="96"/>
      <c r="G963" s="96"/>
      <c r="H963" s="96"/>
      <c r="I963" s="96"/>
      <c r="J963" s="97"/>
      <c r="K963" s="96"/>
      <c r="L963" s="98"/>
    </row>
    <row r="964" spans="1:12" ht="14.4">
      <c r="A964" s="96"/>
      <c r="B964" s="96"/>
      <c r="C964" s="96"/>
      <c r="D964" s="96"/>
      <c r="E964" s="96"/>
      <c r="F964" s="96"/>
      <c r="G964" s="96"/>
      <c r="H964" s="96"/>
      <c r="I964" s="96"/>
      <c r="J964" s="97"/>
      <c r="K964" s="96"/>
      <c r="L964" s="98"/>
    </row>
    <row r="965" spans="1:12" ht="14.4">
      <c r="A965" s="96"/>
      <c r="B965" s="96"/>
      <c r="C965" s="96"/>
      <c r="D965" s="96"/>
      <c r="E965" s="96"/>
      <c r="F965" s="96"/>
      <c r="G965" s="96"/>
      <c r="H965" s="96"/>
      <c r="I965" s="96"/>
      <c r="J965" s="97"/>
      <c r="K965" s="96"/>
      <c r="L965" s="98"/>
    </row>
    <row r="966" spans="1:12" ht="14.4">
      <c r="A966" s="96"/>
      <c r="B966" s="96"/>
      <c r="C966" s="96"/>
      <c r="D966" s="96"/>
      <c r="E966" s="96"/>
      <c r="F966" s="96"/>
      <c r="G966" s="96"/>
      <c r="H966" s="96"/>
      <c r="I966" s="96"/>
      <c r="J966" s="97"/>
      <c r="K966" s="96"/>
      <c r="L966" s="98"/>
    </row>
    <row r="967" spans="1:12" ht="14.4">
      <c r="A967" s="96"/>
      <c r="B967" s="96"/>
      <c r="C967" s="96"/>
      <c r="D967" s="96"/>
      <c r="E967" s="96"/>
      <c r="F967" s="96"/>
      <c r="G967" s="96"/>
      <c r="H967" s="96"/>
      <c r="I967" s="96"/>
      <c r="J967" s="97"/>
      <c r="K967" s="96"/>
      <c r="L967" s="98"/>
    </row>
    <row r="968" spans="1:12" ht="14.4">
      <c r="A968" s="96"/>
      <c r="B968" s="96"/>
      <c r="C968" s="96"/>
      <c r="D968" s="96"/>
      <c r="E968" s="96"/>
      <c r="F968" s="96"/>
      <c r="G968" s="96"/>
      <c r="H968" s="96"/>
      <c r="I968" s="96"/>
      <c r="J968" s="97"/>
      <c r="K968" s="96"/>
      <c r="L968" s="98"/>
    </row>
    <row r="969" spans="1:12" ht="14.4">
      <c r="A969" s="96"/>
      <c r="B969" s="96"/>
      <c r="C969" s="96"/>
      <c r="D969" s="96"/>
      <c r="E969" s="96"/>
      <c r="F969" s="96"/>
      <c r="G969" s="96"/>
      <c r="H969" s="96"/>
      <c r="I969" s="96"/>
      <c r="J969" s="97"/>
      <c r="K969" s="96"/>
      <c r="L969" s="98"/>
    </row>
    <row r="970" spans="1:12" ht="14.4">
      <c r="A970" s="96"/>
      <c r="B970" s="96"/>
      <c r="C970" s="96"/>
      <c r="D970" s="96"/>
      <c r="E970" s="96"/>
      <c r="F970" s="96"/>
      <c r="G970" s="96"/>
      <c r="H970" s="96"/>
      <c r="I970" s="96"/>
      <c r="J970" s="97"/>
      <c r="K970" s="96"/>
      <c r="L970" s="98"/>
    </row>
    <row r="971" spans="1:12" ht="14.4">
      <c r="A971" s="96"/>
      <c r="B971" s="96"/>
      <c r="C971" s="96"/>
      <c r="D971" s="96"/>
      <c r="E971" s="96"/>
      <c r="F971" s="96"/>
      <c r="G971" s="96"/>
      <c r="H971" s="96"/>
      <c r="I971" s="96"/>
      <c r="J971" s="97"/>
      <c r="K971" s="96"/>
      <c r="L971" s="98"/>
    </row>
    <row r="972" spans="1:12" ht="14.4">
      <c r="A972" s="96"/>
      <c r="B972" s="96"/>
      <c r="C972" s="96"/>
      <c r="D972" s="96"/>
      <c r="E972" s="96"/>
      <c r="F972" s="96"/>
      <c r="G972" s="96"/>
      <c r="H972" s="96"/>
      <c r="I972" s="96"/>
      <c r="J972" s="97"/>
      <c r="K972" s="96"/>
      <c r="L972" s="98"/>
    </row>
    <row r="973" spans="1:12" ht="14.4">
      <c r="A973" s="96"/>
      <c r="B973" s="96"/>
      <c r="C973" s="96"/>
      <c r="D973" s="96"/>
      <c r="E973" s="96"/>
      <c r="F973" s="96"/>
      <c r="G973" s="96"/>
      <c r="H973" s="96"/>
      <c r="I973" s="96"/>
      <c r="J973" s="97"/>
      <c r="K973" s="96"/>
      <c r="L973" s="98"/>
    </row>
    <row r="974" spans="1:12" ht="14.4">
      <c r="A974" s="96"/>
      <c r="B974" s="96"/>
      <c r="C974" s="96"/>
      <c r="D974" s="96"/>
      <c r="E974" s="96"/>
      <c r="F974" s="96"/>
      <c r="G974" s="96"/>
      <c r="H974" s="96"/>
      <c r="I974" s="96"/>
      <c r="J974" s="97"/>
      <c r="K974" s="96"/>
      <c r="L974" s="98"/>
    </row>
    <row r="975" spans="1:12" ht="14.4">
      <c r="A975" s="96"/>
      <c r="B975" s="96"/>
      <c r="C975" s="96"/>
      <c r="D975" s="96"/>
      <c r="E975" s="96"/>
      <c r="F975" s="96"/>
      <c r="G975" s="96"/>
      <c r="H975" s="96"/>
      <c r="I975" s="96"/>
      <c r="J975" s="97"/>
      <c r="K975" s="96"/>
      <c r="L975" s="98"/>
    </row>
    <row r="976" spans="1:12" ht="14.4">
      <c r="A976" s="96"/>
      <c r="B976" s="96"/>
      <c r="C976" s="96"/>
      <c r="D976" s="96"/>
      <c r="E976" s="96"/>
      <c r="F976" s="96"/>
      <c r="G976" s="96"/>
      <c r="H976" s="96"/>
      <c r="I976" s="96"/>
      <c r="J976" s="97"/>
      <c r="K976" s="96"/>
      <c r="L976" s="98"/>
    </row>
    <row r="977" spans="1:12" ht="14.4">
      <c r="A977" s="96"/>
      <c r="B977" s="96"/>
      <c r="C977" s="96"/>
      <c r="D977" s="96"/>
      <c r="E977" s="96"/>
      <c r="F977" s="96"/>
      <c r="G977" s="96"/>
      <c r="H977" s="96"/>
      <c r="I977" s="96"/>
      <c r="J977" s="97"/>
      <c r="K977" s="96"/>
      <c r="L977" s="98"/>
    </row>
    <row r="978" spans="1:12" ht="14.4">
      <c r="A978" s="96"/>
      <c r="B978" s="96"/>
      <c r="C978" s="96"/>
      <c r="D978" s="96"/>
      <c r="E978" s="96"/>
      <c r="F978" s="96"/>
      <c r="G978" s="96"/>
      <c r="H978" s="96"/>
      <c r="I978" s="96"/>
      <c r="J978" s="97"/>
      <c r="K978" s="96"/>
      <c r="L978" s="98"/>
    </row>
    <row r="979" spans="1:12" ht="14.4">
      <c r="A979" s="96"/>
      <c r="B979" s="96"/>
      <c r="C979" s="96"/>
      <c r="D979" s="96"/>
      <c r="E979" s="96"/>
      <c r="F979" s="96"/>
      <c r="G979" s="96"/>
      <c r="H979" s="96"/>
      <c r="I979" s="96"/>
      <c r="J979" s="97"/>
      <c r="K979" s="96"/>
      <c r="L979" s="98"/>
    </row>
    <row r="980" spans="1:12" ht="14.4">
      <c r="A980" s="96"/>
      <c r="B980" s="96"/>
      <c r="C980" s="96"/>
      <c r="D980" s="96"/>
      <c r="E980" s="96"/>
      <c r="F980" s="96"/>
      <c r="G980" s="96"/>
      <c r="H980" s="96"/>
      <c r="I980" s="96"/>
      <c r="J980" s="97"/>
      <c r="K980" s="96"/>
      <c r="L980" s="98"/>
    </row>
    <row r="981" spans="1:12" ht="14.4">
      <c r="A981" s="96"/>
      <c r="B981" s="96"/>
      <c r="C981" s="96"/>
      <c r="D981" s="96"/>
      <c r="E981" s="96"/>
      <c r="F981" s="96"/>
      <c r="G981" s="96"/>
      <c r="H981" s="96"/>
      <c r="I981" s="96"/>
      <c r="J981" s="97"/>
      <c r="K981" s="96"/>
      <c r="L981" s="98"/>
    </row>
    <row r="982" spans="1:12" ht="14.4">
      <c r="A982" s="96"/>
      <c r="B982" s="96"/>
      <c r="C982" s="96"/>
      <c r="D982" s="96"/>
      <c r="E982" s="96"/>
      <c r="F982" s="96"/>
      <c r="G982" s="96"/>
      <c r="H982" s="96"/>
      <c r="I982" s="96"/>
      <c r="J982" s="97"/>
      <c r="K982" s="96"/>
      <c r="L982" s="98"/>
    </row>
    <row r="983" spans="1:12" ht="14.4">
      <c r="A983" s="96"/>
      <c r="B983" s="96"/>
      <c r="C983" s="96"/>
      <c r="D983" s="96"/>
      <c r="E983" s="96"/>
      <c r="F983" s="96"/>
      <c r="G983" s="96"/>
      <c r="H983" s="96"/>
      <c r="I983" s="96"/>
      <c r="J983" s="97"/>
      <c r="K983" s="96"/>
      <c r="L983" s="98"/>
    </row>
    <row r="984" spans="1:12" ht="14.4">
      <c r="A984" s="96"/>
      <c r="B984" s="96"/>
      <c r="C984" s="96"/>
      <c r="D984" s="96"/>
      <c r="E984" s="96"/>
      <c r="F984" s="96"/>
      <c r="G984" s="96"/>
      <c r="H984" s="96"/>
      <c r="I984" s="96"/>
      <c r="J984" s="97"/>
      <c r="K984" s="96"/>
      <c r="L984" s="98"/>
    </row>
    <row r="985" spans="1:12" ht="14.4">
      <c r="A985" s="96"/>
      <c r="B985" s="96"/>
      <c r="C985" s="96"/>
      <c r="D985" s="96"/>
      <c r="E985" s="96"/>
      <c r="F985" s="96"/>
      <c r="G985" s="96"/>
      <c r="H985" s="96"/>
      <c r="I985" s="96"/>
      <c r="J985" s="97"/>
      <c r="K985" s="96"/>
      <c r="L985" s="98"/>
    </row>
    <row r="986" spans="1:12" ht="14.4">
      <c r="A986" s="96"/>
      <c r="B986" s="96"/>
      <c r="C986" s="96"/>
      <c r="D986" s="96"/>
      <c r="E986" s="96"/>
      <c r="F986" s="96"/>
      <c r="G986" s="96"/>
      <c r="H986" s="96"/>
      <c r="I986" s="96"/>
      <c r="J986" s="97"/>
      <c r="K986" s="96"/>
      <c r="L986" s="98"/>
    </row>
    <row r="987" spans="1:12" ht="14.4">
      <c r="A987" s="96"/>
      <c r="B987" s="96"/>
      <c r="C987" s="96"/>
      <c r="D987" s="96"/>
      <c r="E987" s="96"/>
      <c r="F987" s="96"/>
      <c r="G987" s="96"/>
      <c r="H987" s="96"/>
      <c r="I987" s="96"/>
      <c r="J987" s="97"/>
      <c r="K987" s="96"/>
      <c r="L987" s="98"/>
    </row>
    <row r="988" spans="1:12" ht="14.4">
      <c r="A988" s="96"/>
      <c r="B988" s="96"/>
      <c r="C988" s="96"/>
      <c r="D988" s="96"/>
      <c r="E988" s="96"/>
      <c r="F988" s="96"/>
      <c r="G988" s="96"/>
      <c r="H988" s="96"/>
      <c r="I988" s="96"/>
      <c r="J988" s="97"/>
      <c r="K988" s="96"/>
      <c r="L988" s="98"/>
    </row>
    <row r="989" spans="1:12" ht="14.4">
      <c r="A989" s="96"/>
      <c r="B989" s="96"/>
      <c r="C989" s="96"/>
      <c r="D989" s="96"/>
      <c r="E989" s="96"/>
      <c r="F989" s="96"/>
      <c r="G989" s="96"/>
      <c r="H989" s="96"/>
      <c r="I989" s="96"/>
      <c r="J989" s="97"/>
      <c r="K989" s="96"/>
      <c r="L989" s="98"/>
    </row>
    <row r="990" spans="1:12" ht="14.4">
      <c r="A990" s="96"/>
      <c r="B990" s="96"/>
      <c r="C990" s="96"/>
      <c r="D990" s="96"/>
      <c r="E990" s="96"/>
      <c r="F990" s="96"/>
      <c r="G990" s="96"/>
      <c r="H990" s="96"/>
      <c r="I990" s="96"/>
      <c r="J990" s="97"/>
      <c r="K990" s="96"/>
      <c r="L990" s="98"/>
    </row>
    <row r="991" spans="1:12" ht="14.4">
      <c r="A991" s="96"/>
      <c r="B991" s="96"/>
      <c r="C991" s="96"/>
      <c r="D991" s="96"/>
      <c r="E991" s="96"/>
      <c r="F991" s="96"/>
      <c r="G991" s="96"/>
      <c r="H991" s="96"/>
      <c r="I991" s="96"/>
      <c r="J991" s="97"/>
      <c r="K991" s="96"/>
      <c r="L991" s="98"/>
    </row>
    <row r="992" spans="1:12" ht="14.4">
      <c r="A992" s="96"/>
      <c r="B992" s="96"/>
      <c r="C992" s="96"/>
      <c r="D992" s="96"/>
      <c r="E992" s="96"/>
      <c r="F992" s="96"/>
      <c r="G992" s="96"/>
      <c r="H992" s="96"/>
      <c r="I992" s="96"/>
      <c r="J992" s="97"/>
      <c r="K992" s="96"/>
      <c r="L992" s="98"/>
    </row>
    <row r="993" spans="1:12" ht="14.4">
      <c r="A993" s="96"/>
      <c r="B993" s="96"/>
      <c r="C993" s="96"/>
      <c r="D993" s="96"/>
      <c r="E993" s="96"/>
      <c r="F993" s="96"/>
      <c r="G993" s="96"/>
      <c r="H993" s="96"/>
      <c r="I993" s="96"/>
      <c r="J993" s="97"/>
      <c r="K993" s="96"/>
      <c r="L993" s="98"/>
    </row>
    <row r="994" spans="1:12" ht="14.4">
      <c r="A994" s="96"/>
      <c r="B994" s="96"/>
      <c r="C994" s="96"/>
      <c r="D994" s="96"/>
      <c r="E994" s="96"/>
      <c r="F994" s="96"/>
      <c r="G994" s="96"/>
      <c r="H994" s="96"/>
      <c r="I994" s="96"/>
      <c r="J994" s="97"/>
      <c r="K994" s="96"/>
      <c r="L994" s="98"/>
    </row>
    <row r="995" spans="1:12" ht="14.4">
      <c r="A995" s="96"/>
      <c r="B995" s="96"/>
      <c r="C995" s="96"/>
      <c r="D995" s="96"/>
      <c r="E995" s="96"/>
      <c r="F995" s="96"/>
      <c r="G995" s="96"/>
      <c r="H995" s="96"/>
      <c r="I995" s="96"/>
      <c r="J995" s="97"/>
      <c r="K995" s="96"/>
      <c r="L995" s="98"/>
    </row>
    <row r="996" spans="1:12" ht="14.4">
      <c r="A996" s="96"/>
      <c r="B996" s="96"/>
      <c r="C996" s="96"/>
      <c r="D996" s="96"/>
      <c r="E996" s="96"/>
      <c r="F996" s="96"/>
      <c r="G996" s="96"/>
      <c r="H996" s="96"/>
      <c r="I996" s="96"/>
      <c r="J996" s="97"/>
      <c r="K996" s="96"/>
      <c r="L996" s="98"/>
    </row>
    <row r="997" spans="1:12" ht="14.4">
      <c r="A997" s="96"/>
      <c r="B997" s="96"/>
      <c r="C997" s="96"/>
      <c r="D997" s="96"/>
      <c r="E997" s="96"/>
      <c r="F997" s="96"/>
      <c r="G997" s="96"/>
      <c r="H997" s="96"/>
      <c r="I997" s="96"/>
      <c r="J997" s="97"/>
      <c r="K997" s="96"/>
      <c r="L997" s="98"/>
    </row>
    <row r="998" spans="1:12" ht="14.4">
      <c r="A998" s="96"/>
      <c r="B998" s="96"/>
      <c r="C998" s="96"/>
      <c r="D998" s="96"/>
      <c r="E998" s="96"/>
      <c r="F998" s="96"/>
      <c r="G998" s="96"/>
      <c r="H998" s="96"/>
      <c r="I998" s="96"/>
      <c r="J998" s="97"/>
      <c r="K998" s="96"/>
      <c r="L998" s="98"/>
    </row>
    <row r="999" spans="1:12" ht="14.4">
      <c r="A999" s="96"/>
      <c r="B999" s="96"/>
      <c r="C999" s="96"/>
      <c r="D999" s="96"/>
      <c r="E999" s="96"/>
      <c r="F999" s="96"/>
      <c r="G999" s="96"/>
      <c r="H999" s="96"/>
      <c r="I999" s="96"/>
      <c r="J999" s="97"/>
      <c r="K999" s="96"/>
      <c r="L999" s="98"/>
    </row>
    <row r="1000" spans="1:12" ht="14.4">
      <c r="A1000" s="96"/>
      <c r="B1000" s="96"/>
      <c r="C1000" s="96"/>
      <c r="D1000" s="96"/>
      <c r="E1000" s="96"/>
      <c r="F1000" s="96"/>
      <c r="G1000" s="96"/>
      <c r="H1000" s="96"/>
      <c r="I1000" s="96"/>
      <c r="J1000" s="97"/>
      <c r="K1000" s="96"/>
      <c r="L1000" s="98"/>
    </row>
    <row r="1001" spans="1:12" ht="14.4">
      <c r="A1001" s="96"/>
      <c r="B1001" s="96"/>
      <c r="C1001" s="96"/>
      <c r="D1001" s="96"/>
      <c r="E1001" s="96"/>
      <c r="F1001" s="96"/>
      <c r="G1001" s="96"/>
      <c r="H1001" s="96"/>
      <c r="I1001" s="96"/>
      <c r="J1001" s="97"/>
      <c r="K1001" s="96"/>
      <c r="L1001" s="98"/>
    </row>
    <row r="1002" spans="1:12" ht="14.4">
      <c r="A1002" s="96"/>
      <c r="B1002" s="96"/>
      <c r="C1002" s="96"/>
      <c r="D1002" s="96"/>
      <c r="E1002" s="96"/>
      <c r="F1002" s="96"/>
      <c r="G1002" s="96"/>
      <c r="H1002" s="96"/>
      <c r="I1002" s="96"/>
      <c r="J1002" s="97"/>
      <c r="K1002" s="96"/>
      <c r="L1002" s="98"/>
    </row>
    <row r="1003" spans="1:12" ht="14.4">
      <c r="A1003" s="96"/>
      <c r="B1003" s="96"/>
      <c r="C1003" s="96"/>
      <c r="D1003" s="96"/>
      <c r="E1003" s="96"/>
      <c r="F1003" s="96"/>
      <c r="G1003" s="96"/>
      <c r="H1003" s="96"/>
      <c r="I1003" s="96"/>
      <c r="J1003" s="97"/>
      <c r="K1003" s="96"/>
      <c r="L1003" s="98"/>
    </row>
    <row r="1004" spans="1:12" ht="14.4">
      <c r="A1004" s="96"/>
      <c r="B1004" s="96"/>
      <c r="C1004" s="96"/>
      <c r="D1004" s="96"/>
      <c r="E1004" s="96"/>
      <c r="F1004" s="96"/>
      <c r="G1004" s="96"/>
      <c r="H1004" s="96"/>
      <c r="I1004" s="96"/>
      <c r="J1004" s="97"/>
      <c r="K1004" s="96"/>
      <c r="L1004" s="98"/>
    </row>
    <row r="1005" spans="1:12" ht="14.4">
      <c r="A1005" s="96"/>
      <c r="B1005" s="96"/>
      <c r="C1005" s="96"/>
      <c r="D1005" s="96"/>
      <c r="E1005" s="96"/>
      <c r="F1005" s="96"/>
      <c r="G1005" s="96"/>
      <c r="H1005" s="96"/>
      <c r="I1005" s="96"/>
      <c r="J1005" s="97"/>
      <c r="K1005" s="96"/>
      <c r="L1005" s="98"/>
    </row>
    <row r="1006" spans="1:12" ht="14.4">
      <c r="A1006" s="96"/>
      <c r="B1006" s="96"/>
      <c r="C1006" s="96"/>
      <c r="D1006" s="96"/>
      <c r="E1006" s="96"/>
      <c r="F1006" s="96"/>
      <c r="G1006" s="96"/>
      <c r="H1006" s="96"/>
      <c r="I1006" s="96"/>
      <c r="J1006" s="97"/>
      <c r="K1006" s="96"/>
      <c r="L1006" s="98"/>
    </row>
    <row r="1007" spans="1:12" ht="14.4">
      <c r="A1007" s="96"/>
      <c r="B1007" s="96"/>
      <c r="C1007" s="96"/>
      <c r="D1007" s="96"/>
      <c r="E1007" s="96"/>
      <c r="F1007" s="96"/>
      <c r="G1007" s="96"/>
      <c r="H1007" s="96"/>
      <c r="I1007" s="96"/>
      <c r="J1007" s="97"/>
      <c r="K1007" s="96"/>
      <c r="L1007" s="98"/>
    </row>
    <row r="1008" spans="1:12" ht="14.4">
      <c r="A1008" s="96"/>
      <c r="B1008" s="96"/>
      <c r="C1008" s="96"/>
      <c r="D1008" s="96"/>
      <c r="E1008" s="96"/>
      <c r="F1008" s="96"/>
      <c r="G1008" s="96"/>
      <c r="H1008" s="96"/>
      <c r="I1008" s="96"/>
      <c r="J1008" s="97"/>
      <c r="K1008" s="96"/>
      <c r="L1008" s="98"/>
    </row>
    <row r="1009" spans="1:12" ht="14.4">
      <c r="A1009" s="96"/>
      <c r="B1009" s="96"/>
      <c r="C1009" s="96"/>
      <c r="D1009" s="96"/>
      <c r="E1009" s="96"/>
      <c r="F1009" s="96"/>
      <c r="G1009" s="96"/>
      <c r="H1009" s="96"/>
      <c r="I1009" s="96"/>
      <c r="J1009" s="97"/>
      <c r="K1009" s="96"/>
      <c r="L1009" s="98"/>
    </row>
    <row r="1010" spans="1:12" ht="14.4">
      <c r="A1010" s="96"/>
      <c r="B1010" s="96"/>
      <c r="C1010" s="96"/>
      <c r="D1010" s="96"/>
      <c r="E1010" s="96"/>
      <c r="F1010" s="96"/>
      <c r="G1010" s="96"/>
      <c r="H1010" s="96"/>
      <c r="I1010" s="96"/>
      <c r="J1010" s="97"/>
      <c r="K1010" s="96"/>
      <c r="L1010" s="98"/>
    </row>
    <row r="1011" spans="1:12" ht="14.4">
      <c r="A1011" s="96"/>
      <c r="B1011" s="96"/>
      <c r="C1011" s="96"/>
      <c r="D1011" s="96"/>
      <c r="E1011" s="96"/>
      <c r="F1011" s="96"/>
      <c r="G1011" s="96"/>
      <c r="H1011" s="96"/>
      <c r="I1011" s="96"/>
      <c r="J1011" s="97"/>
      <c r="K1011" s="96"/>
      <c r="L1011" s="98"/>
    </row>
    <row r="1012" spans="1:12" ht="14.4">
      <c r="A1012" s="96"/>
      <c r="B1012" s="96"/>
      <c r="C1012" s="96"/>
      <c r="D1012" s="96"/>
      <c r="E1012" s="96"/>
      <c r="F1012" s="96"/>
      <c r="G1012" s="96"/>
      <c r="H1012" s="96"/>
      <c r="I1012" s="96"/>
      <c r="J1012" s="97"/>
      <c r="K1012" s="96"/>
      <c r="L1012" s="98"/>
    </row>
    <row r="1013" spans="1:12" ht="14.4">
      <c r="A1013" s="96"/>
      <c r="B1013" s="96"/>
      <c r="C1013" s="96"/>
      <c r="D1013" s="96"/>
      <c r="E1013" s="96"/>
      <c r="F1013" s="96"/>
      <c r="G1013" s="96"/>
      <c r="H1013" s="96"/>
      <c r="I1013" s="96"/>
      <c r="J1013" s="97"/>
      <c r="K1013" s="96"/>
      <c r="L1013" s="98"/>
    </row>
    <row r="1014" spans="1:12" ht="14.4">
      <c r="A1014" s="96"/>
      <c r="B1014" s="96"/>
      <c r="C1014" s="96"/>
      <c r="D1014" s="96"/>
      <c r="E1014" s="96"/>
      <c r="F1014" s="96"/>
      <c r="G1014" s="96"/>
      <c r="H1014" s="96"/>
      <c r="I1014" s="96"/>
      <c r="J1014" s="97"/>
      <c r="K1014" s="96"/>
      <c r="L1014" s="98"/>
    </row>
    <row r="1015" spans="1:12" ht="14.4">
      <c r="A1015" s="96"/>
      <c r="B1015" s="96"/>
      <c r="C1015" s="96"/>
      <c r="D1015" s="96"/>
      <c r="E1015" s="96"/>
      <c r="F1015" s="96"/>
      <c r="G1015" s="96"/>
      <c r="H1015" s="96"/>
      <c r="I1015" s="96"/>
      <c r="J1015" s="97"/>
      <c r="K1015" s="96"/>
      <c r="L1015" s="98"/>
    </row>
    <row r="1016" spans="1:12" ht="14.4">
      <c r="A1016" s="96"/>
      <c r="B1016" s="96"/>
      <c r="C1016" s="96"/>
      <c r="D1016" s="96"/>
      <c r="E1016" s="96"/>
      <c r="F1016" s="96"/>
      <c r="G1016" s="96"/>
      <c r="H1016" s="96"/>
      <c r="I1016" s="96"/>
      <c r="J1016" s="97"/>
      <c r="K1016" s="96"/>
      <c r="L1016" s="98"/>
    </row>
    <row r="1017" spans="1:12" ht="14.4">
      <c r="A1017" s="96"/>
      <c r="B1017" s="96"/>
      <c r="C1017" s="96"/>
      <c r="D1017" s="96"/>
      <c r="E1017" s="96"/>
      <c r="F1017" s="96"/>
      <c r="G1017" s="96"/>
      <c r="H1017" s="96"/>
      <c r="I1017" s="96"/>
      <c r="J1017" s="97"/>
      <c r="K1017" s="96"/>
      <c r="L1017" s="98"/>
    </row>
    <row r="1018" spans="1:12" ht="14.4">
      <c r="A1018" s="96"/>
      <c r="B1018" s="96"/>
      <c r="C1018" s="96"/>
      <c r="D1018" s="96"/>
      <c r="E1018" s="96"/>
      <c r="F1018" s="96"/>
      <c r="G1018" s="96"/>
      <c r="H1018" s="96"/>
      <c r="I1018" s="96"/>
      <c r="J1018" s="97"/>
      <c r="K1018" s="96"/>
      <c r="L1018" s="98"/>
    </row>
    <row r="1019" spans="1:12" ht="14.4">
      <c r="A1019" s="96"/>
      <c r="B1019" s="96"/>
      <c r="C1019" s="96"/>
      <c r="D1019" s="96"/>
      <c r="E1019" s="96"/>
      <c r="F1019" s="96"/>
      <c r="G1019" s="96"/>
      <c r="H1019" s="96"/>
      <c r="I1019" s="96"/>
      <c r="J1019" s="97"/>
      <c r="K1019" s="96"/>
      <c r="L1019" s="98"/>
    </row>
    <row r="1020" spans="1:12" ht="14.4">
      <c r="A1020" s="96"/>
      <c r="B1020" s="96"/>
      <c r="C1020" s="96"/>
      <c r="D1020" s="96"/>
      <c r="E1020" s="96"/>
      <c r="F1020" s="96"/>
      <c r="G1020" s="96"/>
      <c r="H1020" s="96"/>
      <c r="I1020" s="96"/>
      <c r="J1020" s="97"/>
      <c r="K1020" s="96"/>
      <c r="L1020" s="98"/>
    </row>
    <row r="1021" spans="1:12" ht="14.4">
      <c r="A1021" s="96"/>
      <c r="B1021" s="96"/>
      <c r="C1021" s="96"/>
      <c r="D1021" s="96"/>
      <c r="E1021" s="96"/>
      <c r="F1021" s="96"/>
      <c r="G1021" s="96"/>
      <c r="H1021" s="96"/>
      <c r="I1021" s="96"/>
      <c r="J1021" s="97"/>
      <c r="K1021" s="96"/>
      <c r="L1021" s="98"/>
    </row>
    <row r="1022" spans="1:12" ht="14.4">
      <c r="A1022" s="96"/>
      <c r="B1022" s="96"/>
      <c r="C1022" s="96"/>
      <c r="D1022" s="96"/>
      <c r="E1022" s="96"/>
      <c r="F1022" s="96"/>
      <c r="G1022" s="96"/>
      <c r="H1022" s="96"/>
      <c r="I1022" s="96"/>
      <c r="J1022" s="97"/>
      <c r="K1022" s="96"/>
      <c r="L1022" s="98"/>
    </row>
    <row r="1023" spans="1:12" ht="14.4">
      <c r="A1023" s="96"/>
      <c r="B1023" s="96"/>
      <c r="C1023" s="96"/>
      <c r="D1023" s="96"/>
      <c r="E1023" s="96"/>
      <c r="F1023" s="96"/>
      <c r="G1023" s="96"/>
      <c r="H1023" s="96"/>
      <c r="I1023" s="96"/>
      <c r="J1023" s="97"/>
      <c r="K1023" s="96"/>
      <c r="L1023" s="98"/>
    </row>
    <row r="1024" spans="1:12" ht="14.4">
      <c r="A1024" s="96"/>
      <c r="B1024" s="96"/>
      <c r="C1024" s="96"/>
      <c r="D1024" s="96"/>
      <c r="E1024" s="96"/>
      <c r="F1024" s="96"/>
      <c r="G1024" s="96"/>
      <c r="H1024" s="96"/>
      <c r="I1024" s="96"/>
      <c r="J1024" s="97"/>
      <c r="K1024" s="96"/>
      <c r="L1024" s="98"/>
    </row>
    <row r="1025" spans="1:12" ht="14.4">
      <c r="A1025" s="96"/>
      <c r="B1025" s="96"/>
      <c r="C1025" s="96"/>
      <c r="D1025" s="96"/>
      <c r="E1025" s="96"/>
      <c r="F1025" s="96"/>
      <c r="G1025" s="96"/>
      <c r="H1025" s="96"/>
      <c r="I1025" s="96"/>
      <c r="J1025" s="97"/>
      <c r="K1025" s="96"/>
      <c r="L1025" s="98"/>
    </row>
    <row r="1026" spans="1:12" ht="14.4">
      <c r="A1026" s="96"/>
      <c r="B1026" s="96"/>
      <c r="C1026" s="96"/>
      <c r="D1026" s="96"/>
      <c r="E1026" s="96"/>
      <c r="F1026" s="96"/>
      <c r="G1026" s="96"/>
      <c r="H1026" s="96"/>
      <c r="I1026" s="96"/>
      <c r="J1026" s="97"/>
      <c r="K1026" s="96"/>
      <c r="L1026" s="98"/>
    </row>
    <row r="1027" spans="1:12" ht="14.4">
      <c r="A1027" s="96"/>
      <c r="B1027" s="96"/>
      <c r="C1027" s="96"/>
      <c r="D1027" s="96"/>
      <c r="E1027" s="96"/>
      <c r="F1027" s="96"/>
      <c r="G1027" s="96"/>
      <c r="H1027" s="96"/>
      <c r="I1027" s="96"/>
      <c r="J1027" s="97"/>
      <c r="K1027" s="96"/>
      <c r="L1027" s="98"/>
    </row>
    <row r="1028" spans="1:12" ht="14.4">
      <c r="A1028" s="96"/>
      <c r="B1028" s="96"/>
      <c r="C1028" s="96"/>
      <c r="D1028" s="96"/>
      <c r="E1028" s="96"/>
      <c r="F1028" s="96"/>
      <c r="G1028" s="96"/>
      <c r="H1028" s="96"/>
      <c r="I1028" s="96"/>
      <c r="J1028" s="97"/>
      <c r="K1028" s="96"/>
      <c r="L1028" s="98"/>
    </row>
    <row r="1029" spans="1:12" ht="14.4">
      <c r="A1029" s="96"/>
      <c r="B1029" s="96"/>
      <c r="C1029" s="96"/>
      <c r="D1029" s="96"/>
      <c r="E1029" s="96"/>
      <c r="F1029" s="96"/>
      <c r="G1029" s="96"/>
      <c r="H1029" s="96"/>
      <c r="I1029" s="96"/>
      <c r="J1029" s="97"/>
      <c r="K1029" s="96"/>
      <c r="L1029" s="98"/>
    </row>
    <row r="1030" spans="1:12" ht="14.4">
      <c r="A1030" s="96"/>
      <c r="B1030" s="96"/>
      <c r="C1030" s="96"/>
      <c r="D1030" s="96"/>
      <c r="E1030" s="96"/>
      <c r="F1030" s="96"/>
      <c r="G1030" s="96"/>
      <c r="H1030" s="96"/>
      <c r="I1030" s="96"/>
      <c r="J1030" s="97"/>
      <c r="K1030" s="96"/>
      <c r="L1030" s="98"/>
    </row>
    <row r="1031" spans="1:12" ht="14.4">
      <c r="A1031" s="96"/>
      <c r="B1031" s="96"/>
      <c r="C1031" s="96"/>
      <c r="D1031" s="96"/>
      <c r="E1031" s="96"/>
      <c r="F1031" s="96"/>
      <c r="G1031" s="96"/>
      <c r="H1031" s="96"/>
      <c r="I1031" s="96"/>
      <c r="J1031" s="97"/>
      <c r="K1031" s="96"/>
      <c r="L1031" s="98"/>
    </row>
    <row r="1032" spans="1:12" ht="14.4">
      <c r="A1032" s="96"/>
      <c r="B1032" s="96"/>
      <c r="C1032" s="96"/>
      <c r="D1032" s="96"/>
      <c r="E1032" s="96"/>
      <c r="F1032" s="96"/>
      <c r="G1032" s="96"/>
      <c r="H1032" s="96"/>
      <c r="I1032" s="96"/>
      <c r="J1032" s="97"/>
      <c r="K1032" s="96"/>
      <c r="L1032" s="98"/>
    </row>
    <row r="1033" spans="1:12" ht="14.4">
      <c r="A1033" s="96"/>
      <c r="B1033" s="96"/>
      <c r="C1033" s="96"/>
      <c r="D1033" s="96"/>
      <c r="E1033" s="96"/>
      <c r="F1033" s="96"/>
      <c r="G1033" s="96"/>
      <c r="H1033" s="96"/>
      <c r="I1033" s="96"/>
      <c r="J1033" s="97"/>
      <c r="K1033" s="96"/>
      <c r="L1033" s="98"/>
    </row>
    <row r="1034" spans="1:12" ht="14.4">
      <c r="A1034" s="96"/>
      <c r="B1034" s="96"/>
      <c r="C1034" s="96"/>
      <c r="D1034" s="96"/>
      <c r="E1034" s="96"/>
      <c r="F1034" s="96"/>
      <c r="G1034" s="96"/>
      <c r="H1034" s="96"/>
      <c r="I1034" s="96"/>
      <c r="J1034" s="97"/>
      <c r="K1034" s="96"/>
      <c r="L1034" s="98"/>
    </row>
    <row r="1035" spans="1:12" ht="14.4">
      <c r="A1035" s="96"/>
      <c r="B1035" s="96"/>
      <c r="C1035" s="96"/>
      <c r="D1035" s="96"/>
      <c r="E1035" s="96"/>
      <c r="F1035" s="96"/>
      <c r="G1035" s="96"/>
      <c r="H1035" s="96"/>
      <c r="I1035" s="96"/>
      <c r="J1035" s="97"/>
      <c r="K1035" s="96"/>
      <c r="L1035" s="98"/>
    </row>
    <row r="1036" spans="1:12" ht="14.4">
      <c r="A1036" s="96"/>
      <c r="B1036" s="96"/>
      <c r="C1036" s="96"/>
      <c r="D1036" s="96"/>
      <c r="E1036" s="96"/>
      <c r="F1036" s="96"/>
      <c r="G1036" s="96"/>
      <c r="H1036" s="96"/>
      <c r="I1036" s="96"/>
      <c r="J1036" s="97"/>
      <c r="K1036" s="96"/>
      <c r="L1036" s="98"/>
    </row>
  </sheetData>
  <mergeCells count="70">
    <mergeCell ref="A39:B39"/>
    <mergeCell ref="C39:G39"/>
    <mergeCell ref="A37:B37"/>
    <mergeCell ref="C37:G37"/>
    <mergeCell ref="A38:B38"/>
    <mergeCell ref="C38:G38"/>
    <mergeCell ref="A36:B36"/>
    <mergeCell ref="C36:G36"/>
    <mergeCell ref="A30:B30"/>
    <mergeCell ref="C30:G30"/>
    <mergeCell ref="A31:K31"/>
    <mergeCell ref="A32:B32"/>
    <mergeCell ref="C32:G32"/>
    <mergeCell ref="A33:B33"/>
    <mergeCell ref="C33:G33"/>
    <mergeCell ref="A34:J34"/>
    <mergeCell ref="A35:B35"/>
    <mergeCell ref="C35:G35"/>
    <mergeCell ref="A29:B29"/>
    <mergeCell ref="C29:G29"/>
    <mergeCell ref="A26:B26"/>
    <mergeCell ref="C26:G26"/>
    <mergeCell ref="A27:B27"/>
    <mergeCell ref="C27:G27"/>
    <mergeCell ref="A28:K28"/>
    <mergeCell ref="A24:B24"/>
    <mergeCell ref="C24:G24"/>
    <mergeCell ref="A25:B25"/>
    <mergeCell ref="C25:G25"/>
    <mergeCell ref="A22:B22"/>
    <mergeCell ref="A23:B23"/>
    <mergeCell ref="C23:G23"/>
    <mergeCell ref="C22:G22"/>
    <mergeCell ref="A19:K19"/>
    <mergeCell ref="A20:B20"/>
    <mergeCell ref="C20:G20"/>
    <mergeCell ref="A21:B21"/>
    <mergeCell ref="C21:G21"/>
    <mergeCell ref="A16:B16"/>
    <mergeCell ref="C16:G16"/>
    <mergeCell ref="A17:B17"/>
    <mergeCell ref="C17:G17"/>
    <mergeCell ref="A18:J18"/>
    <mergeCell ref="A14:B14"/>
    <mergeCell ref="C14:G14"/>
    <mergeCell ref="C12:G12"/>
    <mergeCell ref="A15:B15"/>
    <mergeCell ref="C15:G15"/>
    <mergeCell ref="C10:G10"/>
    <mergeCell ref="A11:B11"/>
    <mergeCell ref="C11:G11"/>
    <mergeCell ref="A12:B12"/>
    <mergeCell ref="A13:B13"/>
    <mergeCell ref="C13:G13"/>
    <mergeCell ref="C43:G43"/>
    <mergeCell ref="A2:K2"/>
    <mergeCell ref="A3:B3"/>
    <mergeCell ref="C3:G3"/>
    <mergeCell ref="A4:J4"/>
    <mergeCell ref="A5:B5"/>
    <mergeCell ref="C5:G5"/>
    <mergeCell ref="A6:B6"/>
    <mergeCell ref="C6:G6"/>
    <mergeCell ref="A7:B7"/>
    <mergeCell ref="C7:G7"/>
    <mergeCell ref="A8:B8"/>
    <mergeCell ref="C8:G8"/>
    <mergeCell ref="A9:B9"/>
    <mergeCell ref="C9:G9"/>
    <mergeCell ref="A10:B10"/>
  </mergeCells>
  <pageMargins left="0.70866141732283472" right="0" top="0.94488188976377963" bottom="0.55118110236220474" header="0" footer="0"/>
  <pageSetup scale="85" orientation="portrait"/>
  <headerFooter>
    <oddHeader>&amp;RПисьмо-запрос на модификацию. Обновлено в марте 2015 года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5"/>
  <sheetViews>
    <sheetView zoomScale="130" zoomScaleNormal="130" workbookViewId="0">
      <selection sqref="A1:D1"/>
    </sheetView>
  </sheetViews>
  <sheetFormatPr defaultColWidth="14.44140625" defaultRowHeight="15" customHeight="1"/>
  <cols>
    <col min="1" max="1" width="21" style="99" customWidth="1"/>
    <col min="2" max="16384" width="14.44140625" style="99"/>
  </cols>
  <sheetData>
    <row r="1" spans="1:10" ht="14.4">
      <c r="A1" s="938" t="s">
        <v>865</v>
      </c>
      <c r="B1" s="939"/>
      <c r="C1" s="939"/>
      <c r="D1" s="939"/>
    </row>
    <row r="2" spans="1:10" ht="14.4">
      <c r="B2" s="114">
        <v>2024</v>
      </c>
      <c r="C2" s="114">
        <v>2025</v>
      </c>
      <c r="D2" s="114">
        <v>2026</v>
      </c>
    </row>
    <row r="3" spans="1:10" ht="14.4">
      <c r="A3" s="99" t="s">
        <v>304</v>
      </c>
      <c r="B3" s="99">
        <v>12675</v>
      </c>
      <c r="C3" s="99">
        <v>12844</v>
      </c>
      <c r="D3" s="99">
        <v>13013</v>
      </c>
    </row>
    <row r="5" spans="1:10" ht="28.8">
      <c r="A5" s="115" t="s">
        <v>305</v>
      </c>
      <c r="B5" s="116">
        <f t="shared" ref="B5:D5" si="0">2.1*12*B3</f>
        <v>319410.00000000006</v>
      </c>
      <c r="C5" s="117">
        <f t="shared" si="0"/>
        <v>323668.80000000005</v>
      </c>
      <c r="D5" s="117">
        <f t="shared" si="0"/>
        <v>327927.60000000003</v>
      </c>
      <c r="E5" s="940" t="s">
        <v>306</v>
      </c>
      <c r="F5" s="941"/>
      <c r="G5" s="941"/>
      <c r="H5" s="941"/>
      <c r="I5" s="941"/>
      <c r="J5" s="941"/>
    </row>
    <row r="6" spans="1:10" ht="14.4">
      <c r="A6" s="116">
        <f>4.447/144</f>
        <v>3.0881944444444445E-2</v>
      </c>
      <c r="B6" s="116">
        <f>$A$6*B5</f>
        <v>9864.0018750000017</v>
      </c>
      <c r="C6" s="116">
        <f t="shared" ref="C6:D6" si="1">$A$6*C5</f>
        <v>9995.5219000000016</v>
      </c>
      <c r="D6" s="116">
        <f t="shared" si="1"/>
        <v>10127.041925000001</v>
      </c>
      <c r="E6" s="940"/>
      <c r="F6" s="941"/>
      <c r="G6" s="941"/>
      <c r="H6" s="941"/>
      <c r="I6" s="941"/>
      <c r="J6" s="941"/>
    </row>
    <row r="7" spans="1:10" ht="28.8">
      <c r="A7" s="118" t="s">
        <v>307</v>
      </c>
      <c r="B7" s="116">
        <f t="shared" ref="B7:D7" si="2">1*4*B3</f>
        <v>50700</v>
      </c>
      <c r="C7" s="116">
        <f t="shared" si="2"/>
        <v>51376</v>
      </c>
      <c r="D7" s="116">
        <f t="shared" si="2"/>
        <v>52052</v>
      </c>
      <c r="E7" s="940" t="s">
        <v>308</v>
      </c>
      <c r="F7" s="941"/>
      <c r="G7" s="941"/>
      <c r="H7" s="941"/>
      <c r="I7" s="941"/>
      <c r="J7" s="941"/>
    </row>
    <row r="8" spans="1:10" ht="14.4">
      <c r="A8" s="99">
        <f>4.454/144</f>
        <v>3.0930555555555555E-2</v>
      </c>
      <c r="B8" s="116">
        <f>$A$8*B7</f>
        <v>1568.1791666666666</v>
      </c>
      <c r="C8" s="116">
        <f t="shared" ref="C8:D8" si="3">$A$8*C7</f>
        <v>1589.0882222222222</v>
      </c>
      <c r="D8" s="116">
        <f t="shared" si="3"/>
        <v>1609.9972777777778</v>
      </c>
    </row>
    <row r="9" spans="1:10" ht="14.4">
      <c r="A9" s="119" t="s">
        <v>309</v>
      </c>
      <c r="B9" s="117">
        <f t="shared" ref="B9:D9" si="4">B5/4</f>
        <v>79852.500000000015</v>
      </c>
      <c r="C9" s="117">
        <f t="shared" si="4"/>
        <v>80917.200000000012</v>
      </c>
      <c r="D9" s="117">
        <f t="shared" si="4"/>
        <v>81981.900000000009</v>
      </c>
      <c r="E9" s="940" t="s">
        <v>310</v>
      </c>
      <c r="F9" s="941"/>
      <c r="G9" s="941"/>
      <c r="H9" s="941"/>
      <c r="I9" s="941"/>
      <c r="J9" s="941"/>
    </row>
    <row r="10" spans="1:10" ht="36" customHeight="1">
      <c r="A10" s="99">
        <f>0.22</f>
        <v>0.22</v>
      </c>
      <c r="B10" s="99">
        <f>B9*$A$10</f>
        <v>17567.550000000003</v>
      </c>
      <c r="C10" s="113">
        <f t="shared" ref="C10:D10" si="5">C9*$A$10</f>
        <v>17801.784000000003</v>
      </c>
      <c r="D10" s="113">
        <f t="shared" si="5"/>
        <v>18036.018000000004</v>
      </c>
    </row>
    <row r="11" spans="1:10" ht="14.4">
      <c r="A11" s="120" t="s">
        <v>311</v>
      </c>
      <c r="B11" s="114">
        <v>2024</v>
      </c>
      <c r="C11" s="114">
        <v>2025</v>
      </c>
      <c r="D11" s="114">
        <v>2026</v>
      </c>
    </row>
    <row r="12" spans="1:10" ht="72">
      <c r="A12" s="116" t="s">
        <v>312</v>
      </c>
      <c r="B12" s="121">
        <f>B3</f>
        <v>12675</v>
      </c>
      <c r="C12" s="121">
        <f t="shared" ref="C12:D12" si="6">C3</f>
        <v>12844</v>
      </c>
      <c r="D12" s="121">
        <f t="shared" si="6"/>
        <v>13013</v>
      </c>
    </row>
    <row r="13" spans="1:10" ht="14.4">
      <c r="A13" s="122" t="s">
        <v>313</v>
      </c>
      <c r="B13" s="123">
        <f t="shared" ref="B13:D13" si="7">B12-B14</f>
        <v>11675</v>
      </c>
      <c r="C13" s="123">
        <f t="shared" si="7"/>
        <v>11844</v>
      </c>
      <c r="D13" s="123">
        <f t="shared" si="7"/>
        <v>12013</v>
      </c>
      <c r="E13" s="99" t="s">
        <v>314</v>
      </c>
    </row>
    <row r="14" spans="1:10" ht="14.4">
      <c r="A14" s="124" t="s">
        <v>315</v>
      </c>
      <c r="B14" s="124">
        <v>1000</v>
      </c>
      <c r="C14" s="124">
        <v>1000</v>
      </c>
      <c r="D14" s="124">
        <v>1000</v>
      </c>
      <c r="E14" s="99" t="s">
        <v>314</v>
      </c>
    </row>
    <row r="15" spans="1:10" ht="15" customHeight="1">
      <c r="B15" s="549" t="s">
        <v>802</v>
      </c>
    </row>
  </sheetData>
  <mergeCells count="5">
    <mergeCell ref="A1:D1"/>
    <mergeCell ref="E5:J5"/>
    <mergeCell ref="E6:J6"/>
    <mergeCell ref="E7:J7"/>
    <mergeCell ref="E9:J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J30"/>
  <sheetViews>
    <sheetView topLeftCell="A25" zoomScale="110" zoomScaleNormal="110" workbookViewId="0">
      <selection activeCell="J13" sqref="J13"/>
    </sheetView>
  </sheetViews>
  <sheetFormatPr defaultColWidth="9.109375" defaultRowHeight="14.4"/>
  <cols>
    <col min="1" max="1" width="2.44140625" style="234" customWidth="1"/>
    <col min="2" max="2" width="2.109375" style="234" customWidth="1"/>
    <col min="3" max="3" width="35.44140625" style="265" customWidth="1"/>
    <col min="4" max="4" width="34.33203125" style="234" customWidth="1"/>
    <col min="5" max="5" width="11.6640625" style="234" customWidth="1"/>
    <col min="6" max="6" width="12.6640625" style="234" bestFit="1" customWidth="1"/>
    <col min="7" max="7" width="11.88671875" style="234" customWidth="1"/>
    <col min="8" max="8" width="18.109375" style="234" customWidth="1"/>
    <col min="9" max="9" width="17" style="234" customWidth="1"/>
    <col min="10" max="10" width="17.109375" style="234" customWidth="1"/>
    <col min="11" max="16384" width="9.109375" style="234"/>
  </cols>
  <sheetData>
    <row r="2" spans="1:10" ht="27.75" customHeight="1">
      <c r="C2" s="235" t="s">
        <v>506</v>
      </c>
    </row>
    <row r="3" spans="1:10" ht="23.25" customHeight="1">
      <c r="C3" s="235" t="s">
        <v>507</v>
      </c>
    </row>
    <row r="4" spans="1:10" ht="15.75" customHeight="1">
      <c r="C4" s="235" t="s">
        <v>508</v>
      </c>
    </row>
    <row r="5" spans="1:10" ht="33.75" customHeight="1">
      <c r="C5" s="235"/>
    </row>
    <row r="7" spans="1:10" ht="60.75" customHeight="1">
      <c r="A7" s="236"/>
      <c r="B7" s="237"/>
      <c r="C7" s="238" t="s">
        <v>509</v>
      </c>
      <c r="D7" s="239" t="s">
        <v>510</v>
      </c>
      <c r="E7" s="239" t="s">
        <v>465</v>
      </c>
      <c r="F7" s="238">
        <v>2024</v>
      </c>
      <c r="G7" s="238">
        <v>2025</v>
      </c>
      <c r="H7" s="238">
        <v>2026</v>
      </c>
      <c r="I7" s="238"/>
    </row>
    <row r="8" spans="1:10">
      <c r="B8" s="237"/>
      <c r="C8" s="238" t="s">
        <v>511</v>
      </c>
      <c r="D8" s="240"/>
      <c r="E8" s="240"/>
      <c r="F8" s="237"/>
      <c r="G8" s="237"/>
      <c r="H8" s="237"/>
      <c r="I8" s="237"/>
    </row>
    <row r="9" spans="1:10">
      <c r="B9" s="237" t="s">
        <v>512</v>
      </c>
      <c r="C9" s="241" t="s">
        <v>513</v>
      </c>
      <c r="D9" s="242" t="s">
        <v>514</v>
      </c>
      <c r="E9" s="240" t="s">
        <v>515</v>
      </c>
      <c r="F9" s="243">
        <f>'Мод10 детали'!X12</f>
        <v>121878.00000000001</v>
      </c>
      <c r="G9" s="243">
        <f>'Мод10 детали'!X13</f>
        <v>121878.00000000001</v>
      </c>
      <c r="H9" s="243">
        <f>'Мод10 детали'!X14</f>
        <v>121878.00000000001</v>
      </c>
      <c r="I9" s="243">
        <f t="shared" ref="I9:I28" si="0">F9+G9+H9</f>
        <v>365634.00000000006</v>
      </c>
    </row>
    <row r="10" spans="1:10" ht="20.399999999999999">
      <c r="B10" s="237"/>
      <c r="C10" s="244" t="s">
        <v>516</v>
      </c>
      <c r="D10" s="242" t="s">
        <v>517</v>
      </c>
      <c r="E10" s="240" t="s">
        <v>518</v>
      </c>
      <c r="F10" s="243">
        <f>'Мод10 детали'!X35</f>
        <v>3480</v>
      </c>
      <c r="G10" s="243">
        <f>'Мод10 детали'!X36</f>
        <v>3480</v>
      </c>
      <c r="H10" s="243">
        <f>'Мод10 детали'!X37</f>
        <v>3480</v>
      </c>
      <c r="I10" s="243">
        <f t="shared" si="0"/>
        <v>10440</v>
      </c>
    </row>
    <row r="11" spans="1:10" ht="20.399999999999999">
      <c r="B11" s="237"/>
      <c r="C11" s="245" t="s">
        <v>519</v>
      </c>
      <c r="D11" s="242" t="s">
        <v>514</v>
      </c>
      <c r="E11" s="240" t="s">
        <v>520</v>
      </c>
      <c r="F11" s="243">
        <f>'Мод10 детали'!X21</f>
        <v>20700</v>
      </c>
      <c r="G11" s="243">
        <f>'Мод10 детали'!X22</f>
        <v>20700</v>
      </c>
      <c r="H11" s="243">
        <f>'Мод10 детали'!X23</f>
        <v>20700</v>
      </c>
      <c r="I11" s="243">
        <f t="shared" si="0"/>
        <v>62100</v>
      </c>
    </row>
    <row r="12" spans="1:10" ht="20.399999999999999">
      <c r="B12" s="237"/>
      <c r="C12" s="245" t="s">
        <v>521</v>
      </c>
      <c r="D12" s="242" t="s">
        <v>514</v>
      </c>
      <c r="E12" s="240" t="s">
        <v>522</v>
      </c>
      <c r="F12" s="243">
        <f>'Мод10 детали'!X29</f>
        <v>24270</v>
      </c>
      <c r="G12" s="243">
        <f>'Мод10 детали'!X30</f>
        <v>24270</v>
      </c>
      <c r="H12" s="243">
        <f>'Мод10 детали'!X31</f>
        <v>24270</v>
      </c>
      <c r="I12" s="243">
        <f t="shared" si="0"/>
        <v>72810</v>
      </c>
    </row>
    <row r="13" spans="1:10">
      <c r="B13" s="246"/>
      <c r="C13" s="247" t="s">
        <v>523</v>
      </c>
      <c r="D13" s="248"/>
      <c r="E13" s="246"/>
      <c r="F13" s="249">
        <f>SUM(F9:F12)</f>
        <v>170328</v>
      </c>
      <c r="G13" s="249">
        <f t="shared" ref="G13:H13" si="1">SUM(G9:G12)</f>
        <v>170328</v>
      </c>
      <c r="H13" s="249">
        <f t="shared" si="1"/>
        <v>170328</v>
      </c>
      <c r="I13" s="243">
        <f>F13+G13+H13</f>
        <v>510984</v>
      </c>
    </row>
    <row r="14" spans="1:10" ht="60.75" customHeight="1">
      <c r="B14" s="237"/>
      <c r="C14" s="245" t="s">
        <v>524</v>
      </c>
      <c r="D14" s="242" t="s">
        <v>514</v>
      </c>
      <c r="E14" s="250" t="s">
        <v>525</v>
      </c>
      <c r="F14" s="251">
        <f>3*800</f>
        <v>2400</v>
      </c>
      <c r="G14" s="251">
        <f>3*800</f>
        <v>2400</v>
      </c>
      <c r="H14" s="251">
        <f>3*800</f>
        <v>2400</v>
      </c>
      <c r="I14" s="243">
        <f t="shared" si="0"/>
        <v>7200</v>
      </c>
    </row>
    <row r="15" spans="1:10" ht="20.399999999999999">
      <c r="B15" s="237"/>
      <c r="C15" s="245" t="s">
        <v>526</v>
      </c>
      <c r="D15" s="252" t="s">
        <v>527</v>
      </c>
      <c r="E15" s="240" t="s">
        <v>528</v>
      </c>
      <c r="F15" s="243">
        <f>'ИМН СР'!E11+'ИМН СР'!E14+'ИМН СР'!E20+'ИМН СР'!E17</f>
        <v>43698.566715000001</v>
      </c>
      <c r="G15" s="243">
        <f>'ИМН СР'!F11+'ИМН СР'!F14+'ИМН СР'!F20+'ИМН СР'!F17</f>
        <v>45130.607871</v>
      </c>
      <c r="H15" s="243">
        <f>'ИМН СР'!G11+'ИМН СР'!G14+'ИМН СР'!G20+'ИМН СР'!G17</f>
        <v>46568.423386499999</v>
      </c>
      <c r="I15" s="243">
        <f t="shared" si="0"/>
        <v>135397.59797250002</v>
      </c>
      <c r="J15" s="634" t="s">
        <v>879</v>
      </c>
    </row>
    <row r="16" spans="1:10">
      <c r="B16" s="237"/>
      <c r="C16" s="245" t="s">
        <v>529</v>
      </c>
      <c r="D16" s="252" t="s">
        <v>527</v>
      </c>
      <c r="E16" s="240" t="s">
        <v>528</v>
      </c>
      <c r="F16" s="243">
        <f>'ИМН СР'!E24</f>
        <v>22684.101240223259</v>
      </c>
      <c r="G16" s="243">
        <f>'ИМН СР'!F24</f>
        <v>23816.024199493953</v>
      </c>
      <c r="H16" s="243">
        <f>'ИМН СР'!G24</f>
        <v>24952.511364245587</v>
      </c>
      <c r="I16" s="243">
        <f t="shared" si="0"/>
        <v>71452.6368039628</v>
      </c>
      <c r="J16" s="634" t="s">
        <v>879</v>
      </c>
    </row>
    <row r="17" spans="2:10">
      <c r="B17" s="246"/>
      <c r="C17" s="247" t="s">
        <v>530</v>
      </c>
      <c r="D17" s="253"/>
      <c r="E17" s="246"/>
      <c r="F17" s="249">
        <f>SUM(F14:F16)</f>
        <v>68782.667955223267</v>
      </c>
      <c r="G17" s="249">
        <f>SUM(G14:G16)</f>
        <v>71346.632070493957</v>
      </c>
      <c r="H17" s="249">
        <f>SUM(H14:H16)</f>
        <v>73920.934750745582</v>
      </c>
      <c r="I17" s="243">
        <f t="shared" si="0"/>
        <v>214050.23477646284</v>
      </c>
    </row>
    <row r="18" spans="2:10" ht="27" customHeight="1">
      <c r="B18" s="237"/>
      <c r="C18" s="245" t="s">
        <v>531</v>
      </c>
      <c r="D18" s="252" t="s">
        <v>532</v>
      </c>
      <c r="E18" s="240" t="s">
        <v>515</v>
      </c>
      <c r="F18" s="243">
        <f>'ИППП СР'!G9</f>
        <v>2527.1999999999998</v>
      </c>
      <c r="G18" s="243">
        <f t="shared" ref="G18:H20" si="2">F18</f>
        <v>2527.1999999999998</v>
      </c>
      <c r="H18" s="243">
        <f t="shared" si="2"/>
        <v>2527.1999999999998</v>
      </c>
      <c r="I18" s="243">
        <f t="shared" si="0"/>
        <v>7581.5999999999995</v>
      </c>
    </row>
    <row r="19" spans="2:10">
      <c r="B19" s="237"/>
      <c r="C19" s="245" t="s">
        <v>533</v>
      </c>
      <c r="D19" s="252" t="s">
        <v>532</v>
      </c>
      <c r="E19" s="240"/>
      <c r="F19" s="243">
        <f>'ИППП СР'!G12</f>
        <v>12000</v>
      </c>
      <c r="G19" s="243">
        <f t="shared" si="2"/>
        <v>12000</v>
      </c>
      <c r="H19" s="243">
        <f t="shared" si="2"/>
        <v>12000</v>
      </c>
      <c r="I19" s="243">
        <f t="shared" si="0"/>
        <v>36000</v>
      </c>
    </row>
    <row r="20" spans="2:10">
      <c r="B20" s="237"/>
      <c r="C20" s="245" t="s">
        <v>534</v>
      </c>
      <c r="D20" s="252" t="s">
        <v>532</v>
      </c>
      <c r="E20" s="240" t="s">
        <v>535</v>
      </c>
      <c r="F20" s="243">
        <f>'ИППП СР'!G15</f>
        <v>7200</v>
      </c>
      <c r="G20" s="243">
        <f t="shared" si="2"/>
        <v>7200</v>
      </c>
      <c r="H20" s="243">
        <f t="shared" si="2"/>
        <v>7200</v>
      </c>
      <c r="I20" s="243">
        <f t="shared" si="0"/>
        <v>21600</v>
      </c>
      <c r="J20" s="634" t="s">
        <v>835</v>
      </c>
    </row>
    <row r="21" spans="2:10">
      <c r="B21" s="254"/>
      <c r="C21" s="247" t="s">
        <v>536</v>
      </c>
      <c r="D21" s="255"/>
      <c r="E21" s="254"/>
      <c r="F21" s="256">
        <f>SUM(F18:F20)</f>
        <v>21727.200000000001</v>
      </c>
      <c r="G21" s="256">
        <f t="shared" ref="G21:H21" si="3">SUM(G18:G20)</f>
        <v>21727.200000000001</v>
      </c>
      <c r="H21" s="256">
        <f t="shared" si="3"/>
        <v>21727.200000000001</v>
      </c>
      <c r="I21" s="243">
        <f t="shared" si="0"/>
        <v>65181.600000000006</v>
      </c>
    </row>
    <row r="22" spans="2:10">
      <c r="B22" s="257"/>
      <c r="C22" s="258" t="s">
        <v>537</v>
      </c>
      <c r="D22" s="257"/>
      <c r="E22" s="257"/>
      <c r="F22" s="259">
        <f>F13+F17+F21</f>
        <v>260837.86795522328</v>
      </c>
      <c r="G22" s="259">
        <f>G13+G17+G21</f>
        <v>263401.83207049395</v>
      </c>
      <c r="H22" s="259">
        <f>H13+H17+H21</f>
        <v>265976.13475074561</v>
      </c>
      <c r="I22" s="243">
        <f t="shared" si="0"/>
        <v>790215.83477646287</v>
      </c>
    </row>
    <row r="23" spans="2:10" ht="21.6">
      <c r="B23" s="260"/>
      <c r="C23" s="260" t="s">
        <v>538</v>
      </c>
      <c r="D23" s="250" t="s">
        <v>539</v>
      </c>
      <c r="E23" s="250" t="s">
        <v>540</v>
      </c>
      <c r="G23" s="251">
        <f>'Мод10 детали'!D68</f>
        <v>8974.7000000000007</v>
      </c>
      <c r="H23" s="261"/>
      <c r="I23" s="243">
        <f t="shared" si="0"/>
        <v>8974.7000000000007</v>
      </c>
    </row>
    <row r="24" spans="2:10" ht="21.6">
      <c r="B24" s="260"/>
      <c r="C24" s="260" t="s">
        <v>541</v>
      </c>
      <c r="D24" s="250" t="s">
        <v>542</v>
      </c>
      <c r="E24" s="250" t="s">
        <v>518</v>
      </c>
      <c r="F24" s="251">
        <v>5000</v>
      </c>
      <c r="G24" s="251">
        <v>0</v>
      </c>
      <c r="H24" s="251">
        <v>5000</v>
      </c>
      <c r="I24" s="243">
        <f t="shared" si="0"/>
        <v>10000</v>
      </c>
    </row>
    <row r="25" spans="2:10" ht="21.6">
      <c r="B25" s="260"/>
      <c r="C25" s="260" t="s">
        <v>543</v>
      </c>
      <c r="D25" s="250" t="s">
        <v>542</v>
      </c>
      <c r="E25" s="250" t="s">
        <v>518</v>
      </c>
      <c r="F25" s="251">
        <v>5000</v>
      </c>
      <c r="G25" s="251">
        <v>0</v>
      </c>
      <c r="H25" s="251">
        <v>0</v>
      </c>
      <c r="I25" s="243">
        <f t="shared" si="0"/>
        <v>5000</v>
      </c>
    </row>
    <row r="26" spans="2:10">
      <c r="B26" s="262"/>
      <c r="C26" s="263" t="s">
        <v>544</v>
      </c>
      <c r="D26" s="262"/>
      <c r="E26" s="262"/>
      <c r="F26" s="264">
        <f>SUM(F23:F25)</f>
        <v>10000</v>
      </c>
      <c r="G26" s="264">
        <f>SUM(G23:G25)</f>
        <v>8974.7000000000007</v>
      </c>
      <c r="H26" s="249">
        <f>SUM(H23:H25)</f>
        <v>5000</v>
      </c>
      <c r="I26" s="243">
        <f t="shared" si="0"/>
        <v>23974.7</v>
      </c>
    </row>
    <row r="27" spans="2:10">
      <c r="I27" s="243">
        <f t="shared" si="0"/>
        <v>0</v>
      </c>
    </row>
    <row r="28" spans="2:10">
      <c r="C28" s="235" t="s">
        <v>545</v>
      </c>
      <c r="D28" s="266"/>
      <c r="E28" s="266"/>
      <c r="F28" s="267">
        <f>F26+F22</f>
        <v>270837.86795522331</v>
      </c>
      <c r="G28" s="267">
        <f>G26+G22</f>
        <v>272376.53207049397</v>
      </c>
      <c r="H28" s="267">
        <f>H26+H22</f>
        <v>270976.13475074561</v>
      </c>
      <c r="I28" s="268">
        <f t="shared" si="0"/>
        <v>814190.53477646282</v>
      </c>
    </row>
    <row r="29" spans="2:10">
      <c r="H29" s="269"/>
    </row>
    <row r="30" spans="2:10">
      <c r="G30" s="234" t="s">
        <v>347</v>
      </c>
      <c r="H30" s="269"/>
      <c r="I30" s="269">
        <f>I28-I15-I16</f>
        <v>607340.30000000005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2"/>
  <sheetViews>
    <sheetView zoomScaleNormal="100" workbookViewId="0">
      <pane xSplit="2" ySplit="4" topLeftCell="C5" activePane="bottomRight" state="frozen"/>
      <selection activeCell="I32" sqref="I32"/>
      <selection pane="topRight" activeCell="I32" sqref="I32"/>
      <selection pane="bottomLeft" activeCell="I32" sqref="I32"/>
      <selection pane="bottomRight" activeCell="C8" sqref="C8"/>
    </sheetView>
  </sheetViews>
  <sheetFormatPr defaultColWidth="8.88671875" defaultRowHeight="14.4" outlineLevelCol="1"/>
  <cols>
    <col min="1" max="1" width="23.44140625" style="339" customWidth="1"/>
    <col min="2" max="2" width="7.109375" style="339" customWidth="1"/>
    <col min="3" max="3" width="19.33203125" style="339" customWidth="1" outlineLevel="1"/>
    <col min="4" max="4" width="10.88671875" style="339" customWidth="1" outlineLevel="1"/>
    <col min="5" max="5" width="18.109375" style="339" customWidth="1"/>
    <col min="6" max="6" width="10.6640625" style="339" customWidth="1" outlineLevel="1"/>
    <col min="7" max="7" width="10.88671875" style="339" customWidth="1" outlineLevel="1"/>
    <col min="8" max="8" width="18.109375" style="339" customWidth="1"/>
    <col min="9" max="9" width="10.6640625" style="339" customWidth="1" outlineLevel="1"/>
    <col min="10" max="10" width="10.88671875" style="339" customWidth="1" outlineLevel="1"/>
    <col min="11" max="11" width="18.109375" style="339" customWidth="1"/>
    <col min="12" max="12" width="10.6640625" style="339" customWidth="1" outlineLevel="1"/>
    <col min="13" max="13" width="10.88671875" style="339" customWidth="1" outlineLevel="1"/>
    <col min="14" max="14" width="18.109375" style="339" customWidth="1"/>
    <col min="15" max="15" width="10.6640625" style="339" customWidth="1" outlineLevel="1"/>
    <col min="16" max="16" width="10.88671875" style="339" customWidth="1" outlineLevel="1"/>
    <col min="17" max="17" width="18.109375" style="339" customWidth="1"/>
    <col min="18" max="18" width="10.6640625" style="339" customWidth="1" outlineLevel="1"/>
    <col min="19" max="19" width="10.88671875" style="339" customWidth="1" outlineLevel="1"/>
    <col min="20" max="20" width="18.109375" style="339" customWidth="1"/>
    <col min="21" max="21" width="10.6640625" style="339" customWidth="1" outlineLevel="1"/>
    <col min="22" max="22" width="10.88671875" style="339" customWidth="1" outlineLevel="1"/>
    <col min="23" max="24" width="18.109375" style="339" customWidth="1"/>
    <col min="25" max="16384" width="8.88671875" style="270"/>
  </cols>
  <sheetData>
    <row r="1" spans="1:24" ht="25.5" customHeight="1">
      <c r="A1" s="948" t="s">
        <v>546</v>
      </c>
      <c r="B1" s="948" t="s">
        <v>547</v>
      </c>
      <c r="C1" s="951" t="s">
        <v>548</v>
      </c>
      <c r="D1" s="952"/>
      <c r="E1" s="952"/>
      <c r="F1" s="952"/>
      <c r="G1" s="952"/>
      <c r="H1" s="952"/>
      <c r="I1" s="952"/>
      <c r="J1" s="952"/>
      <c r="K1" s="952"/>
      <c r="L1" s="952"/>
      <c r="M1" s="952"/>
      <c r="N1" s="952"/>
      <c r="O1" s="952"/>
      <c r="P1" s="952"/>
      <c r="Q1" s="952"/>
      <c r="R1" s="952"/>
      <c r="S1" s="952"/>
      <c r="T1" s="952"/>
      <c r="U1" s="952"/>
      <c r="V1" s="952"/>
      <c r="W1" s="953"/>
      <c r="X1" s="954" t="s">
        <v>549</v>
      </c>
    </row>
    <row r="2" spans="1:24" ht="25.5" customHeight="1">
      <c r="A2" s="949"/>
      <c r="B2" s="949"/>
      <c r="C2" s="942" t="s">
        <v>550</v>
      </c>
      <c r="D2" s="943"/>
      <c r="E2" s="944"/>
      <c r="F2" s="942" t="s">
        <v>551</v>
      </c>
      <c r="G2" s="943"/>
      <c r="H2" s="944"/>
      <c r="I2" s="942" t="s">
        <v>552</v>
      </c>
      <c r="J2" s="943"/>
      <c r="K2" s="944"/>
      <c r="L2" s="942" t="s">
        <v>553</v>
      </c>
      <c r="M2" s="943"/>
      <c r="N2" s="944"/>
      <c r="O2" s="942" t="s">
        <v>554</v>
      </c>
      <c r="P2" s="943"/>
      <c r="Q2" s="944"/>
      <c r="R2" s="942" t="s">
        <v>555</v>
      </c>
      <c r="S2" s="943"/>
      <c r="T2" s="944"/>
      <c r="U2" s="942" t="s">
        <v>556</v>
      </c>
      <c r="V2" s="943"/>
      <c r="W2" s="944"/>
      <c r="X2" s="954"/>
    </row>
    <row r="3" spans="1:24" ht="25.5" customHeight="1">
      <c r="A3" s="949"/>
      <c r="B3" s="949"/>
      <c r="C3" s="945"/>
      <c r="D3" s="946"/>
      <c r="E3" s="947"/>
      <c r="F3" s="945"/>
      <c r="G3" s="946"/>
      <c r="H3" s="947"/>
      <c r="I3" s="945"/>
      <c r="J3" s="946"/>
      <c r="K3" s="947"/>
      <c r="L3" s="945"/>
      <c r="M3" s="946"/>
      <c r="N3" s="947"/>
      <c r="O3" s="945"/>
      <c r="P3" s="946"/>
      <c r="Q3" s="947"/>
      <c r="R3" s="945"/>
      <c r="S3" s="946"/>
      <c r="T3" s="947"/>
      <c r="U3" s="945"/>
      <c r="V3" s="946"/>
      <c r="W3" s="947"/>
      <c r="X3" s="954"/>
    </row>
    <row r="4" spans="1:24" ht="31.5" customHeight="1">
      <c r="A4" s="950"/>
      <c r="B4" s="950"/>
      <c r="C4" s="271" t="s">
        <v>557</v>
      </c>
      <c r="D4" s="271" t="s">
        <v>3</v>
      </c>
      <c r="E4" s="271" t="s">
        <v>558</v>
      </c>
      <c r="F4" s="271" t="s">
        <v>557</v>
      </c>
      <c r="G4" s="271" t="s">
        <v>3</v>
      </c>
      <c r="H4" s="271" t="s">
        <v>558</v>
      </c>
      <c r="I4" s="271" t="s">
        <v>557</v>
      </c>
      <c r="J4" s="271" t="s">
        <v>3</v>
      </c>
      <c r="K4" s="271" t="s">
        <v>558</v>
      </c>
      <c r="L4" s="271" t="s">
        <v>557</v>
      </c>
      <c r="M4" s="271" t="s">
        <v>3</v>
      </c>
      <c r="N4" s="271" t="s">
        <v>558</v>
      </c>
      <c r="O4" s="271" t="s">
        <v>557</v>
      </c>
      <c r="P4" s="271" t="s">
        <v>3</v>
      </c>
      <c r="Q4" s="271" t="s">
        <v>558</v>
      </c>
      <c r="R4" s="271" t="s">
        <v>557</v>
      </c>
      <c r="S4" s="271" t="s">
        <v>3</v>
      </c>
      <c r="T4" s="271" t="s">
        <v>558</v>
      </c>
      <c r="U4" s="271" t="s">
        <v>557</v>
      </c>
      <c r="V4" s="271" t="s">
        <v>3</v>
      </c>
      <c r="W4" s="271" t="s">
        <v>558</v>
      </c>
      <c r="X4" s="955"/>
    </row>
    <row r="5" spans="1:24" ht="27.6">
      <c r="A5" s="272" t="s">
        <v>559</v>
      </c>
      <c r="B5" s="273" t="s">
        <v>515</v>
      </c>
      <c r="C5" s="274">
        <v>500</v>
      </c>
      <c r="D5" s="274">
        <v>1</v>
      </c>
      <c r="E5" s="274">
        <f>D5*C5</f>
        <v>500</v>
      </c>
      <c r="F5" s="274">
        <v>500</v>
      </c>
      <c r="G5" s="274">
        <v>1</v>
      </c>
      <c r="H5" s="274">
        <f>G5*F5</f>
        <v>500</v>
      </c>
      <c r="I5" s="274">
        <v>500</v>
      </c>
      <c r="J5" s="274">
        <v>1</v>
      </c>
      <c r="K5" s="274">
        <f>J5*I5</f>
        <v>500</v>
      </c>
      <c r="L5" s="274"/>
      <c r="M5" s="274"/>
      <c r="N5" s="274">
        <f>M5*L5</f>
        <v>0</v>
      </c>
      <c r="O5" s="274">
        <v>0</v>
      </c>
      <c r="P5" s="274"/>
      <c r="Q5" s="274"/>
      <c r="R5" s="274"/>
      <c r="S5" s="274"/>
      <c r="T5" s="274"/>
      <c r="U5" s="274"/>
      <c r="V5" s="274"/>
      <c r="W5" s="274">
        <f>V5*U5</f>
        <v>0</v>
      </c>
      <c r="X5" s="274">
        <f>E5+H5+K5+N5+Q5+T5+W5</f>
        <v>1500</v>
      </c>
    </row>
    <row r="6" spans="1:24" ht="41.4">
      <c r="A6" s="272" t="s">
        <v>560</v>
      </c>
      <c r="B6" s="273" t="s">
        <v>515</v>
      </c>
      <c r="C6" s="274">
        <v>350</v>
      </c>
      <c r="D6" s="274">
        <v>1</v>
      </c>
      <c r="E6" s="274">
        <f>D6*C6</f>
        <v>350</v>
      </c>
      <c r="F6" s="274">
        <v>350</v>
      </c>
      <c r="G6" s="274">
        <v>1</v>
      </c>
      <c r="H6" s="274">
        <f>G6*F6</f>
        <v>350</v>
      </c>
      <c r="I6" s="274">
        <v>350</v>
      </c>
      <c r="J6" s="274">
        <v>1</v>
      </c>
      <c r="K6" s="274">
        <f>J6*I6</f>
        <v>350</v>
      </c>
      <c r="L6" s="274"/>
      <c r="M6" s="274"/>
      <c r="N6" s="274">
        <f>M6*L6</f>
        <v>0</v>
      </c>
      <c r="O6" s="274">
        <v>0</v>
      </c>
      <c r="P6" s="274"/>
      <c r="Q6" s="274"/>
      <c r="R6" s="274"/>
      <c r="S6" s="274"/>
      <c r="T6" s="274"/>
      <c r="U6" s="274"/>
      <c r="V6" s="274"/>
      <c r="W6" s="274">
        <f>V6*U6</f>
        <v>0</v>
      </c>
      <c r="X6" s="274">
        <f>E6+H6+K6+N6+Q6+T6+W6</f>
        <v>1050</v>
      </c>
    </row>
    <row r="7" spans="1:24">
      <c r="A7" s="272" t="s">
        <v>79</v>
      </c>
      <c r="B7" s="273" t="s">
        <v>515</v>
      </c>
      <c r="C7" s="274">
        <v>350</v>
      </c>
      <c r="D7" s="274">
        <v>1</v>
      </c>
      <c r="E7" s="274">
        <f>D7*C7</f>
        <v>350</v>
      </c>
      <c r="F7" s="274">
        <v>350</v>
      </c>
      <c r="G7" s="274">
        <v>1</v>
      </c>
      <c r="H7" s="274">
        <f>G7*F7</f>
        <v>350</v>
      </c>
      <c r="I7" s="274">
        <v>350</v>
      </c>
      <c r="J7" s="274">
        <v>1</v>
      </c>
      <c r="K7" s="274">
        <f>J7*I7</f>
        <v>350</v>
      </c>
      <c r="L7" s="274"/>
      <c r="M7" s="274"/>
      <c r="N7" s="274">
        <f>M7*L7</f>
        <v>0</v>
      </c>
      <c r="O7" s="274"/>
      <c r="P7" s="274"/>
      <c r="Q7" s="274"/>
      <c r="R7" s="274"/>
      <c r="S7" s="274"/>
      <c r="T7" s="274"/>
      <c r="U7" s="274"/>
      <c r="V7" s="274"/>
      <c r="W7" s="274">
        <f>V7*U7</f>
        <v>0</v>
      </c>
      <c r="X7" s="274">
        <f t="shared" ref="X7:X10" si="0">E7+H7+K7+N7+Q7+T7+W7</f>
        <v>1050</v>
      </c>
    </row>
    <row r="8" spans="1:24">
      <c r="A8" s="277" t="s">
        <v>561</v>
      </c>
      <c r="B8" s="275" t="s">
        <v>515</v>
      </c>
      <c r="C8" s="276">
        <v>200</v>
      </c>
      <c r="D8" s="276">
        <v>1</v>
      </c>
      <c r="E8" s="276">
        <f t="shared" ref="E8:E9" si="1">C8*D8</f>
        <v>200</v>
      </c>
      <c r="F8" s="276">
        <v>200</v>
      </c>
      <c r="G8" s="276">
        <v>1</v>
      </c>
      <c r="H8" s="276">
        <f t="shared" ref="H8:H9" si="2">F8*G8</f>
        <v>200</v>
      </c>
      <c r="I8" s="276"/>
      <c r="J8" s="276"/>
      <c r="K8" s="276">
        <f t="shared" ref="K8:K9" si="3">I8*J8</f>
        <v>0</v>
      </c>
      <c r="L8" s="276"/>
      <c r="M8" s="276"/>
      <c r="N8" s="276">
        <f t="shared" ref="N8:N9" si="4">L8*M8</f>
        <v>0</v>
      </c>
      <c r="O8" s="276"/>
      <c r="P8" s="276"/>
      <c r="Q8" s="276">
        <f t="shared" ref="Q8:Q9" si="5">O8*P8</f>
        <v>0</v>
      </c>
      <c r="R8" s="276"/>
      <c r="S8" s="276"/>
      <c r="T8" s="276">
        <f t="shared" ref="T8:T9" si="6">R8*S8</f>
        <v>0</v>
      </c>
      <c r="U8" s="276"/>
      <c r="V8" s="276"/>
      <c r="W8" s="276">
        <f t="shared" ref="W8:W9" si="7">U8*V8</f>
        <v>0</v>
      </c>
      <c r="X8" s="274">
        <f>E8+H8+K8+N8+Q8+T8+W8</f>
        <v>400</v>
      </c>
    </row>
    <row r="9" spans="1:24">
      <c r="A9" s="278" t="s">
        <v>562</v>
      </c>
      <c r="B9" s="279" t="s">
        <v>515</v>
      </c>
      <c r="C9" s="276">
        <v>180</v>
      </c>
      <c r="D9" s="276">
        <v>9</v>
      </c>
      <c r="E9" s="276">
        <f t="shared" si="1"/>
        <v>1620</v>
      </c>
      <c r="F9" s="276">
        <v>180</v>
      </c>
      <c r="G9" s="276">
        <v>5</v>
      </c>
      <c r="H9" s="276">
        <f t="shared" si="2"/>
        <v>900</v>
      </c>
      <c r="I9" s="276">
        <v>180</v>
      </c>
      <c r="J9" s="276">
        <v>4</v>
      </c>
      <c r="K9" s="276">
        <f t="shared" si="3"/>
        <v>720</v>
      </c>
      <c r="L9" s="276">
        <v>180</v>
      </c>
      <c r="M9" s="280">
        <v>4</v>
      </c>
      <c r="N9" s="276">
        <f t="shared" si="4"/>
        <v>720</v>
      </c>
      <c r="O9" s="276">
        <v>0</v>
      </c>
      <c r="P9" s="276">
        <v>0</v>
      </c>
      <c r="Q9" s="276">
        <f t="shared" si="5"/>
        <v>0</v>
      </c>
      <c r="R9" s="276">
        <v>180</v>
      </c>
      <c r="S9" s="276">
        <v>2</v>
      </c>
      <c r="T9" s="276">
        <f t="shared" si="6"/>
        <v>360</v>
      </c>
      <c r="U9" s="276">
        <v>180</v>
      </c>
      <c r="V9" s="276">
        <v>2</v>
      </c>
      <c r="W9" s="276">
        <f t="shared" si="7"/>
        <v>360</v>
      </c>
      <c r="X9" s="274">
        <f t="shared" si="0"/>
        <v>4680</v>
      </c>
    </row>
    <row r="10" spans="1:24" ht="15" thickBot="1">
      <c r="A10" s="277" t="s">
        <v>563</v>
      </c>
      <c r="B10" s="281" t="s">
        <v>515</v>
      </c>
      <c r="C10" s="276"/>
      <c r="D10" s="276"/>
      <c r="E10" s="276">
        <f>SUM(E5:E9)*17%</f>
        <v>513.40000000000009</v>
      </c>
      <c r="F10" s="276"/>
      <c r="G10" s="276"/>
      <c r="H10" s="276">
        <f>SUM(H5:H9)*17%</f>
        <v>391</v>
      </c>
      <c r="I10" s="276"/>
      <c r="J10" s="276"/>
      <c r="K10" s="276">
        <f>SUM(K5:K9)*17%</f>
        <v>326.40000000000003</v>
      </c>
      <c r="L10" s="276"/>
      <c r="M10" s="276"/>
      <c r="N10" s="276">
        <f>SUM(N5:N9)*17%</f>
        <v>122.4</v>
      </c>
      <c r="O10" s="276"/>
      <c r="P10" s="276"/>
      <c r="Q10" s="276">
        <f>SUM(Q5:Q9)*17.25%</f>
        <v>0</v>
      </c>
      <c r="R10" s="276"/>
      <c r="S10" s="276"/>
      <c r="T10" s="276">
        <f>SUM(T5:T9)*17.25%</f>
        <v>62.099999999999994</v>
      </c>
      <c r="U10" s="276"/>
      <c r="V10" s="276"/>
      <c r="W10" s="276">
        <f>SUM(W5:W9)*17%</f>
        <v>61.2</v>
      </c>
      <c r="X10" s="274">
        <f t="shared" si="0"/>
        <v>1476.5000000000002</v>
      </c>
    </row>
    <row r="11" spans="1:24" ht="15" thickBot="1">
      <c r="A11" s="282" t="s">
        <v>564</v>
      </c>
      <c r="B11" s="283" t="s">
        <v>515</v>
      </c>
      <c r="C11" s="284"/>
      <c r="D11" s="284">
        <f>SUM(D5:D9)</f>
        <v>13</v>
      </c>
      <c r="E11" s="284">
        <f>SUM(E5:E10)</f>
        <v>3533.4</v>
      </c>
      <c r="F11" s="284"/>
      <c r="G11" s="284">
        <f>SUM(G5:G9)</f>
        <v>9</v>
      </c>
      <c r="H11" s="284">
        <f>SUM(H5:H10)</f>
        <v>2691</v>
      </c>
      <c r="I11" s="284"/>
      <c r="J11" s="284">
        <f>SUM(J5:J9)</f>
        <v>7</v>
      </c>
      <c r="K11" s="284">
        <f>SUM(K5:K10)</f>
        <v>2246.4</v>
      </c>
      <c r="L11" s="284"/>
      <c r="M11" s="284">
        <f>SUM(M5:M9)</f>
        <v>4</v>
      </c>
      <c r="N11" s="284">
        <f>SUM(N5:N10)</f>
        <v>842.4</v>
      </c>
      <c r="O11" s="284"/>
      <c r="P11" s="284">
        <f>SUM(P5:P9)</f>
        <v>0</v>
      </c>
      <c r="Q11" s="284">
        <f>SUM(Q5:Q10)</f>
        <v>0</v>
      </c>
      <c r="R11" s="284"/>
      <c r="S11" s="284">
        <f>SUM(S5:S9)</f>
        <v>2</v>
      </c>
      <c r="T11" s="284">
        <f>SUM(T5:T10)</f>
        <v>422.1</v>
      </c>
      <c r="U11" s="284"/>
      <c r="V11" s="284">
        <f>SUM(V5:V9)</f>
        <v>2</v>
      </c>
      <c r="W11" s="284">
        <f>SUM(W5:W10)</f>
        <v>421.2</v>
      </c>
      <c r="X11" s="284">
        <f>W11+T11+Q11+N11+K11+H11+E11</f>
        <v>10156.5</v>
      </c>
    </row>
    <row r="12" spans="1:24" ht="15" thickBot="1">
      <c r="A12" s="285" t="s">
        <v>565</v>
      </c>
      <c r="B12" s="286" t="s">
        <v>515</v>
      </c>
      <c r="C12" s="287"/>
      <c r="D12" s="287"/>
      <c r="E12" s="287">
        <f>E11*12</f>
        <v>42400.800000000003</v>
      </c>
      <c r="F12" s="287"/>
      <c r="G12" s="287"/>
      <c r="H12" s="287">
        <f>H11*12</f>
        <v>32292</v>
      </c>
      <c r="I12" s="287"/>
      <c r="J12" s="287"/>
      <c r="K12" s="287">
        <f>K11*12</f>
        <v>26956.800000000003</v>
      </c>
      <c r="L12" s="287"/>
      <c r="M12" s="287"/>
      <c r="N12" s="287">
        <f>N11*12</f>
        <v>10108.799999999999</v>
      </c>
      <c r="O12" s="287"/>
      <c r="P12" s="287"/>
      <c r="Q12" s="287">
        <f>Q11*12</f>
        <v>0</v>
      </c>
      <c r="R12" s="287"/>
      <c r="S12" s="287"/>
      <c r="T12" s="287">
        <f>T11*12</f>
        <v>5065.2000000000007</v>
      </c>
      <c r="U12" s="287"/>
      <c r="V12" s="287"/>
      <c r="W12" s="287">
        <f>W11*12</f>
        <v>5054.3999999999996</v>
      </c>
      <c r="X12" s="288">
        <f t="shared" ref="X12:X47" si="8">W12+T12+Q12+N12+K12+H12+E12</f>
        <v>121878.00000000001</v>
      </c>
    </row>
    <row r="13" spans="1:24" ht="15" thickBot="1">
      <c r="A13" s="285" t="s">
        <v>566</v>
      </c>
      <c r="B13" s="286" t="s">
        <v>515</v>
      </c>
      <c r="C13" s="287"/>
      <c r="D13" s="287"/>
      <c r="E13" s="287">
        <f>E11*12</f>
        <v>42400.800000000003</v>
      </c>
      <c r="F13" s="287"/>
      <c r="G13" s="287"/>
      <c r="H13" s="287">
        <f>H11*12</f>
        <v>32292</v>
      </c>
      <c r="I13" s="287"/>
      <c r="J13" s="287"/>
      <c r="K13" s="287">
        <f>K11*12</f>
        <v>26956.800000000003</v>
      </c>
      <c r="L13" s="287"/>
      <c r="M13" s="287"/>
      <c r="N13" s="287">
        <f>N11*12</f>
        <v>10108.799999999999</v>
      </c>
      <c r="O13" s="287"/>
      <c r="P13" s="287"/>
      <c r="Q13" s="287">
        <f>Q11*12</f>
        <v>0</v>
      </c>
      <c r="R13" s="287"/>
      <c r="S13" s="287"/>
      <c r="T13" s="287">
        <f>T11*12</f>
        <v>5065.2000000000007</v>
      </c>
      <c r="U13" s="287"/>
      <c r="V13" s="287"/>
      <c r="W13" s="287">
        <f>W11*12</f>
        <v>5054.3999999999996</v>
      </c>
      <c r="X13" s="288">
        <f t="shared" si="8"/>
        <v>121878.00000000001</v>
      </c>
    </row>
    <row r="14" spans="1:24" ht="15" thickBot="1">
      <c r="A14" s="289" t="s">
        <v>567</v>
      </c>
      <c r="B14" s="290" t="s">
        <v>515</v>
      </c>
      <c r="C14" s="291"/>
      <c r="D14" s="291"/>
      <c r="E14" s="292">
        <f>E11*12</f>
        <v>42400.800000000003</v>
      </c>
      <c r="F14" s="291"/>
      <c r="G14" s="291"/>
      <c r="H14" s="292">
        <f>H11*12</f>
        <v>32292</v>
      </c>
      <c r="I14" s="291"/>
      <c r="J14" s="291"/>
      <c r="K14" s="292">
        <f>K11*12</f>
        <v>26956.800000000003</v>
      </c>
      <c r="L14" s="291"/>
      <c r="M14" s="291"/>
      <c r="N14" s="292">
        <f>N11*12</f>
        <v>10108.799999999999</v>
      </c>
      <c r="O14" s="291"/>
      <c r="P14" s="291"/>
      <c r="Q14" s="292">
        <f>Q11*12</f>
        <v>0</v>
      </c>
      <c r="R14" s="291"/>
      <c r="S14" s="291"/>
      <c r="T14" s="292">
        <f>T11*12</f>
        <v>5065.2000000000007</v>
      </c>
      <c r="U14" s="291"/>
      <c r="V14" s="291"/>
      <c r="W14" s="292">
        <f>W11*12</f>
        <v>5054.3999999999996</v>
      </c>
      <c r="X14" s="288">
        <f t="shared" si="8"/>
        <v>121878.00000000001</v>
      </c>
    </row>
    <row r="15" spans="1:24">
      <c r="A15" s="293" t="s">
        <v>568</v>
      </c>
      <c r="B15" s="294" t="s">
        <v>520</v>
      </c>
      <c r="C15" s="276">
        <v>30</v>
      </c>
      <c r="D15" s="276">
        <v>1</v>
      </c>
      <c r="E15" s="276">
        <f>C15*D15</f>
        <v>30</v>
      </c>
      <c r="F15" s="276">
        <v>30</v>
      </c>
      <c r="G15" s="276">
        <v>1</v>
      </c>
      <c r="H15" s="276">
        <f>F15*G15</f>
        <v>30</v>
      </c>
      <c r="I15" s="276">
        <v>30</v>
      </c>
      <c r="J15" s="276">
        <v>1</v>
      </c>
      <c r="K15" s="276">
        <f>I15*J15</f>
        <v>30</v>
      </c>
      <c r="L15" s="276">
        <v>30</v>
      </c>
      <c r="M15" s="276">
        <v>1</v>
      </c>
      <c r="N15" s="276">
        <f>L15*M15</f>
        <v>30</v>
      </c>
      <c r="O15" s="276"/>
      <c r="P15" s="276">
        <v>1</v>
      </c>
      <c r="Q15" s="276">
        <f>O15*P15</f>
        <v>0</v>
      </c>
      <c r="R15" s="276">
        <v>0</v>
      </c>
      <c r="S15" s="276">
        <v>1</v>
      </c>
      <c r="T15" s="276">
        <f>R15*S15</f>
        <v>0</v>
      </c>
      <c r="U15" s="276">
        <v>30</v>
      </c>
      <c r="V15" s="276">
        <v>1</v>
      </c>
      <c r="W15" s="276">
        <f>U15*V15</f>
        <v>30</v>
      </c>
      <c r="X15" s="274">
        <f>E15+H15+K15+N15+Q15+T15+W15</f>
        <v>150</v>
      </c>
    </row>
    <row r="16" spans="1:24">
      <c r="A16" s="295" t="s">
        <v>569</v>
      </c>
      <c r="B16" s="294" t="s">
        <v>520</v>
      </c>
      <c r="C16" s="276">
        <v>0</v>
      </c>
      <c r="D16" s="276">
        <v>1</v>
      </c>
      <c r="E16" s="276">
        <f>C16*D16</f>
        <v>0</v>
      </c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4">
        <f>E16+H16+K16+N16+Q16+T16+W16</f>
        <v>0</v>
      </c>
    </row>
    <row r="17" spans="1:24" ht="82.8">
      <c r="A17" s="293" t="s">
        <v>570</v>
      </c>
      <c r="B17" s="294" t="s">
        <v>520</v>
      </c>
      <c r="C17" s="276">
        <v>300</v>
      </c>
      <c r="D17" s="276">
        <v>1</v>
      </c>
      <c r="E17" s="276">
        <f>D17*C17</f>
        <v>300</v>
      </c>
      <c r="F17" s="276">
        <v>300</v>
      </c>
      <c r="G17" s="276">
        <v>1</v>
      </c>
      <c r="H17" s="276">
        <f>G17*F17</f>
        <v>300</v>
      </c>
      <c r="I17" s="276">
        <v>300</v>
      </c>
      <c r="J17" s="276">
        <v>1</v>
      </c>
      <c r="K17" s="276">
        <f>J17*I17</f>
        <v>300</v>
      </c>
      <c r="L17" s="276">
        <v>300</v>
      </c>
      <c r="M17" s="276">
        <v>1</v>
      </c>
      <c r="N17" s="276">
        <f>M17*L17</f>
        <v>300</v>
      </c>
      <c r="O17" s="276"/>
      <c r="P17" s="276">
        <v>1</v>
      </c>
      <c r="Q17" s="276">
        <f>P17*O17</f>
        <v>0</v>
      </c>
      <c r="R17" s="276"/>
      <c r="S17" s="276">
        <v>1</v>
      </c>
      <c r="T17" s="276">
        <f>S17*R17</f>
        <v>0</v>
      </c>
      <c r="U17" s="276">
        <v>300</v>
      </c>
      <c r="V17" s="276">
        <v>1</v>
      </c>
      <c r="W17" s="276">
        <f>V17*U17</f>
        <v>300</v>
      </c>
      <c r="X17" s="274">
        <f>E17+H17+K17+N17+Q17+T17+W17</f>
        <v>1500</v>
      </c>
    </row>
    <row r="18" spans="1:24">
      <c r="A18" s="293" t="s">
        <v>571</v>
      </c>
      <c r="B18" s="294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4">
        <f>E18+H18+K18+N18+Q18+T18+W18</f>
        <v>0</v>
      </c>
    </row>
    <row r="19" spans="1:24" ht="15" thickBot="1">
      <c r="A19" s="296" t="s">
        <v>425</v>
      </c>
      <c r="B19" s="294" t="s">
        <v>520</v>
      </c>
      <c r="C19" s="276">
        <v>15</v>
      </c>
      <c r="D19" s="276">
        <v>1</v>
      </c>
      <c r="E19" s="276">
        <f>D19*C19</f>
        <v>15</v>
      </c>
      <c r="F19" s="276">
        <v>15</v>
      </c>
      <c r="G19" s="276">
        <v>1</v>
      </c>
      <c r="H19" s="276">
        <f>G19*F19</f>
        <v>15</v>
      </c>
      <c r="I19" s="276">
        <v>15</v>
      </c>
      <c r="J19" s="276">
        <v>1</v>
      </c>
      <c r="K19" s="276">
        <f>J19*I19</f>
        <v>15</v>
      </c>
      <c r="L19" s="276">
        <v>15</v>
      </c>
      <c r="M19" s="276">
        <v>1</v>
      </c>
      <c r="N19" s="276">
        <f>M19*L19</f>
        <v>15</v>
      </c>
      <c r="O19" s="276"/>
      <c r="P19" s="276">
        <v>1</v>
      </c>
      <c r="Q19" s="276">
        <f>P19*O19</f>
        <v>0</v>
      </c>
      <c r="R19" s="276"/>
      <c r="S19" s="276">
        <v>1</v>
      </c>
      <c r="T19" s="276">
        <f>S19*R19</f>
        <v>0</v>
      </c>
      <c r="U19" s="276">
        <v>15</v>
      </c>
      <c r="V19" s="276">
        <v>1</v>
      </c>
      <c r="W19" s="276">
        <f>V19*U19</f>
        <v>15</v>
      </c>
      <c r="X19" s="274">
        <f>E19+H19+K19+N19+Q19+T19+W19</f>
        <v>75</v>
      </c>
    </row>
    <row r="20" spans="1:24" ht="15" thickBot="1">
      <c r="A20" s="297" t="s">
        <v>564</v>
      </c>
      <c r="B20" s="298" t="s">
        <v>520</v>
      </c>
      <c r="C20" s="299"/>
      <c r="D20" s="299"/>
      <c r="E20" s="299">
        <f>SUM(E15:E19)</f>
        <v>345</v>
      </c>
      <c r="F20" s="299"/>
      <c r="G20" s="299"/>
      <c r="H20" s="299">
        <f>SUM(H15:H19)</f>
        <v>345</v>
      </c>
      <c r="I20" s="299"/>
      <c r="J20" s="299"/>
      <c r="K20" s="299">
        <f>SUM(K15:K19)</f>
        <v>345</v>
      </c>
      <c r="L20" s="299"/>
      <c r="M20" s="299"/>
      <c r="N20" s="299">
        <f>SUM(N15:N19)</f>
        <v>345</v>
      </c>
      <c r="O20" s="299"/>
      <c r="P20" s="299"/>
      <c r="Q20" s="299">
        <f>SUM(Q15:Q19)</f>
        <v>0</v>
      </c>
      <c r="R20" s="299"/>
      <c r="S20" s="299"/>
      <c r="T20" s="299">
        <f>SUM(T15:T19)</f>
        <v>0</v>
      </c>
      <c r="U20" s="299"/>
      <c r="V20" s="299"/>
      <c r="W20" s="299">
        <f>SUM(W15:W19)</f>
        <v>345</v>
      </c>
      <c r="X20" s="284">
        <f t="shared" si="8"/>
        <v>1725</v>
      </c>
    </row>
    <row r="21" spans="1:24" ht="15" thickBot="1">
      <c r="A21" s="285" t="s">
        <v>565</v>
      </c>
      <c r="B21" s="300" t="s">
        <v>520</v>
      </c>
      <c r="C21" s="301"/>
      <c r="D21" s="301"/>
      <c r="E21" s="301">
        <f>E20*12</f>
        <v>4140</v>
      </c>
      <c r="F21" s="301"/>
      <c r="G21" s="301"/>
      <c r="H21" s="301">
        <f>H20*12</f>
        <v>4140</v>
      </c>
      <c r="I21" s="301"/>
      <c r="J21" s="301"/>
      <c r="K21" s="301">
        <f>K20*12</f>
        <v>4140</v>
      </c>
      <c r="L21" s="301"/>
      <c r="M21" s="301"/>
      <c r="N21" s="301">
        <f>N20*12</f>
        <v>4140</v>
      </c>
      <c r="O21" s="301"/>
      <c r="P21" s="301"/>
      <c r="Q21" s="301">
        <f>Q20*12</f>
        <v>0</v>
      </c>
      <c r="R21" s="301"/>
      <c r="S21" s="301"/>
      <c r="T21" s="301">
        <f>T20*12</f>
        <v>0</v>
      </c>
      <c r="U21" s="301"/>
      <c r="V21" s="301"/>
      <c r="W21" s="301">
        <f>W20*12</f>
        <v>4140</v>
      </c>
      <c r="X21" s="288">
        <f t="shared" si="8"/>
        <v>20700</v>
      </c>
    </row>
    <row r="22" spans="1:24" ht="15" thickBot="1">
      <c r="A22" s="285" t="s">
        <v>566</v>
      </c>
      <c r="B22" s="300" t="s">
        <v>520</v>
      </c>
      <c r="C22" s="301"/>
      <c r="D22" s="301"/>
      <c r="E22" s="301">
        <f>E20*12</f>
        <v>4140</v>
      </c>
      <c r="F22" s="301"/>
      <c r="G22" s="301"/>
      <c r="H22" s="301">
        <f>H20*12</f>
        <v>4140</v>
      </c>
      <c r="I22" s="301"/>
      <c r="J22" s="301"/>
      <c r="K22" s="301">
        <f>K20*12</f>
        <v>4140</v>
      </c>
      <c r="L22" s="301"/>
      <c r="M22" s="301"/>
      <c r="N22" s="301">
        <f>N20*12</f>
        <v>4140</v>
      </c>
      <c r="O22" s="301"/>
      <c r="P22" s="301"/>
      <c r="Q22" s="301">
        <f>Q20*12</f>
        <v>0</v>
      </c>
      <c r="R22" s="301"/>
      <c r="S22" s="301"/>
      <c r="T22" s="301">
        <f>T20*12</f>
        <v>0</v>
      </c>
      <c r="U22" s="301"/>
      <c r="V22" s="301"/>
      <c r="W22" s="301">
        <f>W20*12</f>
        <v>4140</v>
      </c>
      <c r="X22" s="288">
        <f t="shared" si="8"/>
        <v>20700</v>
      </c>
    </row>
    <row r="23" spans="1:24" ht="15" thickBot="1">
      <c r="A23" s="289" t="s">
        <v>567</v>
      </c>
      <c r="B23" s="302" t="s">
        <v>520</v>
      </c>
      <c r="C23" s="303"/>
      <c r="D23" s="303"/>
      <c r="E23" s="303">
        <f>E20*12</f>
        <v>4140</v>
      </c>
      <c r="F23" s="303"/>
      <c r="G23" s="303"/>
      <c r="H23" s="303">
        <f>H20*12</f>
        <v>4140</v>
      </c>
      <c r="I23" s="303"/>
      <c r="J23" s="303"/>
      <c r="K23" s="303">
        <f>K20*12</f>
        <v>4140</v>
      </c>
      <c r="L23" s="303"/>
      <c r="M23" s="303"/>
      <c r="N23" s="303">
        <f>N20*12</f>
        <v>4140</v>
      </c>
      <c r="O23" s="303"/>
      <c r="P23" s="303"/>
      <c r="Q23" s="303">
        <f>Q20*12</f>
        <v>0</v>
      </c>
      <c r="R23" s="303"/>
      <c r="S23" s="303"/>
      <c r="T23" s="303">
        <f>T20*12</f>
        <v>0</v>
      </c>
      <c r="U23" s="303"/>
      <c r="V23" s="303"/>
      <c r="W23" s="303">
        <f>W20*12</f>
        <v>4140</v>
      </c>
      <c r="X23" s="284">
        <f t="shared" si="8"/>
        <v>20700</v>
      </c>
    </row>
    <row r="24" spans="1:24">
      <c r="A24" s="304" t="s">
        <v>572</v>
      </c>
      <c r="B24" s="305" t="s">
        <v>522</v>
      </c>
      <c r="C24" s="306">
        <v>800</v>
      </c>
      <c r="D24" s="307">
        <v>12</v>
      </c>
      <c r="E24" s="307">
        <f>D24*C24</f>
        <v>9600</v>
      </c>
      <c r="F24" s="306">
        <v>600</v>
      </c>
      <c r="G24" s="307">
        <v>1</v>
      </c>
      <c r="H24" s="307">
        <f>G24*F24</f>
        <v>600</v>
      </c>
      <c r="I24" s="306">
        <v>500</v>
      </c>
      <c r="J24" s="307">
        <v>1</v>
      </c>
      <c r="K24" s="307">
        <f>J24*I24</f>
        <v>500</v>
      </c>
      <c r="L24" s="306"/>
      <c r="M24" s="307">
        <v>1</v>
      </c>
      <c r="N24" s="307">
        <f>M24*L24</f>
        <v>0</v>
      </c>
      <c r="O24" s="306"/>
      <c r="P24" s="307">
        <v>1</v>
      </c>
      <c r="Q24" s="307">
        <f>P24*O24</f>
        <v>0</v>
      </c>
      <c r="R24" s="306">
        <v>0</v>
      </c>
      <c r="S24" s="307">
        <v>1</v>
      </c>
      <c r="T24" s="307">
        <f>S24*R24</f>
        <v>0</v>
      </c>
      <c r="U24" s="306"/>
      <c r="V24" s="307">
        <v>1</v>
      </c>
      <c r="W24" s="307">
        <f>V24*U24</f>
        <v>0</v>
      </c>
      <c r="X24" s="274">
        <f>E24+H24+K24+N24+Q24+T24+W24</f>
        <v>10700</v>
      </c>
    </row>
    <row r="25" spans="1:24" ht="27.6">
      <c r="A25" s="277" t="s">
        <v>573</v>
      </c>
      <c r="B25" s="294" t="s">
        <v>522</v>
      </c>
      <c r="C25" s="308">
        <v>30</v>
      </c>
      <c r="D25" s="308">
        <v>1</v>
      </c>
      <c r="E25" s="308">
        <f>D25*C25</f>
        <v>30</v>
      </c>
      <c r="F25" s="308">
        <v>30</v>
      </c>
      <c r="G25" s="308">
        <v>1</v>
      </c>
      <c r="H25" s="308">
        <f>G25*F25</f>
        <v>30</v>
      </c>
      <c r="I25" s="308">
        <v>30</v>
      </c>
      <c r="J25" s="308">
        <v>1</v>
      </c>
      <c r="K25" s="308">
        <f>J25*I25</f>
        <v>30</v>
      </c>
      <c r="L25" s="308">
        <v>30</v>
      </c>
      <c r="M25" s="308">
        <v>1</v>
      </c>
      <c r="N25" s="308">
        <f>M25*L25</f>
        <v>30</v>
      </c>
      <c r="O25" s="308">
        <v>0</v>
      </c>
      <c r="P25" s="308">
        <v>1</v>
      </c>
      <c r="Q25" s="308">
        <f>P25*O25</f>
        <v>0</v>
      </c>
      <c r="R25" s="308">
        <v>0</v>
      </c>
      <c r="S25" s="308">
        <v>1</v>
      </c>
      <c r="T25" s="308">
        <f>S25*R25</f>
        <v>0</v>
      </c>
      <c r="U25" s="308">
        <v>30</v>
      </c>
      <c r="V25" s="308">
        <v>1</v>
      </c>
      <c r="W25" s="308">
        <f>V25*U25</f>
        <v>30</v>
      </c>
      <c r="X25" s="274">
        <f>E25+H25+K25+N25+Q25+T25+W25</f>
        <v>150</v>
      </c>
    </row>
    <row r="26" spans="1:24">
      <c r="A26" s="277" t="s">
        <v>574</v>
      </c>
      <c r="B26" s="294" t="s">
        <v>522</v>
      </c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274">
        <f>E26+H26+K26+N26+Q26+T26+W26</f>
        <v>0</v>
      </c>
    </row>
    <row r="27" spans="1:24" ht="15" thickBot="1">
      <c r="A27" s="309" t="s">
        <v>575</v>
      </c>
      <c r="B27" s="310" t="s">
        <v>522</v>
      </c>
      <c r="C27" s="311"/>
      <c r="D27" s="311">
        <v>1</v>
      </c>
      <c r="E27" s="311">
        <f>D27*C27</f>
        <v>0</v>
      </c>
      <c r="F27" s="311"/>
      <c r="G27" s="311">
        <v>1</v>
      </c>
      <c r="H27" s="311">
        <f>G27*F27</f>
        <v>0</v>
      </c>
      <c r="I27" s="311"/>
      <c r="J27" s="311">
        <v>1</v>
      </c>
      <c r="K27" s="311">
        <f>J27*I27</f>
        <v>0</v>
      </c>
      <c r="L27" s="311"/>
      <c r="M27" s="311">
        <v>1</v>
      </c>
      <c r="N27" s="311">
        <f>M27*L27</f>
        <v>0</v>
      </c>
      <c r="O27" s="311"/>
      <c r="P27" s="311">
        <v>1</v>
      </c>
      <c r="Q27" s="311">
        <f>P27*O27</f>
        <v>0</v>
      </c>
      <c r="R27" s="311">
        <v>0</v>
      </c>
      <c r="S27" s="311">
        <v>0</v>
      </c>
      <c r="T27" s="311">
        <f>S27*R27</f>
        <v>0</v>
      </c>
      <c r="U27" s="311"/>
      <c r="V27" s="311">
        <v>1</v>
      </c>
      <c r="W27" s="311">
        <f>V27*U27</f>
        <v>0</v>
      </c>
      <c r="X27" s="274">
        <f>E27+H27+K27+N27+Q27+T27+W27</f>
        <v>0</v>
      </c>
    </row>
    <row r="28" spans="1:24" ht="15" thickBot="1">
      <c r="A28" s="297" t="s">
        <v>564</v>
      </c>
      <c r="B28" s="298" t="s">
        <v>522</v>
      </c>
      <c r="C28" s="299"/>
      <c r="D28" s="299"/>
      <c r="E28" s="299">
        <v>830</v>
      </c>
      <c r="F28" s="299"/>
      <c r="G28" s="299"/>
      <c r="H28" s="299">
        <f>SUM(H24:H27)</f>
        <v>630</v>
      </c>
      <c r="I28" s="299"/>
      <c r="J28" s="299"/>
      <c r="K28" s="299">
        <f>SUM(K24:K27)</f>
        <v>530</v>
      </c>
      <c r="L28" s="299"/>
      <c r="M28" s="299"/>
      <c r="N28" s="299">
        <f>SUM(N24:N27)</f>
        <v>30</v>
      </c>
      <c r="O28" s="299"/>
      <c r="P28" s="299"/>
      <c r="Q28" s="299">
        <f>SUM(Q24:Q27)</f>
        <v>0</v>
      </c>
      <c r="R28" s="299"/>
      <c r="S28" s="299"/>
      <c r="T28" s="299">
        <f>SUM(T24:T27)</f>
        <v>0</v>
      </c>
      <c r="U28" s="299"/>
      <c r="V28" s="299"/>
      <c r="W28" s="299">
        <f>SUM(W24:W27)</f>
        <v>30</v>
      </c>
      <c r="X28" s="284">
        <f t="shared" si="8"/>
        <v>2050</v>
      </c>
    </row>
    <row r="29" spans="1:24" ht="15" thickBot="1">
      <c r="A29" s="285" t="s">
        <v>565</v>
      </c>
      <c r="B29" s="300" t="s">
        <v>522</v>
      </c>
      <c r="C29" s="301"/>
      <c r="D29" s="301"/>
      <c r="E29" s="299">
        <v>9630</v>
      </c>
      <c r="F29" s="301"/>
      <c r="G29" s="301"/>
      <c r="H29" s="301">
        <f>H28*12</f>
        <v>7560</v>
      </c>
      <c r="I29" s="301"/>
      <c r="J29" s="301"/>
      <c r="K29" s="301">
        <f>K28*12</f>
        <v>6360</v>
      </c>
      <c r="L29" s="301"/>
      <c r="M29" s="301"/>
      <c r="N29" s="301">
        <f>N28*12</f>
        <v>360</v>
      </c>
      <c r="O29" s="301"/>
      <c r="P29" s="301"/>
      <c r="Q29" s="301">
        <f>Q28*12</f>
        <v>0</v>
      </c>
      <c r="R29" s="301"/>
      <c r="S29" s="301"/>
      <c r="T29" s="301">
        <f>T28*12</f>
        <v>0</v>
      </c>
      <c r="U29" s="301"/>
      <c r="V29" s="301"/>
      <c r="W29" s="301">
        <f>W28*12</f>
        <v>360</v>
      </c>
      <c r="X29" s="288">
        <f t="shared" si="8"/>
        <v>24270</v>
      </c>
    </row>
    <row r="30" spans="1:24" ht="15" thickBot="1">
      <c r="A30" s="285" t="s">
        <v>566</v>
      </c>
      <c r="B30" s="300" t="s">
        <v>522</v>
      </c>
      <c r="C30" s="301"/>
      <c r="D30" s="301"/>
      <c r="E30" s="299">
        <v>9630</v>
      </c>
      <c r="F30" s="301"/>
      <c r="G30" s="301"/>
      <c r="H30" s="301">
        <f>H28*12</f>
        <v>7560</v>
      </c>
      <c r="I30" s="301"/>
      <c r="J30" s="301"/>
      <c r="K30" s="301">
        <f>K28*12</f>
        <v>6360</v>
      </c>
      <c r="L30" s="301"/>
      <c r="M30" s="301"/>
      <c r="N30" s="301">
        <f>N28*12</f>
        <v>360</v>
      </c>
      <c r="O30" s="301"/>
      <c r="P30" s="301"/>
      <c r="Q30" s="301">
        <f>Q28*12</f>
        <v>0</v>
      </c>
      <c r="R30" s="301"/>
      <c r="S30" s="301"/>
      <c r="T30" s="301">
        <f>T28*12</f>
        <v>0</v>
      </c>
      <c r="U30" s="301"/>
      <c r="V30" s="301"/>
      <c r="W30" s="301">
        <f>W28*12</f>
        <v>360</v>
      </c>
      <c r="X30" s="288">
        <f t="shared" si="8"/>
        <v>24270</v>
      </c>
    </row>
    <row r="31" spans="1:24" ht="15" thickBot="1">
      <c r="A31" s="289" t="s">
        <v>567</v>
      </c>
      <c r="B31" s="302" t="s">
        <v>522</v>
      </c>
      <c r="C31" s="303"/>
      <c r="D31" s="303"/>
      <c r="E31" s="299">
        <v>9630</v>
      </c>
      <c r="F31" s="303"/>
      <c r="G31" s="303"/>
      <c r="H31" s="303">
        <f>H28*12</f>
        <v>7560</v>
      </c>
      <c r="I31" s="303"/>
      <c r="J31" s="303"/>
      <c r="K31" s="303">
        <f>K28*12</f>
        <v>6360</v>
      </c>
      <c r="L31" s="303"/>
      <c r="M31" s="303"/>
      <c r="N31" s="303">
        <f>N28*12</f>
        <v>360</v>
      </c>
      <c r="O31" s="303"/>
      <c r="P31" s="303"/>
      <c r="Q31" s="303">
        <f>Q28*12</f>
        <v>0</v>
      </c>
      <c r="R31" s="303"/>
      <c r="S31" s="303"/>
      <c r="T31" s="303">
        <f>T28*12</f>
        <v>0</v>
      </c>
      <c r="U31" s="303"/>
      <c r="V31" s="303"/>
      <c r="W31" s="303">
        <f>W28*12</f>
        <v>360</v>
      </c>
      <c r="X31" s="284">
        <f t="shared" si="8"/>
        <v>24270</v>
      </c>
    </row>
    <row r="32" spans="1:24" ht="27">
      <c r="A32" s="312" t="s">
        <v>576</v>
      </c>
      <c r="B32" s="313" t="s">
        <v>518</v>
      </c>
      <c r="C32" s="276">
        <v>15</v>
      </c>
      <c r="D32" s="276">
        <v>12</v>
      </c>
      <c r="E32" s="276">
        <f>C32*D32</f>
        <v>180</v>
      </c>
      <c r="F32" s="276">
        <v>15</v>
      </c>
      <c r="G32" s="276">
        <v>12</v>
      </c>
      <c r="H32" s="276">
        <f>F32*G32</f>
        <v>180</v>
      </c>
      <c r="I32" s="276">
        <v>15</v>
      </c>
      <c r="J32" s="276">
        <v>12</v>
      </c>
      <c r="K32" s="276">
        <f>I32*J32</f>
        <v>180</v>
      </c>
      <c r="L32" s="276">
        <v>15</v>
      </c>
      <c r="M32" s="276">
        <v>12</v>
      </c>
      <c r="N32" s="276">
        <f>L32*M32</f>
        <v>180</v>
      </c>
      <c r="O32" s="276">
        <v>15</v>
      </c>
      <c r="P32" s="276">
        <v>12</v>
      </c>
      <c r="Q32" s="276">
        <f>O32*P32</f>
        <v>180</v>
      </c>
      <c r="R32" s="276">
        <v>0</v>
      </c>
      <c r="S32" s="276">
        <v>1</v>
      </c>
      <c r="T32" s="276">
        <f>R32*S32</f>
        <v>0</v>
      </c>
      <c r="U32" s="276">
        <v>15</v>
      </c>
      <c r="V32" s="276">
        <v>12</v>
      </c>
      <c r="W32" s="276">
        <f>U32*V32</f>
        <v>180</v>
      </c>
      <c r="X32" s="274">
        <f>E32+H32+K32+N32+Q32+T32+W32</f>
        <v>1080</v>
      </c>
    </row>
    <row r="33" spans="1:24" ht="15" thickBot="1">
      <c r="A33" s="314" t="s">
        <v>577</v>
      </c>
      <c r="B33" s="313" t="s">
        <v>518</v>
      </c>
      <c r="C33" s="315">
        <v>100</v>
      </c>
      <c r="D33" s="315">
        <v>4</v>
      </c>
      <c r="E33" s="276">
        <f>C33*D33</f>
        <v>400</v>
      </c>
      <c r="F33" s="315">
        <v>100</v>
      </c>
      <c r="G33" s="315">
        <v>4</v>
      </c>
      <c r="H33" s="276">
        <f>F33*G33</f>
        <v>400</v>
      </c>
      <c r="I33" s="315">
        <v>100</v>
      </c>
      <c r="J33" s="315">
        <v>4</v>
      </c>
      <c r="K33" s="276">
        <f>I33*J33</f>
        <v>400</v>
      </c>
      <c r="L33" s="315">
        <v>100</v>
      </c>
      <c r="M33" s="315">
        <v>4</v>
      </c>
      <c r="N33" s="276">
        <f>L33*M33</f>
        <v>400</v>
      </c>
      <c r="O33" s="315">
        <v>50</v>
      </c>
      <c r="P33" s="315">
        <v>2</v>
      </c>
      <c r="Q33" s="276">
        <f>O33*P33</f>
        <v>100</v>
      </c>
      <c r="R33" s="315"/>
      <c r="S33" s="315"/>
      <c r="T33" s="315"/>
      <c r="U33" s="315">
        <v>100</v>
      </c>
      <c r="V33" s="315">
        <v>4</v>
      </c>
      <c r="W33" s="276">
        <f>U33*V33</f>
        <v>400</v>
      </c>
      <c r="X33" s="316"/>
    </row>
    <row r="34" spans="1:24" ht="15" thickBot="1">
      <c r="A34" s="317" t="s">
        <v>564</v>
      </c>
      <c r="B34" s="298" t="s">
        <v>518</v>
      </c>
      <c r="C34" s="318"/>
      <c r="D34" s="318"/>
      <c r="E34" s="318">
        <v>115</v>
      </c>
      <c r="F34" s="318"/>
      <c r="G34" s="318"/>
      <c r="H34" s="318">
        <v>115</v>
      </c>
      <c r="I34" s="318"/>
      <c r="J34" s="318"/>
      <c r="K34" s="318">
        <v>115</v>
      </c>
      <c r="L34" s="318"/>
      <c r="M34" s="318"/>
      <c r="N34" s="318">
        <v>115</v>
      </c>
      <c r="O34" s="318"/>
      <c r="P34" s="318"/>
      <c r="Q34" s="318">
        <v>115</v>
      </c>
      <c r="R34" s="299"/>
      <c r="S34" s="318"/>
      <c r="T34" s="299">
        <f>T32</f>
        <v>0</v>
      </c>
      <c r="U34" s="299"/>
      <c r="V34" s="318"/>
      <c r="W34" s="318">
        <v>115</v>
      </c>
      <c r="X34" s="284">
        <f>W34+T34+Q34+N34+K34+H34+E34</f>
        <v>690</v>
      </c>
    </row>
    <row r="35" spans="1:24" ht="15" thickBot="1">
      <c r="A35" s="285" t="s">
        <v>565</v>
      </c>
      <c r="B35" s="300" t="s">
        <v>518</v>
      </c>
      <c r="C35" s="319"/>
      <c r="D35" s="319"/>
      <c r="E35" s="319">
        <v>580</v>
      </c>
      <c r="F35" s="319"/>
      <c r="G35" s="319"/>
      <c r="H35" s="319">
        <v>580</v>
      </c>
      <c r="I35" s="319"/>
      <c r="J35" s="319"/>
      <c r="K35" s="319">
        <v>580</v>
      </c>
      <c r="L35" s="319"/>
      <c r="M35" s="319"/>
      <c r="N35" s="319">
        <v>580</v>
      </c>
      <c r="O35" s="319"/>
      <c r="P35" s="319"/>
      <c r="Q35" s="319">
        <v>580</v>
      </c>
      <c r="R35" s="301"/>
      <c r="S35" s="319"/>
      <c r="T35" s="301">
        <f>T34*12</f>
        <v>0</v>
      </c>
      <c r="U35" s="301">
        <f>U34*12</f>
        <v>0</v>
      </c>
      <c r="V35" s="319"/>
      <c r="W35" s="319">
        <v>580</v>
      </c>
      <c r="X35" s="288">
        <f>W35+T35+Q35+N35+K35+H35+E35</f>
        <v>3480</v>
      </c>
    </row>
    <row r="36" spans="1:24" ht="15" thickBot="1">
      <c r="A36" s="285" t="s">
        <v>566</v>
      </c>
      <c r="B36" s="300" t="s">
        <v>518</v>
      </c>
      <c r="C36" s="319"/>
      <c r="D36" s="319"/>
      <c r="E36" s="319">
        <v>580</v>
      </c>
      <c r="F36" s="319"/>
      <c r="G36" s="319"/>
      <c r="H36" s="319">
        <v>580</v>
      </c>
      <c r="I36" s="319"/>
      <c r="J36" s="319"/>
      <c r="K36" s="319">
        <v>580</v>
      </c>
      <c r="L36" s="319"/>
      <c r="M36" s="319"/>
      <c r="N36" s="319">
        <v>580</v>
      </c>
      <c r="O36" s="319"/>
      <c r="P36" s="319"/>
      <c r="Q36" s="319">
        <v>580</v>
      </c>
      <c r="R36" s="301"/>
      <c r="S36" s="319"/>
      <c r="T36" s="301">
        <f>T34*12</f>
        <v>0</v>
      </c>
      <c r="U36" s="301">
        <f>U34*12</f>
        <v>0</v>
      </c>
      <c r="V36" s="319"/>
      <c r="W36" s="319">
        <v>580</v>
      </c>
      <c r="X36" s="288">
        <f t="shared" si="8"/>
        <v>3480</v>
      </c>
    </row>
    <row r="37" spans="1:24" ht="15" thickBot="1">
      <c r="A37" s="289" t="s">
        <v>567</v>
      </c>
      <c r="B37" s="302" t="s">
        <v>518</v>
      </c>
      <c r="C37" s="320"/>
      <c r="D37" s="320"/>
      <c r="E37" s="319">
        <v>580</v>
      </c>
      <c r="F37" s="320"/>
      <c r="G37" s="320"/>
      <c r="H37" s="319">
        <v>580</v>
      </c>
      <c r="I37" s="320"/>
      <c r="J37" s="320"/>
      <c r="K37" s="319">
        <v>580</v>
      </c>
      <c r="L37" s="320"/>
      <c r="M37" s="320"/>
      <c r="N37" s="319">
        <v>580</v>
      </c>
      <c r="O37" s="320"/>
      <c r="P37" s="320"/>
      <c r="Q37" s="319">
        <v>580</v>
      </c>
      <c r="R37" s="303"/>
      <c r="S37" s="320"/>
      <c r="T37" s="303">
        <f>T34*12</f>
        <v>0</v>
      </c>
      <c r="U37" s="303">
        <f>U34*12</f>
        <v>0</v>
      </c>
      <c r="V37" s="320"/>
      <c r="W37" s="319">
        <v>580</v>
      </c>
      <c r="X37" s="284">
        <f t="shared" si="8"/>
        <v>3480</v>
      </c>
    </row>
    <row r="38" spans="1:24" ht="15" thickBot="1">
      <c r="A38" s="321"/>
      <c r="B38" s="294"/>
      <c r="C38" s="276">
        <v>0</v>
      </c>
      <c r="D38" s="322">
        <v>0</v>
      </c>
      <c r="E38" s="276">
        <f>C38*D38</f>
        <v>0</v>
      </c>
      <c r="F38" s="276">
        <v>0</v>
      </c>
      <c r="G38" s="322">
        <v>1</v>
      </c>
      <c r="H38" s="276">
        <f>F38*G38</f>
        <v>0</v>
      </c>
      <c r="I38" s="276">
        <v>0</v>
      </c>
      <c r="J38" s="322">
        <v>0</v>
      </c>
      <c r="K38" s="276">
        <f>I38*J38</f>
        <v>0</v>
      </c>
      <c r="L38" s="276">
        <v>0</v>
      </c>
      <c r="M38" s="322">
        <v>0</v>
      </c>
      <c r="N38" s="276">
        <f>L38*M38</f>
        <v>0</v>
      </c>
      <c r="O38" s="276">
        <v>0</v>
      </c>
      <c r="P38" s="322">
        <v>1</v>
      </c>
      <c r="Q38" s="276">
        <f>O38*P38</f>
        <v>0</v>
      </c>
      <c r="R38" s="276">
        <v>0</v>
      </c>
      <c r="S38" s="322">
        <v>1</v>
      </c>
      <c r="T38" s="276">
        <f>R38*S38</f>
        <v>0</v>
      </c>
      <c r="U38" s="276">
        <v>0</v>
      </c>
      <c r="V38" s="322">
        <v>1</v>
      </c>
      <c r="W38" s="276">
        <f>U38*V38</f>
        <v>0</v>
      </c>
      <c r="X38" s="274">
        <f>E38+H38+K38+N38+Q38+T38+W38</f>
        <v>0</v>
      </c>
    </row>
    <row r="39" spans="1:24" ht="15" thickBot="1">
      <c r="A39" s="297"/>
      <c r="B39" s="323"/>
      <c r="C39" s="324"/>
      <c r="D39" s="324"/>
      <c r="E39" s="324">
        <f>SUM(E38:E38)</f>
        <v>0</v>
      </c>
      <c r="F39" s="324"/>
      <c r="G39" s="324"/>
      <c r="H39" s="324">
        <f>SUM(H38:H38)</f>
        <v>0</v>
      </c>
      <c r="I39" s="324"/>
      <c r="J39" s="324"/>
      <c r="K39" s="324">
        <f>SUM(K38:K38)</f>
        <v>0</v>
      </c>
      <c r="L39" s="324"/>
      <c r="M39" s="324"/>
      <c r="N39" s="324">
        <f>SUM(N38:N38)</f>
        <v>0</v>
      </c>
      <c r="O39" s="324"/>
      <c r="P39" s="324"/>
      <c r="Q39" s="324">
        <f>SUM(Q38:Q38)</f>
        <v>0</v>
      </c>
      <c r="R39" s="324"/>
      <c r="S39" s="324"/>
      <c r="T39" s="324">
        <f>SUM(T38:T38)</f>
        <v>0</v>
      </c>
      <c r="U39" s="324"/>
      <c r="V39" s="324"/>
      <c r="W39" s="324">
        <f>SUM(W38:W38)</f>
        <v>0</v>
      </c>
      <c r="X39" s="284">
        <f t="shared" si="8"/>
        <v>0</v>
      </c>
    </row>
    <row r="40" spans="1:24" ht="15" thickBot="1">
      <c r="A40" s="285"/>
      <c r="B40" s="325"/>
      <c r="C40" s="326"/>
      <c r="D40" s="326"/>
      <c r="E40" s="326">
        <f>E39*12</f>
        <v>0</v>
      </c>
      <c r="F40" s="326"/>
      <c r="G40" s="326"/>
      <c r="H40" s="326">
        <f>H39*12</f>
        <v>0</v>
      </c>
      <c r="I40" s="326"/>
      <c r="J40" s="326"/>
      <c r="K40" s="326">
        <f>K39*12</f>
        <v>0</v>
      </c>
      <c r="L40" s="326"/>
      <c r="M40" s="326"/>
      <c r="N40" s="326">
        <f>N39*12</f>
        <v>0</v>
      </c>
      <c r="O40" s="326"/>
      <c r="P40" s="326"/>
      <c r="Q40" s="326">
        <f>Q39*12</f>
        <v>0</v>
      </c>
      <c r="R40" s="326"/>
      <c r="S40" s="326"/>
      <c r="T40" s="326">
        <f>T39*12</f>
        <v>0</v>
      </c>
      <c r="U40" s="326"/>
      <c r="V40" s="326"/>
      <c r="W40" s="326">
        <f>W39*12</f>
        <v>0</v>
      </c>
      <c r="X40" s="288">
        <f t="shared" si="8"/>
        <v>0</v>
      </c>
    </row>
    <row r="41" spans="1:24" ht="15" thickBot="1">
      <c r="A41" s="285"/>
      <c r="B41" s="325"/>
      <c r="C41" s="326"/>
      <c r="D41" s="326"/>
      <c r="E41" s="326">
        <f>E39*12</f>
        <v>0</v>
      </c>
      <c r="F41" s="326"/>
      <c r="G41" s="326"/>
      <c r="H41" s="326">
        <f>H39*12</f>
        <v>0</v>
      </c>
      <c r="I41" s="326"/>
      <c r="J41" s="326"/>
      <c r="K41" s="326">
        <f>K39*12</f>
        <v>0</v>
      </c>
      <c r="L41" s="326"/>
      <c r="M41" s="326"/>
      <c r="N41" s="326">
        <f>N39*12</f>
        <v>0</v>
      </c>
      <c r="O41" s="326"/>
      <c r="P41" s="326"/>
      <c r="Q41" s="326">
        <f>Q39*12</f>
        <v>0</v>
      </c>
      <c r="R41" s="326"/>
      <c r="S41" s="326"/>
      <c r="T41" s="326">
        <f>T39*12</f>
        <v>0</v>
      </c>
      <c r="U41" s="326"/>
      <c r="V41" s="326"/>
      <c r="W41" s="326">
        <f>W39*12</f>
        <v>0</v>
      </c>
      <c r="X41" s="288">
        <f t="shared" si="8"/>
        <v>0</v>
      </c>
    </row>
    <row r="42" spans="1:24" ht="15" thickBot="1">
      <c r="A42" s="289"/>
      <c r="B42" s="327"/>
      <c r="C42" s="328"/>
      <c r="D42" s="328"/>
      <c r="E42" s="328">
        <f>E39*12</f>
        <v>0</v>
      </c>
      <c r="F42" s="328"/>
      <c r="G42" s="328"/>
      <c r="H42" s="328">
        <f>H39*12</f>
        <v>0</v>
      </c>
      <c r="I42" s="328"/>
      <c r="J42" s="328"/>
      <c r="K42" s="328">
        <f>K39*12</f>
        <v>0</v>
      </c>
      <c r="L42" s="328"/>
      <c r="M42" s="328"/>
      <c r="N42" s="328">
        <f>N39*12</f>
        <v>0</v>
      </c>
      <c r="O42" s="328"/>
      <c r="P42" s="328"/>
      <c r="Q42" s="328">
        <f>Q39*12</f>
        <v>0</v>
      </c>
      <c r="R42" s="328"/>
      <c r="S42" s="328"/>
      <c r="T42" s="328">
        <f>T39*12</f>
        <v>0</v>
      </c>
      <c r="U42" s="328"/>
      <c r="V42" s="328"/>
      <c r="W42" s="328">
        <f>W39*12</f>
        <v>0</v>
      </c>
      <c r="X42" s="284">
        <f t="shared" si="8"/>
        <v>0</v>
      </c>
    </row>
    <row r="43" spans="1:24" ht="15" thickBot="1">
      <c r="A43" s="329" t="s">
        <v>578</v>
      </c>
      <c r="B43" s="330"/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284">
        <f t="shared" si="8"/>
        <v>0</v>
      </c>
    </row>
    <row r="44" spans="1:24" ht="15" thickBot="1">
      <c r="A44" s="332" t="s">
        <v>579</v>
      </c>
      <c r="B44" s="333"/>
      <c r="C44" s="333"/>
      <c r="D44" s="333"/>
      <c r="E44" s="334">
        <f>E40+E35+E29+E21+E12</f>
        <v>56750.8</v>
      </c>
      <c r="F44" s="333"/>
      <c r="G44" s="333"/>
      <c r="H44" s="334">
        <f>H40+H35+H29+H21+H12</f>
        <v>44572</v>
      </c>
      <c r="I44" s="333"/>
      <c r="J44" s="333"/>
      <c r="K44" s="334">
        <f>K40+K35+K29+K21+K12</f>
        <v>38036.800000000003</v>
      </c>
      <c r="L44" s="333"/>
      <c r="M44" s="333"/>
      <c r="N44" s="334">
        <f>N40+N35+N29+N21+N12</f>
        <v>15188.8</v>
      </c>
      <c r="O44" s="333"/>
      <c r="P44" s="333"/>
      <c r="Q44" s="334">
        <f>Q40+Q35+Q29+Q21+Q12</f>
        <v>580</v>
      </c>
      <c r="R44" s="333"/>
      <c r="S44" s="333"/>
      <c r="T44" s="334">
        <f>T40+T35+T29+T21+T12</f>
        <v>5065.2000000000007</v>
      </c>
      <c r="U44" s="333"/>
      <c r="V44" s="333"/>
      <c r="W44" s="334">
        <f>W40+W35+W29+W21+W12</f>
        <v>10134.4</v>
      </c>
      <c r="X44" s="288">
        <f>W44+T44+Q44+N44+K44+H44+E44</f>
        <v>170328</v>
      </c>
    </row>
    <row r="45" spans="1:24" ht="15" thickBot="1">
      <c r="A45" s="332" t="s">
        <v>580</v>
      </c>
      <c r="B45" s="333"/>
      <c r="C45" s="333"/>
      <c r="D45" s="333"/>
      <c r="E45" s="334">
        <f>E41+E36+E30+E22+E13</f>
        <v>56750.8</v>
      </c>
      <c r="F45" s="333"/>
      <c r="G45" s="333"/>
      <c r="H45" s="334">
        <f>H41+H36+H30+H22+H13</f>
        <v>44572</v>
      </c>
      <c r="I45" s="333"/>
      <c r="J45" s="333"/>
      <c r="K45" s="334">
        <f>K41+K36+K30+K22+K13</f>
        <v>38036.800000000003</v>
      </c>
      <c r="L45" s="333"/>
      <c r="M45" s="333"/>
      <c r="N45" s="334">
        <f>N41+N36+N30+N22+N13</f>
        <v>15188.8</v>
      </c>
      <c r="O45" s="333"/>
      <c r="P45" s="333"/>
      <c r="Q45" s="334">
        <f>Q41+Q36+Q30+Q22+Q13</f>
        <v>580</v>
      </c>
      <c r="R45" s="333"/>
      <c r="S45" s="333"/>
      <c r="T45" s="334">
        <f>T41+T36+T30+T22+T13</f>
        <v>5065.2000000000007</v>
      </c>
      <c r="U45" s="333"/>
      <c r="V45" s="333"/>
      <c r="W45" s="334">
        <f>W41+W36+W30+W22+W13</f>
        <v>10134.4</v>
      </c>
      <c r="X45" s="288">
        <f t="shared" si="8"/>
        <v>170328</v>
      </c>
    </row>
    <row r="46" spans="1:24" ht="15" thickBot="1">
      <c r="A46" s="332" t="s">
        <v>581</v>
      </c>
      <c r="B46" s="333"/>
      <c r="C46" s="335"/>
      <c r="D46" s="335"/>
      <c r="E46" s="334">
        <f>E42+E37+E31+E23+E14</f>
        <v>56750.8</v>
      </c>
      <c r="F46" s="335"/>
      <c r="G46" s="335"/>
      <c r="H46" s="334">
        <f>H42+H37+H31+H23+H14</f>
        <v>44572</v>
      </c>
      <c r="I46" s="335"/>
      <c r="J46" s="335"/>
      <c r="K46" s="334">
        <f>K42+K37+K31+K23+K14</f>
        <v>38036.800000000003</v>
      </c>
      <c r="L46" s="335"/>
      <c r="M46" s="335"/>
      <c r="N46" s="334">
        <f>N42+N37+N31+N23+N14</f>
        <v>15188.8</v>
      </c>
      <c r="O46" s="335"/>
      <c r="P46" s="335"/>
      <c r="Q46" s="334">
        <f>Q42+Q37+Q31+Q23+Q14</f>
        <v>580</v>
      </c>
      <c r="R46" s="335"/>
      <c r="S46" s="335"/>
      <c r="T46" s="334">
        <f>T42+T37+T31+T23+T14</f>
        <v>5065.2000000000007</v>
      </c>
      <c r="U46" s="335"/>
      <c r="V46" s="335"/>
      <c r="W46" s="334">
        <f>W42+W37+W31+W23+W14</f>
        <v>10134.4</v>
      </c>
      <c r="X46" s="284">
        <f t="shared" si="8"/>
        <v>170328</v>
      </c>
    </row>
    <row r="47" spans="1:24">
      <c r="A47" s="336" t="s">
        <v>571</v>
      </c>
      <c r="B47" s="337"/>
      <c r="C47" s="338"/>
      <c r="D47" s="338"/>
      <c r="E47" s="338">
        <f>E35+E36+E37+E31+E30+E29+E23+E22+E21+E14+E13+E12</f>
        <v>170252.40000000002</v>
      </c>
      <c r="F47" s="338"/>
      <c r="G47" s="338"/>
      <c r="H47" s="338">
        <f>H35+H36+H37+H31+H30+H29+H23+H22+H21+H14+H13+H12</f>
        <v>133716</v>
      </c>
      <c r="I47" s="338"/>
      <c r="J47" s="338"/>
      <c r="K47" s="338">
        <f>K35+K36+K37+K31+K30+K29+K23+K22+K21+K14+K13+K12</f>
        <v>114110.40000000001</v>
      </c>
      <c r="L47" s="338"/>
      <c r="M47" s="338"/>
      <c r="N47" s="338">
        <f>N35+N36+N37+N31+N30+N29+N23+N22+N21+N14+N13+N12</f>
        <v>45566.399999999994</v>
      </c>
      <c r="O47" s="338"/>
      <c r="P47" s="338"/>
      <c r="Q47" s="338">
        <f>Q35+Q36+Q37+Q31+Q30+Q29+Q23+Q22+Q21+Q14+Q13+Q12</f>
        <v>1740</v>
      </c>
      <c r="R47" s="338"/>
      <c r="S47" s="338"/>
      <c r="T47" s="338">
        <f>T42+T41+T40+T31+T30+T29+T23+T22+T21+T14+T13+T12</f>
        <v>15195.600000000002</v>
      </c>
      <c r="U47" s="338"/>
      <c r="V47" s="338"/>
      <c r="W47" s="338">
        <f>W35+W36+W37+W31+W30+W29+W23+W22+W21+W14+W13+W12</f>
        <v>30403.200000000004</v>
      </c>
      <c r="X47" s="284">
        <f t="shared" si="8"/>
        <v>510984</v>
      </c>
    </row>
    <row r="51" spans="1:6" ht="51">
      <c r="A51" s="340" t="s">
        <v>582</v>
      </c>
      <c r="B51" s="341" t="s">
        <v>583</v>
      </c>
      <c r="C51" s="342" t="s">
        <v>528</v>
      </c>
      <c r="D51" s="343">
        <f>'ИМН СР'!E11+'ИМН СР'!E20</f>
        <v>39134.936280000002</v>
      </c>
      <c r="E51" s="343">
        <f>'ИМН СР'!F11+'ИМН СР'!F20</f>
        <v>40339.255032000001</v>
      </c>
      <c r="F51" s="343">
        <f>'ИМН СР'!G11+'ИМН СР'!G20</f>
        <v>41548.429908000006</v>
      </c>
    </row>
    <row r="52" spans="1:6" ht="51">
      <c r="A52" s="340" t="s">
        <v>584</v>
      </c>
      <c r="B52" s="341" t="s">
        <v>583</v>
      </c>
      <c r="C52" s="342" t="s">
        <v>528</v>
      </c>
      <c r="D52" s="343">
        <f>'ИМН СР'!E24</f>
        <v>22684.101240223259</v>
      </c>
      <c r="E52" s="343">
        <f>'ИМН СР'!F24</f>
        <v>23816.024199493953</v>
      </c>
      <c r="F52" s="343">
        <f>'ИМН СР'!G24</f>
        <v>24952.511364245587</v>
      </c>
    </row>
    <row r="53" spans="1:6" ht="40.799999999999997">
      <c r="A53" s="340" t="s">
        <v>787</v>
      </c>
      <c r="B53" s="341" t="s">
        <v>585</v>
      </c>
      <c r="C53" s="342" t="s">
        <v>528</v>
      </c>
      <c r="D53" s="344">
        <f>5000*4</f>
        <v>20000</v>
      </c>
      <c r="E53" s="344">
        <v>2000</v>
      </c>
      <c r="F53" s="344">
        <v>20000</v>
      </c>
    </row>
    <row r="54" spans="1:6" ht="20.399999999999999">
      <c r="A54" s="345" t="s">
        <v>530</v>
      </c>
      <c r="B54" s="346"/>
      <c r="C54" s="347"/>
      <c r="D54" s="348">
        <f>SUM(D51:D53)</f>
        <v>81819.037520223268</v>
      </c>
      <c r="E54" s="348">
        <f t="shared" ref="E54:F54" si="9">SUM(E51:E53)</f>
        <v>66155.279231493958</v>
      </c>
      <c r="F54" s="348">
        <f t="shared" si="9"/>
        <v>86500.941272245589</v>
      </c>
    </row>
    <row r="57" spans="1:6" ht="57.6">
      <c r="C57" s="349" t="str">
        <f>'Модуль 10'!C23</f>
        <v>Проведение исследования по ДКП с секс-работниками</v>
      </c>
      <c r="D57" s="350" t="s">
        <v>586</v>
      </c>
    </row>
    <row r="58" spans="1:6" ht="115.2">
      <c r="C58" s="351" t="s">
        <v>587</v>
      </c>
      <c r="D58" s="237"/>
    </row>
    <row r="59" spans="1:6">
      <c r="C59" s="238" t="s">
        <v>588</v>
      </c>
      <c r="D59" s="237"/>
    </row>
    <row r="60" spans="1:6" ht="43.2">
      <c r="C60" s="351" t="s">
        <v>589</v>
      </c>
      <c r="D60" s="237">
        <v>1000</v>
      </c>
    </row>
    <row r="61" spans="1:6" ht="57.6">
      <c r="C61" s="351" t="s">
        <v>590</v>
      </c>
      <c r="D61" s="237">
        <f>3*270</f>
        <v>810</v>
      </c>
    </row>
    <row r="62" spans="1:6" ht="28.8">
      <c r="C62" s="236" t="s">
        <v>591</v>
      </c>
      <c r="D62" s="237">
        <v>600</v>
      </c>
    </row>
    <row r="63" spans="1:6" ht="43.2">
      <c r="C63" s="236" t="s">
        <v>592</v>
      </c>
      <c r="D63" s="237">
        <v>1500</v>
      </c>
    </row>
    <row r="64" spans="1:6">
      <c r="C64" s="236" t="s">
        <v>593</v>
      </c>
      <c r="D64" s="237">
        <f>SUM(D60:D63)*17%</f>
        <v>664.7</v>
      </c>
    </row>
    <row r="65" spans="3:4" ht="100.8">
      <c r="C65" s="236" t="s">
        <v>594</v>
      </c>
      <c r="D65" s="237">
        <v>2000</v>
      </c>
    </row>
    <row r="66" spans="3:4" ht="28.8">
      <c r="C66" s="236" t="s">
        <v>595</v>
      </c>
      <c r="D66" s="237">
        <v>300</v>
      </c>
    </row>
    <row r="67" spans="3:4" ht="43.2">
      <c r="C67" s="236" t="s">
        <v>596</v>
      </c>
      <c r="D67" s="237">
        <f>350*6</f>
        <v>2100</v>
      </c>
    </row>
    <row r="68" spans="3:4">
      <c r="C68" s="352" t="s">
        <v>92</v>
      </c>
      <c r="D68" s="353">
        <f>SUM(D60:D67)</f>
        <v>8974.7000000000007</v>
      </c>
    </row>
    <row r="69" spans="3:4">
      <c r="C69" s="265"/>
      <c r="D69" s="234"/>
    </row>
    <row r="70" spans="3:4">
      <c r="C70" s="265"/>
      <c r="D70" s="234"/>
    </row>
    <row r="71" spans="3:4">
      <c r="C71" s="265"/>
      <c r="D71" s="234"/>
    </row>
    <row r="72" spans="3:4">
      <c r="C72" s="265"/>
      <c r="D72" s="234"/>
    </row>
  </sheetData>
  <mergeCells count="11">
    <mergeCell ref="U2:W3"/>
    <mergeCell ref="A1:A4"/>
    <mergeCell ref="B1:B4"/>
    <mergeCell ref="C1:W1"/>
    <mergeCell ref="X1:X4"/>
    <mergeCell ref="C2:E3"/>
    <mergeCell ref="F2:H3"/>
    <mergeCell ref="I2:K3"/>
    <mergeCell ref="L2:N3"/>
    <mergeCell ref="O2:Q3"/>
    <mergeCell ref="R2:T3"/>
  </mergeCells>
  <pageMargins left="0.7" right="0.7" top="0.75" bottom="0.75" header="0.3" footer="0.3"/>
  <pageSetup paperSize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25"/>
  <sheetViews>
    <sheetView zoomScale="110" zoomScaleNormal="110" workbookViewId="0">
      <selection activeCell="K5" sqref="K5"/>
    </sheetView>
  </sheetViews>
  <sheetFormatPr defaultColWidth="9.109375" defaultRowHeight="14.4"/>
  <cols>
    <col min="1" max="2" width="9.109375" style="234"/>
    <col min="3" max="3" width="5.5546875" style="234" customWidth="1"/>
    <col min="4" max="4" width="28.33203125" style="234" customWidth="1"/>
    <col min="5" max="5" width="16.33203125" style="234" bestFit="1" customWidth="1"/>
    <col min="6" max="8" width="9.109375" style="234"/>
    <col min="9" max="11" width="11.109375" style="234" bestFit="1" customWidth="1"/>
    <col min="12" max="16384" width="9.109375" style="234"/>
  </cols>
  <sheetData>
    <row r="2" spans="3:11" ht="33" customHeight="1">
      <c r="C2" s="956" t="s">
        <v>597</v>
      </c>
      <c r="D2" s="956"/>
      <c r="E2" s="956"/>
      <c r="F2" s="956"/>
      <c r="G2" s="956"/>
      <c r="H2" s="634" t="s">
        <v>866</v>
      </c>
    </row>
    <row r="3" spans="3:11" ht="28.8">
      <c r="C3" s="238"/>
      <c r="D3" s="238" t="s">
        <v>598</v>
      </c>
      <c r="E3" s="238" t="s">
        <v>599</v>
      </c>
      <c r="F3" s="238" t="s">
        <v>600</v>
      </c>
      <c r="G3" s="238" t="s">
        <v>601</v>
      </c>
      <c r="I3" s="354"/>
      <c r="J3" s="354"/>
      <c r="K3" s="354"/>
    </row>
    <row r="4" spans="3:11" ht="28.8">
      <c r="C4" s="238"/>
      <c r="D4" s="238" t="s">
        <v>602</v>
      </c>
      <c r="E4" s="355">
        <v>4970</v>
      </c>
      <c r="F4" s="355">
        <v>5218</v>
      </c>
      <c r="G4" s="355">
        <v>5467</v>
      </c>
    </row>
    <row r="5" spans="3:11" ht="48" customHeight="1">
      <c r="C5" s="237"/>
      <c r="D5" s="351" t="s">
        <v>603</v>
      </c>
      <c r="E5" s="351">
        <v>14</v>
      </c>
      <c r="F5" s="351">
        <v>14</v>
      </c>
      <c r="G5" s="351">
        <v>14</v>
      </c>
      <c r="I5" s="356"/>
    </row>
    <row r="6" spans="3:11" ht="43.2">
      <c r="C6" s="237"/>
      <c r="D6" s="550" t="s">
        <v>803</v>
      </c>
      <c r="E6" s="357">
        <f>E4*E5*52</f>
        <v>3618160</v>
      </c>
      <c r="F6" s="357">
        <f>F4*F5*52</f>
        <v>3798704</v>
      </c>
      <c r="G6" s="357">
        <f>G4*G5*52</f>
        <v>3979976</v>
      </c>
    </row>
    <row r="7" spans="3:11" ht="43.2">
      <c r="C7" s="358"/>
      <c r="D7" s="351" t="s">
        <v>604</v>
      </c>
      <c r="E7" s="251">
        <f>E6*60%</f>
        <v>2170896</v>
      </c>
      <c r="F7" s="251">
        <f>F6*60%</f>
        <v>2279222.4</v>
      </c>
      <c r="G7" s="251">
        <f>G6*60%</f>
        <v>2387985.6</v>
      </c>
    </row>
    <row r="8" spans="3:11" ht="43.2">
      <c r="C8" s="358"/>
      <c r="D8" s="351" t="s">
        <v>605</v>
      </c>
      <c r="E8" s="359">
        <f>E7*45%</f>
        <v>976903.20000000007</v>
      </c>
      <c r="F8" s="359">
        <f t="shared" ref="F8:G8" si="0">F7*45%</f>
        <v>1025650.08</v>
      </c>
      <c r="G8" s="359">
        <f t="shared" si="0"/>
        <v>1074593.52</v>
      </c>
    </row>
    <row r="9" spans="3:11" ht="28.8">
      <c r="C9" s="358"/>
      <c r="D9" s="360" t="s">
        <v>606</v>
      </c>
      <c r="E9" s="361">
        <f>E8*80%</f>
        <v>781522.56</v>
      </c>
      <c r="F9" s="361">
        <f t="shared" ref="F9:G9" si="1">F8*80%</f>
        <v>820520.06400000001</v>
      </c>
      <c r="G9" s="361">
        <f t="shared" si="1"/>
        <v>859674.81600000011</v>
      </c>
      <c r="I9" s="362"/>
    </row>
    <row r="10" spans="3:11">
      <c r="C10" s="363"/>
      <c r="D10" s="364" t="s">
        <v>607</v>
      </c>
      <c r="E10" s="365">
        <f>4.447/144</f>
        <v>3.0881944444444445E-2</v>
      </c>
      <c r="F10" s="365">
        <f>E10</f>
        <v>3.0881944444444445E-2</v>
      </c>
      <c r="G10" s="365">
        <f>F10</f>
        <v>3.0881944444444445E-2</v>
      </c>
    </row>
    <row r="11" spans="3:11" ht="15" thickBot="1">
      <c r="C11" s="363"/>
      <c r="D11" s="366" t="s">
        <v>608</v>
      </c>
      <c r="E11" s="367">
        <f>E9*E10</f>
        <v>24134.936280000002</v>
      </c>
      <c r="F11" s="367">
        <f>F9*F10</f>
        <v>25339.255032000001</v>
      </c>
      <c r="G11" s="368">
        <f>G9*G10</f>
        <v>26548.429908000002</v>
      </c>
      <c r="I11" s="362"/>
      <c r="J11" s="362"/>
      <c r="K11" s="362"/>
    </row>
    <row r="12" spans="3:11" ht="28.8">
      <c r="C12" s="363"/>
      <c r="D12" s="369" t="s">
        <v>609</v>
      </c>
      <c r="E12" s="370">
        <f>E8*5%</f>
        <v>48845.16</v>
      </c>
      <c r="F12" s="370">
        <f t="shared" ref="F12:G12" si="2">F8*5%</f>
        <v>51282.504000000001</v>
      </c>
      <c r="G12" s="370">
        <f t="shared" si="2"/>
        <v>53729.676000000007</v>
      </c>
    </row>
    <row r="13" spans="3:11" s="374" customFormat="1" ht="28.8">
      <c r="C13" s="371"/>
      <c r="D13" s="372" t="s">
        <v>610</v>
      </c>
      <c r="E13" s="373">
        <f>4.454/144</f>
        <v>3.0930555555555555E-2</v>
      </c>
      <c r="F13" s="373">
        <f>E13</f>
        <v>3.0930555555555555E-2</v>
      </c>
      <c r="G13" s="373">
        <f>F13</f>
        <v>3.0930555555555555E-2</v>
      </c>
    </row>
    <row r="14" spans="3:11" ht="15" thickBot="1">
      <c r="C14" s="363"/>
      <c r="D14" s="375" t="s">
        <v>608</v>
      </c>
      <c r="E14" s="376">
        <f>E12*E13</f>
        <v>1510.807935</v>
      </c>
      <c r="F14" s="376">
        <f>F12*F13</f>
        <v>1586.1963390000001</v>
      </c>
      <c r="G14" s="377">
        <f>G12*G13</f>
        <v>1661.8887285000001</v>
      </c>
    </row>
    <row r="15" spans="3:11" ht="29.4" thickBot="1">
      <c r="C15" s="363"/>
      <c r="D15" s="378" t="s">
        <v>611</v>
      </c>
      <c r="E15" s="379">
        <f>E8*10%</f>
        <v>97690.32</v>
      </c>
      <c r="F15" s="379">
        <f t="shared" ref="F15:G15" si="3">F8*10%</f>
        <v>102565.008</v>
      </c>
      <c r="G15" s="379">
        <f t="shared" si="3"/>
        <v>107459.35200000001</v>
      </c>
    </row>
    <row r="16" spans="3:11">
      <c r="C16" s="363"/>
      <c r="D16" s="380" t="s">
        <v>612</v>
      </c>
      <c r="E16" s="381">
        <f>4.5/144</f>
        <v>3.125E-2</v>
      </c>
      <c r="F16" s="381">
        <f>E16</f>
        <v>3.125E-2</v>
      </c>
      <c r="G16" s="381">
        <f>F16</f>
        <v>3.125E-2</v>
      </c>
    </row>
    <row r="17" spans="3:16" ht="15" thickBot="1">
      <c r="C17" s="363"/>
      <c r="D17" s="382" t="s">
        <v>608</v>
      </c>
      <c r="E17" s="383">
        <f>E15*E16</f>
        <v>3052.8225000000002</v>
      </c>
      <c r="F17" s="383">
        <f>F15*F16</f>
        <v>3205.1565000000001</v>
      </c>
      <c r="G17" s="384">
        <f>G15*G16</f>
        <v>3358.1047500000004</v>
      </c>
    </row>
    <row r="18" spans="3:16">
      <c r="C18" s="363"/>
      <c r="D18" s="385" t="s">
        <v>613</v>
      </c>
      <c r="E18" s="386">
        <v>30000</v>
      </c>
      <c r="F18" s="386">
        <v>30000</v>
      </c>
      <c r="G18" s="386">
        <v>30000</v>
      </c>
    </row>
    <row r="19" spans="3:16">
      <c r="C19" s="363"/>
      <c r="D19" s="387" t="s">
        <v>614</v>
      </c>
      <c r="E19" s="388">
        <f>0.5</f>
        <v>0.5</v>
      </c>
      <c r="F19" s="388">
        <f>E19</f>
        <v>0.5</v>
      </c>
      <c r="G19" s="388">
        <f>F19</f>
        <v>0.5</v>
      </c>
    </row>
    <row r="20" spans="3:16" ht="15" thickBot="1">
      <c r="C20" s="358"/>
      <c r="D20" s="389" t="s">
        <v>608</v>
      </c>
      <c r="E20" s="390">
        <f>E18*E19</f>
        <v>15000</v>
      </c>
      <c r="F20" s="390">
        <f>F18*F19</f>
        <v>15000</v>
      </c>
      <c r="G20" s="391">
        <f>G18*G19</f>
        <v>15000</v>
      </c>
      <c r="P20" s="362"/>
    </row>
    <row r="21" spans="3:16">
      <c r="C21" s="363"/>
      <c r="D21" s="392" t="s">
        <v>309</v>
      </c>
      <c r="E21" s="393">
        <f>(E9+E12)*60%</f>
        <v>498220.63200000004</v>
      </c>
      <c r="F21" s="393">
        <f t="shared" ref="F21:G21" si="4">(F9+F12)*60%</f>
        <v>523081.54079999996</v>
      </c>
      <c r="G21" s="393">
        <f t="shared" si="4"/>
        <v>548042.69520000007</v>
      </c>
    </row>
    <row r="22" spans="3:16">
      <c r="C22" s="363"/>
      <c r="D22" s="394" t="s">
        <v>615</v>
      </c>
      <c r="E22" s="395">
        <f>0.023</f>
        <v>2.3E-2</v>
      </c>
      <c r="F22" s="395">
        <f>E22</f>
        <v>2.3E-2</v>
      </c>
      <c r="G22" s="395">
        <f>F22</f>
        <v>2.3E-2</v>
      </c>
      <c r="H22" s="234" t="s">
        <v>616</v>
      </c>
    </row>
    <row r="23" spans="3:16">
      <c r="C23" s="363"/>
      <c r="D23" s="394" t="s">
        <v>617</v>
      </c>
      <c r="E23" s="395">
        <f>0.22</f>
        <v>0.22</v>
      </c>
      <c r="F23" s="395">
        <f>E23</f>
        <v>0.22</v>
      </c>
      <c r="G23" s="395">
        <f>F23</f>
        <v>0.22</v>
      </c>
    </row>
    <row r="24" spans="3:16" ht="15" thickBot="1">
      <c r="C24" s="363"/>
      <c r="D24" s="396" t="s">
        <v>608</v>
      </c>
      <c r="E24" s="397">
        <f>E21*20%*E22+E21*80%*E23/4.3</f>
        <v>22684.101240223259</v>
      </c>
      <c r="F24" s="397">
        <f t="shared" ref="F24:G24" si="5">F21*20%*F22+F21*80%*F23/4.3</f>
        <v>23816.024199493953</v>
      </c>
      <c r="G24" s="397">
        <f t="shared" si="5"/>
        <v>24952.511364245587</v>
      </c>
    </row>
    <row r="25" spans="3:16">
      <c r="D25" s="234" t="s">
        <v>608</v>
      </c>
      <c r="E25" s="362">
        <f>E11+E14+E20+E17+E24</f>
        <v>66382.667955223267</v>
      </c>
      <c r="F25" s="362">
        <f t="shared" ref="F25:G25" si="6">F11+F14+F20+F17+F24</f>
        <v>68946.632070493957</v>
      </c>
      <c r="G25" s="362">
        <f t="shared" si="6"/>
        <v>71520.934750745582</v>
      </c>
    </row>
  </sheetData>
  <mergeCells count="1">
    <mergeCell ref="C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workbookViewId="0">
      <selection activeCell="B14" sqref="B14"/>
    </sheetView>
  </sheetViews>
  <sheetFormatPr defaultColWidth="9.109375" defaultRowHeight="14.4"/>
  <cols>
    <col min="1" max="1" width="9.109375" style="234"/>
    <col min="2" max="2" width="35.33203125" style="234" customWidth="1"/>
    <col min="3" max="3" width="15.33203125" style="234" customWidth="1"/>
    <col min="4" max="16384" width="9.109375" style="234"/>
  </cols>
  <sheetData>
    <row r="1" spans="2:7">
      <c r="B1" s="266" t="s">
        <v>618</v>
      </c>
      <c r="C1" s="266"/>
      <c r="D1" s="234">
        <v>2024</v>
      </c>
      <c r="E1" s="234">
        <v>2025</v>
      </c>
      <c r="F1" s="234">
        <v>2026</v>
      </c>
    </row>
    <row r="2" spans="2:7">
      <c r="B2" s="234" t="s">
        <v>619</v>
      </c>
      <c r="C2" s="266"/>
      <c r="D2" s="234">
        <v>1491</v>
      </c>
      <c r="E2" s="234">
        <v>1565</v>
      </c>
      <c r="F2" s="234">
        <v>1640</v>
      </c>
    </row>
    <row r="3" spans="2:7">
      <c r="B3" s="234" t="s">
        <v>620</v>
      </c>
      <c r="D3" s="234">
        <v>596</v>
      </c>
      <c r="E3" s="234">
        <v>626</v>
      </c>
      <c r="F3" s="234">
        <v>656</v>
      </c>
    </row>
    <row r="4" spans="2:7" ht="28.8">
      <c r="B4" s="957" t="s">
        <v>621</v>
      </c>
      <c r="C4" s="398" t="s">
        <v>465</v>
      </c>
      <c r="D4" s="958" t="s">
        <v>622</v>
      </c>
      <c r="E4" s="958" t="s">
        <v>623</v>
      </c>
      <c r="F4" s="958" t="s">
        <v>624</v>
      </c>
      <c r="G4" s="959" t="s">
        <v>625</v>
      </c>
    </row>
    <row r="5" spans="2:7" ht="26.25" customHeight="1">
      <c r="B5" s="957"/>
      <c r="C5" s="398"/>
      <c r="D5" s="958"/>
      <c r="E5" s="958"/>
      <c r="F5" s="958"/>
      <c r="G5" s="959"/>
    </row>
    <row r="6" spans="2:7">
      <c r="B6" s="399" t="s">
        <v>626</v>
      </c>
      <c r="C6" s="399"/>
      <c r="D6" s="400"/>
      <c r="E6" s="400"/>
      <c r="F6" s="400"/>
      <c r="G6" s="401"/>
    </row>
    <row r="7" spans="2:7">
      <c r="B7" s="399" t="s">
        <v>627</v>
      </c>
      <c r="C7" s="399"/>
      <c r="D7" s="400">
        <v>50</v>
      </c>
      <c r="E7" s="400">
        <v>2</v>
      </c>
      <c r="F7" s="400">
        <v>120</v>
      </c>
      <c r="G7" s="401">
        <f>E7*F7*12*117%</f>
        <v>3369.6</v>
      </c>
    </row>
    <row r="8" spans="2:7">
      <c r="B8" s="400" t="s">
        <v>628</v>
      </c>
      <c r="C8" s="400" t="s">
        <v>515</v>
      </c>
      <c r="D8" s="400">
        <v>25</v>
      </c>
      <c r="E8" s="400">
        <v>3</v>
      </c>
      <c r="F8" s="400">
        <v>60</v>
      </c>
      <c r="G8" s="402">
        <f>E8*F8*12*117%</f>
        <v>2527.1999999999998</v>
      </c>
    </row>
    <row r="9" spans="2:7">
      <c r="B9" s="403" t="s">
        <v>629</v>
      </c>
      <c r="C9" s="403"/>
      <c r="D9" s="403"/>
      <c r="E9" s="403"/>
      <c r="F9" s="403">
        <f>SUM(F8:F8)</f>
        <v>60</v>
      </c>
      <c r="G9" s="403">
        <f>SUM(G8:G8)</f>
        <v>2527.1999999999998</v>
      </c>
    </row>
    <row r="10" spans="2:7" s="374" customFormat="1">
      <c r="B10" s="404" t="s">
        <v>630</v>
      </c>
      <c r="C10" s="404"/>
      <c r="D10" s="405"/>
      <c r="E10" s="405"/>
      <c r="F10" s="405"/>
      <c r="G10" s="406"/>
    </row>
    <row r="11" spans="2:7" s="374" customFormat="1">
      <c r="B11" s="407" t="s">
        <v>631</v>
      </c>
      <c r="C11" s="404"/>
      <c r="D11" s="405"/>
      <c r="E11" s="405">
        <v>1000</v>
      </c>
      <c r="F11" s="405">
        <v>12</v>
      </c>
      <c r="G11" s="406">
        <f>E11*F11</f>
        <v>12000</v>
      </c>
    </row>
    <row r="12" spans="2:7" s="374" customFormat="1">
      <c r="B12" s="408" t="s">
        <v>629</v>
      </c>
      <c r="C12" s="408"/>
      <c r="D12" s="408"/>
      <c r="E12" s="408"/>
      <c r="F12" s="408"/>
      <c r="G12" s="409">
        <f>SUM(G11)</f>
        <v>12000</v>
      </c>
    </row>
    <row r="13" spans="2:7" s="374" customFormat="1">
      <c r="B13" s="404" t="s">
        <v>632</v>
      </c>
      <c r="C13" s="404"/>
      <c r="D13" s="405"/>
      <c r="E13" s="405"/>
      <c r="F13" s="405"/>
      <c r="G13" s="406"/>
    </row>
    <row r="14" spans="2:7" s="374" customFormat="1" ht="57.6">
      <c r="B14" s="405" t="s">
        <v>633</v>
      </c>
      <c r="C14" s="405" t="s">
        <v>535</v>
      </c>
      <c r="D14" s="405"/>
      <c r="E14" s="405">
        <v>300</v>
      </c>
      <c r="F14" s="405">
        <v>24</v>
      </c>
      <c r="G14" s="409">
        <f>E14*F14</f>
        <v>7200</v>
      </c>
    </row>
    <row r="15" spans="2:7">
      <c r="B15" s="403" t="s">
        <v>629</v>
      </c>
      <c r="C15" s="403"/>
      <c r="D15" s="410"/>
      <c r="E15" s="410"/>
      <c r="F15" s="410"/>
      <c r="G15" s="411">
        <f>G14</f>
        <v>7200</v>
      </c>
    </row>
    <row r="16" spans="2:7">
      <c r="B16" s="234" t="s">
        <v>92</v>
      </c>
      <c r="G16" s="266">
        <f>G9+G12+G15</f>
        <v>21727.200000000001</v>
      </c>
    </row>
    <row r="18" spans="6:7">
      <c r="F18" s="388" t="s">
        <v>515</v>
      </c>
      <c r="G18" s="412">
        <f>SUMIF(C:C,#REF!,G:G)</f>
        <v>0</v>
      </c>
    </row>
    <row r="19" spans="6:7">
      <c r="F19" s="388" t="s">
        <v>528</v>
      </c>
      <c r="G19" s="412">
        <f>SUMIF(C:C,#REF!,G:G)</f>
        <v>0</v>
      </c>
    </row>
    <row r="20" spans="6:7">
      <c r="F20" s="388" t="s">
        <v>535</v>
      </c>
      <c r="G20" s="412">
        <f>SUMIF(C:C,C14,G:G)</f>
        <v>7200</v>
      </c>
    </row>
  </sheetData>
  <autoFilter ref="B4:G15"/>
  <mergeCells count="5">
    <mergeCell ref="B4:B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9"/>
  <sheetViews>
    <sheetView topLeftCell="A13" zoomScale="115" zoomScaleNormal="115" workbookViewId="0">
      <selection activeCell="H9" sqref="H9"/>
    </sheetView>
  </sheetViews>
  <sheetFormatPr defaultColWidth="14.44140625" defaultRowHeight="15" customHeight="1"/>
  <cols>
    <col min="1" max="1" width="8.88671875" style="129" customWidth="1"/>
    <col min="2" max="2" width="42.33203125" style="129" customWidth="1"/>
    <col min="3" max="3" width="8.88671875" style="129" customWidth="1"/>
    <col min="4" max="4" width="12.44140625" style="129" customWidth="1"/>
    <col min="5" max="5" width="8.88671875" style="129" customWidth="1"/>
    <col min="6" max="6" width="10.33203125" style="129" customWidth="1"/>
    <col min="7" max="7" width="9.88671875" style="129" customWidth="1"/>
    <col min="8" max="8" width="13.6640625" style="129" customWidth="1"/>
    <col min="9" max="10" width="13.44140625" style="129" customWidth="1"/>
    <col min="11" max="11" width="26.109375" style="129" customWidth="1"/>
    <col min="12" max="12" width="14.44140625" style="129"/>
    <col min="13" max="13" width="6.33203125" style="129" customWidth="1"/>
    <col min="14" max="16384" width="14.44140625" style="129"/>
  </cols>
  <sheetData>
    <row r="1" spans="1:26" ht="14.4">
      <c r="A1" s="126"/>
      <c r="B1" s="126"/>
      <c r="C1" s="126"/>
      <c r="D1" s="126"/>
      <c r="E1" s="126"/>
      <c r="F1" s="126"/>
      <c r="G1" s="126"/>
      <c r="H1" s="126"/>
      <c r="I1" s="127"/>
      <c r="J1" s="126"/>
      <c r="K1" s="128"/>
    </row>
    <row r="2" spans="1:26" ht="21" customHeight="1">
      <c r="A2" s="984" t="s">
        <v>317</v>
      </c>
      <c r="B2" s="985"/>
      <c r="C2" s="985"/>
      <c r="D2" s="985"/>
      <c r="E2" s="985"/>
      <c r="F2" s="985"/>
      <c r="G2" s="985"/>
      <c r="H2" s="985"/>
      <c r="I2" s="985"/>
      <c r="J2" s="985"/>
      <c r="K2" s="128"/>
    </row>
    <row r="3" spans="1:26" ht="32.25" customHeight="1">
      <c r="A3" s="986" t="s">
        <v>274</v>
      </c>
      <c r="B3" s="965"/>
      <c r="C3" s="986" t="s">
        <v>275</v>
      </c>
      <c r="D3" s="964"/>
      <c r="E3" s="964"/>
      <c r="F3" s="964"/>
      <c r="G3" s="965"/>
      <c r="H3" s="130" t="s">
        <v>318</v>
      </c>
      <c r="I3" s="130" t="s">
        <v>319</v>
      </c>
      <c r="J3" s="130" t="s">
        <v>320</v>
      </c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</row>
    <row r="4" spans="1:26" ht="17.25" customHeight="1">
      <c r="A4" s="970" t="s">
        <v>279</v>
      </c>
      <c r="B4" s="964"/>
      <c r="C4" s="964"/>
      <c r="D4" s="964"/>
      <c r="E4" s="964"/>
      <c r="F4" s="964"/>
      <c r="G4" s="964"/>
      <c r="H4" s="964"/>
      <c r="I4" s="964"/>
      <c r="J4" s="132"/>
      <c r="K4" s="128"/>
    </row>
    <row r="5" spans="1:26" ht="24" customHeight="1">
      <c r="A5" s="963" t="s">
        <v>280</v>
      </c>
      <c r="B5" s="965"/>
      <c r="C5" s="963" t="s">
        <v>868</v>
      </c>
      <c r="D5" s="964"/>
      <c r="E5" s="964"/>
      <c r="F5" s="964"/>
      <c r="G5" s="965"/>
      <c r="H5" s="133">
        <f t="shared" ref="H5:J5" si="0">500*12</f>
        <v>6000</v>
      </c>
      <c r="I5" s="133">
        <f t="shared" si="0"/>
        <v>6000</v>
      </c>
      <c r="J5" s="133">
        <f t="shared" si="0"/>
        <v>6000</v>
      </c>
      <c r="K5" s="128"/>
    </row>
    <row r="6" spans="1:26" ht="24" customHeight="1">
      <c r="A6" s="963" t="s">
        <v>280</v>
      </c>
      <c r="B6" s="965"/>
      <c r="C6" s="963" t="s">
        <v>869</v>
      </c>
      <c r="D6" s="964"/>
      <c r="E6" s="964"/>
      <c r="F6" s="964"/>
      <c r="G6" s="965"/>
      <c r="H6" s="133">
        <f t="shared" ref="H6:J6" si="1">350*12</f>
        <v>4200</v>
      </c>
      <c r="I6" s="133">
        <f t="shared" si="1"/>
        <v>4200</v>
      </c>
      <c r="J6" s="133">
        <f t="shared" si="1"/>
        <v>4200</v>
      </c>
      <c r="K6" s="128"/>
    </row>
    <row r="7" spans="1:26" ht="30" customHeight="1">
      <c r="A7" s="963" t="s">
        <v>280</v>
      </c>
      <c r="B7" s="965"/>
      <c r="C7" s="963" t="s">
        <v>870</v>
      </c>
      <c r="D7" s="964"/>
      <c r="E7" s="964"/>
      <c r="F7" s="964"/>
      <c r="G7" s="965"/>
      <c r="H7" s="133">
        <f t="shared" ref="H7:J7" si="2">400*12</f>
        <v>4800</v>
      </c>
      <c r="I7" s="133">
        <f t="shared" si="2"/>
        <v>4800</v>
      </c>
      <c r="J7" s="133">
        <f t="shared" si="2"/>
        <v>4800</v>
      </c>
      <c r="K7" s="128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</row>
    <row r="8" spans="1:26" ht="24" customHeight="1">
      <c r="A8" s="963" t="s">
        <v>280</v>
      </c>
      <c r="B8" s="965"/>
      <c r="C8" s="963" t="s">
        <v>788</v>
      </c>
      <c r="D8" s="964"/>
      <c r="E8" s="964"/>
      <c r="F8" s="964"/>
      <c r="G8" s="965"/>
      <c r="H8" s="133">
        <f>180*12*2</f>
        <v>4320</v>
      </c>
      <c r="I8" s="133">
        <f t="shared" ref="I8:J8" si="3">180*12*2</f>
        <v>4320</v>
      </c>
      <c r="J8" s="133">
        <f t="shared" si="3"/>
        <v>4320</v>
      </c>
      <c r="K8" s="128"/>
    </row>
    <row r="9" spans="1:26" ht="48" customHeight="1">
      <c r="A9" s="963" t="s">
        <v>283</v>
      </c>
      <c r="B9" s="965"/>
      <c r="C9" s="963" t="s">
        <v>321</v>
      </c>
      <c r="D9" s="964"/>
      <c r="E9" s="964"/>
      <c r="F9" s="964"/>
      <c r="G9" s="965"/>
      <c r="H9" s="133">
        <f t="shared" ref="H9:J9" si="4">200*12</f>
        <v>2400</v>
      </c>
      <c r="I9" s="133">
        <f t="shared" si="4"/>
        <v>2400</v>
      </c>
      <c r="J9" s="133">
        <f t="shared" si="4"/>
        <v>2400</v>
      </c>
      <c r="K9" s="128"/>
    </row>
    <row r="10" spans="1:26" ht="24" customHeight="1">
      <c r="A10" s="963" t="s">
        <v>280</v>
      </c>
      <c r="B10" s="965"/>
      <c r="C10" s="963" t="s">
        <v>287</v>
      </c>
      <c r="D10" s="964"/>
      <c r="E10" s="964"/>
      <c r="F10" s="964"/>
      <c r="G10" s="965"/>
      <c r="H10" s="133">
        <f t="shared" ref="H10:J10" si="5">(H5+H6+H7+H8+H9)*17%</f>
        <v>3692.4</v>
      </c>
      <c r="I10" s="133">
        <f t="shared" si="5"/>
        <v>3692.4</v>
      </c>
      <c r="J10" s="133">
        <f t="shared" si="5"/>
        <v>3692.4</v>
      </c>
      <c r="K10" s="128"/>
    </row>
    <row r="11" spans="1:26" ht="23.25" customHeight="1">
      <c r="A11" s="970" t="s">
        <v>288</v>
      </c>
      <c r="B11" s="965"/>
      <c r="C11" s="970"/>
      <c r="D11" s="964"/>
      <c r="E11" s="964"/>
      <c r="F11" s="964"/>
      <c r="G11" s="965"/>
      <c r="H11" s="135">
        <f t="shared" ref="H11:J11" si="6">SUM(H5:H10)</f>
        <v>25412.400000000001</v>
      </c>
      <c r="I11" s="135">
        <f t="shared" si="6"/>
        <v>25412.400000000001</v>
      </c>
      <c r="J11" s="135">
        <f t="shared" si="6"/>
        <v>25412.400000000001</v>
      </c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</row>
    <row r="12" spans="1:26" ht="22.5" customHeight="1">
      <c r="A12" s="981" t="s">
        <v>322</v>
      </c>
      <c r="B12" s="964"/>
      <c r="C12" s="964"/>
      <c r="D12" s="964"/>
      <c r="E12" s="964"/>
      <c r="F12" s="964"/>
      <c r="G12" s="964"/>
      <c r="H12" s="964"/>
      <c r="I12" s="964"/>
      <c r="J12" s="965"/>
      <c r="K12" s="128"/>
    </row>
    <row r="13" spans="1:26" ht="20.25" customHeight="1">
      <c r="A13" s="982" t="s">
        <v>323</v>
      </c>
      <c r="B13" s="964"/>
      <c r="C13" s="964"/>
      <c r="D13" s="964"/>
      <c r="E13" s="964"/>
      <c r="F13" s="964"/>
      <c r="G13" s="964"/>
      <c r="H13" s="964"/>
      <c r="I13" s="964"/>
      <c r="J13" s="965"/>
      <c r="K13" s="128"/>
    </row>
    <row r="14" spans="1:26" ht="30.75" customHeight="1">
      <c r="A14" s="963" t="s">
        <v>291</v>
      </c>
      <c r="B14" s="965"/>
      <c r="C14" s="975" t="s">
        <v>324</v>
      </c>
      <c r="D14" s="976"/>
      <c r="E14" s="976"/>
      <c r="F14" s="976"/>
      <c r="G14" s="968"/>
      <c r="H14" s="133">
        <f t="shared" ref="H14:J14" si="7">700*12</f>
        <v>8400</v>
      </c>
      <c r="I14" s="133">
        <f t="shared" si="7"/>
        <v>8400</v>
      </c>
      <c r="J14" s="133">
        <f t="shared" si="7"/>
        <v>8400</v>
      </c>
      <c r="K14" s="128"/>
    </row>
    <row r="15" spans="1:26" ht="21.75" customHeight="1">
      <c r="A15" s="983"/>
      <c r="B15" s="976"/>
      <c r="C15" s="976"/>
      <c r="D15" s="976"/>
      <c r="E15" s="976"/>
      <c r="F15" s="976"/>
      <c r="G15" s="976"/>
      <c r="H15" s="976"/>
      <c r="I15" s="976"/>
      <c r="J15" s="968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</row>
    <row r="16" spans="1:26" ht="58.5" customHeight="1">
      <c r="A16" s="963"/>
      <c r="B16" s="965"/>
      <c r="C16" s="963"/>
      <c r="D16" s="964"/>
      <c r="E16" s="964"/>
      <c r="F16" s="964"/>
      <c r="G16" s="965"/>
      <c r="H16" s="133">
        <v>0</v>
      </c>
      <c r="I16" s="133">
        <v>0</v>
      </c>
      <c r="J16" s="133">
        <v>0</v>
      </c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</row>
    <row r="17" spans="1:11" ht="21.75" customHeight="1">
      <c r="A17" s="973"/>
      <c r="B17" s="964"/>
      <c r="C17" s="964"/>
      <c r="D17" s="964"/>
      <c r="E17" s="964"/>
      <c r="F17" s="964"/>
      <c r="G17" s="964"/>
      <c r="H17" s="964"/>
      <c r="I17" s="964"/>
      <c r="J17" s="965"/>
      <c r="K17" s="128"/>
    </row>
    <row r="18" spans="1:11" ht="58.5" customHeight="1">
      <c r="A18" s="974"/>
      <c r="B18" s="965"/>
      <c r="C18" s="975"/>
      <c r="D18" s="976"/>
      <c r="E18" s="976"/>
      <c r="F18" s="976"/>
      <c r="G18" s="968"/>
      <c r="H18" s="133"/>
      <c r="I18" s="133"/>
      <c r="J18" s="133"/>
      <c r="K18" s="220"/>
    </row>
    <row r="19" spans="1:11" ht="21" customHeight="1">
      <c r="A19" s="977" t="s">
        <v>325</v>
      </c>
      <c r="B19" s="961"/>
      <c r="C19" s="961"/>
      <c r="D19" s="961"/>
      <c r="E19" s="961"/>
      <c r="F19" s="961"/>
      <c r="G19" s="961"/>
      <c r="H19" s="961"/>
      <c r="I19" s="961"/>
      <c r="J19" s="962"/>
      <c r="K19" s="128"/>
    </row>
    <row r="20" spans="1:11" ht="30" customHeight="1">
      <c r="A20" s="978" t="s">
        <v>326</v>
      </c>
      <c r="B20" s="962"/>
      <c r="C20" s="979" t="s">
        <v>327</v>
      </c>
      <c r="D20" s="961"/>
      <c r="E20" s="961"/>
      <c r="F20" s="961"/>
      <c r="G20" s="962"/>
      <c r="H20" s="137">
        <f>80*30</f>
        <v>2400</v>
      </c>
      <c r="I20" s="137">
        <f t="shared" ref="I20:J20" si="8">80*30</f>
        <v>2400</v>
      </c>
      <c r="J20" s="137">
        <f t="shared" si="8"/>
        <v>2400</v>
      </c>
      <c r="K20" s="128"/>
    </row>
    <row r="21" spans="1:11" ht="21" customHeight="1">
      <c r="A21" s="977" t="s">
        <v>328</v>
      </c>
      <c r="B21" s="961"/>
      <c r="C21" s="961"/>
      <c r="D21" s="961"/>
      <c r="E21" s="961"/>
      <c r="F21" s="961"/>
      <c r="G21" s="961"/>
      <c r="H21" s="961"/>
      <c r="I21" s="961"/>
      <c r="J21" s="962"/>
      <c r="K21" s="128"/>
    </row>
    <row r="22" spans="1:11" ht="31.5" customHeight="1">
      <c r="A22" s="972" t="s">
        <v>87</v>
      </c>
      <c r="B22" s="965"/>
      <c r="C22" s="980" t="s">
        <v>789</v>
      </c>
      <c r="D22" s="964"/>
      <c r="E22" s="964"/>
      <c r="F22" s="964"/>
      <c r="G22" s="964"/>
      <c r="H22" s="138">
        <f>30*12</f>
        <v>360</v>
      </c>
      <c r="I22" s="138">
        <f t="shared" ref="I22:J22" si="9">30*12</f>
        <v>360</v>
      </c>
      <c r="J22" s="138">
        <f t="shared" si="9"/>
        <v>360</v>
      </c>
      <c r="K22" s="128"/>
    </row>
    <row r="23" spans="1:11" ht="31.5" customHeight="1">
      <c r="A23" s="972" t="s">
        <v>329</v>
      </c>
      <c r="B23" s="965"/>
      <c r="C23" s="972" t="s">
        <v>790</v>
      </c>
      <c r="D23" s="964"/>
      <c r="E23" s="964"/>
      <c r="F23" s="964"/>
      <c r="G23" s="964"/>
      <c r="H23" s="138">
        <f>6*12</f>
        <v>72</v>
      </c>
      <c r="I23" s="138">
        <f t="shared" ref="I23:J23" si="10">6*12</f>
        <v>72</v>
      </c>
      <c r="J23" s="138">
        <f t="shared" si="10"/>
        <v>72</v>
      </c>
      <c r="K23" s="128"/>
    </row>
    <row r="24" spans="1:11" ht="42.75" customHeight="1">
      <c r="A24" s="967" t="s">
        <v>300</v>
      </c>
      <c r="B24" s="968"/>
      <c r="C24" s="963" t="s">
        <v>871</v>
      </c>
      <c r="D24" s="964"/>
      <c r="E24" s="964"/>
      <c r="F24" s="964"/>
      <c r="G24" s="965"/>
      <c r="H24" s="139">
        <v>3000</v>
      </c>
      <c r="I24" s="139"/>
      <c r="J24" s="139"/>
      <c r="K24" s="128"/>
    </row>
    <row r="25" spans="1:11" ht="24" customHeight="1">
      <c r="A25" s="969" t="s">
        <v>330</v>
      </c>
      <c r="B25" s="964"/>
      <c r="C25" s="964"/>
      <c r="D25" s="964"/>
      <c r="E25" s="964"/>
      <c r="F25" s="964"/>
      <c r="G25" s="964"/>
      <c r="H25" s="964"/>
      <c r="I25" s="964"/>
      <c r="J25" s="965"/>
      <c r="K25" s="128"/>
    </row>
    <row r="26" spans="1:11" ht="27.75" customHeight="1">
      <c r="A26" s="963" t="s">
        <v>331</v>
      </c>
      <c r="B26" s="965"/>
      <c r="C26" s="963" t="s">
        <v>332</v>
      </c>
      <c r="D26" s="964"/>
      <c r="E26" s="964"/>
      <c r="F26" s="964"/>
      <c r="G26" s="965"/>
      <c r="H26" s="139">
        <f>12*12*2</f>
        <v>288</v>
      </c>
      <c r="I26" s="139">
        <f t="shared" ref="I26:J26" si="11">12*12*2</f>
        <v>288</v>
      </c>
      <c r="J26" s="139">
        <f t="shared" si="11"/>
        <v>288</v>
      </c>
      <c r="K26" s="128"/>
    </row>
    <row r="27" spans="1:11" ht="24" customHeight="1">
      <c r="A27" s="970" t="s">
        <v>333</v>
      </c>
      <c r="B27" s="965"/>
      <c r="C27" s="971"/>
      <c r="D27" s="964"/>
      <c r="E27" s="964"/>
      <c r="F27" s="964"/>
      <c r="G27" s="965"/>
      <c r="H27" s="140">
        <f>H11+H14+H16+H18+H20+H22+H23+H24+H26</f>
        <v>39932.400000000001</v>
      </c>
      <c r="I27" s="140">
        <f t="shared" ref="I27:J27" si="12">I11+I14+I16+I18+I20+I22+I23+I24+I26</f>
        <v>36932.400000000001</v>
      </c>
      <c r="J27" s="140">
        <f t="shared" si="12"/>
        <v>36932.400000000001</v>
      </c>
      <c r="K27" s="128"/>
    </row>
    <row r="28" spans="1:11" ht="29.25" customHeight="1">
      <c r="A28" s="960" t="s">
        <v>334</v>
      </c>
      <c r="B28" s="961"/>
      <c r="C28" s="961"/>
      <c r="D28" s="961"/>
      <c r="E28" s="961"/>
      <c r="F28" s="961"/>
      <c r="G28" s="961"/>
      <c r="H28" s="961"/>
      <c r="I28" s="961"/>
      <c r="J28" s="962"/>
      <c r="K28" s="128"/>
    </row>
    <row r="29" spans="1:11" ht="28.5" customHeight="1">
      <c r="A29" s="963" t="s">
        <v>335</v>
      </c>
      <c r="B29" s="964"/>
      <c r="C29" s="963" t="s">
        <v>791</v>
      </c>
      <c r="D29" s="964"/>
      <c r="E29" s="964"/>
      <c r="F29" s="964"/>
      <c r="G29" s="965"/>
      <c r="H29" s="133">
        <f>30*12</f>
        <v>360</v>
      </c>
      <c r="I29" s="133">
        <f t="shared" ref="I29:J29" si="13">30*12</f>
        <v>360</v>
      </c>
      <c r="J29" s="133">
        <f t="shared" si="13"/>
        <v>360</v>
      </c>
      <c r="K29" s="128"/>
    </row>
    <row r="30" spans="1:11" ht="24" customHeight="1">
      <c r="A30" s="966" t="s">
        <v>303</v>
      </c>
      <c r="B30" s="964"/>
      <c r="C30" s="964"/>
      <c r="D30" s="964"/>
      <c r="E30" s="964"/>
      <c r="F30" s="964"/>
      <c r="G30" s="965"/>
      <c r="H30" s="141">
        <f t="shared" ref="H30:J30" si="14">H27+H29</f>
        <v>40292.400000000001</v>
      </c>
      <c r="I30" s="141">
        <f t="shared" si="14"/>
        <v>37292.400000000001</v>
      </c>
      <c r="J30" s="141">
        <f t="shared" si="14"/>
        <v>37292.400000000001</v>
      </c>
      <c r="K30" s="128"/>
    </row>
    <row r="31" spans="1:11" ht="15.75" customHeight="1">
      <c r="A31" s="142"/>
      <c r="B31" s="142"/>
      <c r="C31" s="142"/>
      <c r="D31" s="142"/>
      <c r="E31" s="142"/>
      <c r="F31" s="142"/>
      <c r="G31" s="142"/>
      <c r="H31" s="142"/>
      <c r="I31" s="143"/>
      <c r="J31" s="142"/>
      <c r="K31" s="128"/>
    </row>
    <row r="32" spans="1:11" ht="15.75" customHeight="1">
      <c r="A32" s="142"/>
      <c r="B32" s="142"/>
      <c r="C32" s="142"/>
      <c r="D32" s="142"/>
      <c r="E32" s="142"/>
      <c r="F32" s="142"/>
      <c r="G32" s="142"/>
      <c r="H32" s="142"/>
      <c r="I32" s="143"/>
      <c r="J32" s="142"/>
      <c r="K32" s="128"/>
    </row>
    <row r="33" spans="1:11" ht="15.75" customHeight="1">
      <c r="A33" s="142"/>
      <c r="B33" s="142" t="s">
        <v>336</v>
      </c>
      <c r="C33" s="142"/>
      <c r="D33" s="142"/>
      <c r="E33" s="142"/>
      <c r="F33" s="142"/>
      <c r="G33" s="142"/>
      <c r="H33" s="142">
        <v>7000</v>
      </c>
      <c r="I33" s="143">
        <v>7000</v>
      </c>
      <c r="J33" s="142">
        <v>7000</v>
      </c>
      <c r="K33" s="128"/>
    </row>
    <row r="34" spans="1:11" ht="15.75" customHeight="1">
      <c r="A34" s="142"/>
      <c r="B34" s="142" t="s">
        <v>337</v>
      </c>
      <c r="C34" s="142"/>
      <c r="D34" s="142"/>
      <c r="E34" s="142"/>
      <c r="F34" s="142"/>
      <c r="G34" s="142"/>
      <c r="H34" s="142">
        <f>262*4</f>
        <v>1048</v>
      </c>
      <c r="I34" s="142">
        <f t="shared" ref="I34:J34" si="15">262*4</f>
        <v>1048</v>
      </c>
      <c r="J34" s="142">
        <f t="shared" si="15"/>
        <v>1048</v>
      </c>
      <c r="K34" s="128"/>
    </row>
    <row r="35" spans="1:11" ht="15.75" customHeight="1">
      <c r="A35" s="142"/>
      <c r="B35" s="142"/>
      <c r="C35" s="142"/>
      <c r="D35" s="142"/>
      <c r="E35" s="142"/>
      <c r="F35" s="142"/>
      <c r="G35" s="142"/>
      <c r="H35" s="142"/>
      <c r="I35" s="143"/>
      <c r="J35" s="142"/>
      <c r="K35" s="128"/>
    </row>
    <row r="36" spans="1:11" ht="15.75" customHeight="1">
      <c r="A36" s="142"/>
      <c r="B36" s="142" t="s">
        <v>316</v>
      </c>
      <c r="C36" s="142"/>
      <c r="D36" s="142"/>
      <c r="E36" s="142"/>
      <c r="F36" s="142"/>
      <c r="G36" s="142"/>
      <c r="H36" s="142"/>
      <c r="I36" s="143"/>
      <c r="J36" s="142"/>
      <c r="K36" s="128"/>
    </row>
    <row r="37" spans="1:11" ht="15.75" customHeight="1">
      <c r="A37" s="142"/>
      <c r="B37" s="142" t="s">
        <v>338</v>
      </c>
      <c r="C37" s="142">
        <v>2024</v>
      </c>
      <c r="D37" s="142">
        <v>2025</v>
      </c>
      <c r="E37" s="142">
        <v>2026</v>
      </c>
      <c r="F37" s="142"/>
      <c r="G37" s="142"/>
      <c r="H37" s="142"/>
      <c r="I37" s="143"/>
      <c r="J37" s="142"/>
      <c r="K37" s="128"/>
    </row>
    <row r="38" spans="1:11" ht="15.75" customHeight="1">
      <c r="A38" s="142"/>
      <c r="B38" s="142"/>
      <c r="C38" s="142">
        <v>235</v>
      </c>
      <c r="D38" s="142">
        <v>240</v>
      </c>
      <c r="E38" s="142">
        <v>250</v>
      </c>
      <c r="F38" s="142"/>
      <c r="G38" s="142"/>
      <c r="H38" s="142">
        <f>C38*$D$39*12</f>
        <v>2043.7166666666667</v>
      </c>
      <c r="I38" s="142">
        <f t="shared" ref="I38:J38" si="16">D38*$D$39*12</f>
        <v>2087.1999999999998</v>
      </c>
      <c r="J38" s="142">
        <f t="shared" si="16"/>
        <v>2174.166666666667</v>
      </c>
      <c r="K38" s="128"/>
    </row>
    <row r="39" spans="1:11" ht="44.25" customHeight="1">
      <c r="A39" s="727" t="s">
        <v>867</v>
      </c>
      <c r="B39" s="142" t="s">
        <v>339</v>
      </c>
      <c r="C39" s="142"/>
      <c r="D39" s="142">
        <f>4/144*8+4.5/144*2+0.22*2</f>
        <v>0.72472222222222227</v>
      </c>
      <c r="E39" s="142"/>
      <c r="F39" s="142"/>
      <c r="G39" s="142"/>
      <c r="H39" s="142"/>
      <c r="I39" s="143"/>
      <c r="J39" s="142"/>
      <c r="K39" s="128"/>
    </row>
    <row r="40" spans="1:11" ht="15.75" customHeight="1">
      <c r="A40" s="142"/>
      <c r="B40" s="142"/>
      <c r="C40" s="142"/>
      <c r="D40" s="142"/>
      <c r="E40" s="142"/>
      <c r="F40" s="142"/>
      <c r="G40" s="142"/>
      <c r="H40" s="142"/>
      <c r="I40" s="143"/>
      <c r="J40" s="142"/>
      <c r="K40" s="128"/>
    </row>
    <row r="41" spans="1:11" ht="15.75" customHeight="1">
      <c r="A41" s="142"/>
      <c r="B41" s="142" t="s">
        <v>92</v>
      </c>
      <c r="C41" s="142"/>
      <c r="D41" s="142"/>
      <c r="E41" s="142"/>
      <c r="F41" s="142"/>
      <c r="G41" s="142"/>
      <c r="H41" s="146">
        <f>H38+H34+H33+H30</f>
        <v>50384.116666666669</v>
      </c>
      <c r="I41" s="146">
        <f t="shared" ref="I41:J41" si="17">I38+I34+I33+I30</f>
        <v>47427.600000000006</v>
      </c>
      <c r="J41" s="146">
        <f t="shared" si="17"/>
        <v>47514.566666666666</v>
      </c>
      <c r="K41" s="128"/>
    </row>
    <row r="42" spans="1:11" s="150" customFormat="1" ht="15.75" customHeight="1">
      <c r="A42" s="147"/>
      <c r="B42" s="147" t="s">
        <v>340</v>
      </c>
      <c r="C42" s="147"/>
      <c r="D42" s="147"/>
      <c r="E42" s="147"/>
      <c r="F42" s="147"/>
      <c r="G42" s="147"/>
      <c r="H42" s="147"/>
      <c r="I42" s="147"/>
      <c r="J42" s="148">
        <f>H41+I41+J41</f>
        <v>145326.28333333333</v>
      </c>
      <c r="K42" s="149"/>
    </row>
    <row r="43" spans="1:11" ht="15.75" customHeight="1">
      <c r="A43" s="142"/>
      <c r="B43" s="142"/>
      <c r="C43" s="142"/>
      <c r="D43" s="142"/>
      <c r="E43" s="142"/>
      <c r="F43" s="142"/>
      <c r="G43" s="142"/>
      <c r="H43" s="142"/>
      <c r="I43" s="143"/>
      <c r="J43" s="142"/>
      <c r="K43" s="128"/>
    </row>
    <row r="44" spans="1:11" ht="15.75" customHeight="1">
      <c r="A44" s="142"/>
      <c r="B44" s="142"/>
      <c r="C44" s="142"/>
      <c r="D44" s="142"/>
      <c r="E44" s="142"/>
      <c r="F44" s="142"/>
      <c r="G44" s="142"/>
      <c r="H44" s="142"/>
      <c r="I44" s="143"/>
      <c r="J44" s="146">
        <f>J42-J38-I38-H38</f>
        <v>139021.19999999998</v>
      </c>
      <c r="K44" s="128"/>
    </row>
    <row r="45" spans="1:11" ht="15.75" customHeight="1">
      <c r="A45" s="142"/>
      <c r="B45" s="142"/>
      <c r="C45" s="142"/>
      <c r="D45" s="142"/>
      <c r="E45" s="142"/>
      <c r="F45" s="142"/>
      <c r="G45" s="142"/>
      <c r="H45" s="142"/>
      <c r="I45" s="143"/>
      <c r="J45" s="142"/>
      <c r="K45" s="128"/>
    </row>
    <row r="46" spans="1:11" ht="15.75" customHeight="1">
      <c r="A46" s="142"/>
      <c r="B46" s="142"/>
      <c r="C46" s="142"/>
      <c r="D46" s="142"/>
      <c r="E46" s="142"/>
      <c r="F46" s="142"/>
      <c r="G46" s="142"/>
      <c r="H46" s="142"/>
      <c r="I46" s="143"/>
      <c r="J46" s="142"/>
      <c r="K46" s="128"/>
    </row>
    <row r="47" spans="1:11" ht="15.75" customHeight="1">
      <c r="A47" s="142"/>
      <c r="B47" s="142"/>
      <c r="C47" s="142"/>
      <c r="D47" s="142"/>
      <c r="E47" s="142"/>
      <c r="F47" s="142"/>
      <c r="G47" s="142"/>
      <c r="H47" s="142"/>
      <c r="I47" s="143"/>
      <c r="J47" s="142"/>
      <c r="K47" s="128"/>
    </row>
    <row r="48" spans="1:11" ht="15.75" customHeight="1">
      <c r="A48" s="142"/>
      <c r="B48" s="142"/>
      <c r="C48" s="142"/>
      <c r="D48" s="142">
        <f>500*83</f>
        <v>41500</v>
      </c>
      <c r="E48" s="142"/>
      <c r="F48" s="142"/>
      <c r="G48" s="142"/>
      <c r="H48" s="142"/>
      <c r="I48" s="143"/>
      <c r="J48" s="142"/>
      <c r="K48" s="128"/>
    </row>
    <row r="49" spans="1:11" ht="15.75" customHeight="1">
      <c r="A49" s="142"/>
      <c r="B49" s="142"/>
      <c r="C49" s="142"/>
      <c r="D49" s="142"/>
      <c r="E49" s="142"/>
      <c r="F49" s="142"/>
      <c r="G49" s="142"/>
      <c r="H49" s="142"/>
      <c r="I49" s="143"/>
      <c r="J49" s="142"/>
      <c r="K49" s="128"/>
    </row>
    <row r="50" spans="1:11" ht="15.75" customHeight="1">
      <c r="A50" s="142"/>
      <c r="B50" s="142"/>
      <c r="C50" s="142"/>
      <c r="D50" s="142"/>
      <c r="E50" s="142"/>
      <c r="F50" s="142"/>
      <c r="G50" s="142"/>
      <c r="H50" s="142"/>
      <c r="I50" s="143"/>
      <c r="J50" s="142"/>
      <c r="K50" s="128"/>
    </row>
    <row r="51" spans="1:11" ht="15.75" customHeight="1">
      <c r="A51" s="142"/>
      <c r="B51" s="142"/>
      <c r="C51" s="142"/>
      <c r="D51" s="142"/>
      <c r="E51" s="142"/>
      <c r="F51" s="142"/>
      <c r="G51" s="142"/>
      <c r="H51" s="142"/>
      <c r="I51" s="143"/>
      <c r="J51" s="142"/>
      <c r="K51" s="128"/>
    </row>
    <row r="52" spans="1:11" ht="15.75" customHeight="1">
      <c r="A52" s="142"/>
      <c r="B52" s="142"/>
      <c r="C52" s="142"/>
      <c r="D52" s="142"/>
      <c r="E52" s="142"/>
      <c r="F52" s="142"/>
      <c r="G52" s="142"/>
      <c r="H52" s="142"/>
      <c r="I52" s="143"/>
      <c r="J52" s="142"/>
      <c r="K52" s="128"/>
    </row>
    <row r="53" spans="1:11" ht="15.75" customHeight="1">
      <c r="A53" s="142"/>
      <c r="B53" s="142"/>
      <c r="C53" s="142"/>
      <c r="D53" s="142"/>
      <c r="E53" s="142"/>
      <c r="F53" s="142"/>
      <c r="G53" s="142"/>
      <c r="H53" s="142"/>
      <c r="I53" s="143"/>
      <c r="J53" s="142"/>
      <c r="K53" s="128"/>
    </row>
    <row r="54" spans="1:11" ht="15.75" customHeight="1">
      <c r="A54" s="142"/>
      <c r="B54" s="142"/>
      <c r="C54" s="142"/>
      <c r="D54" s="142"/>
      <c r="E54" s="142"/>
      <c r="F54" s="142"/>
      <c r="G54" s="142"/>
      <c r="H54" s="142"/>
      <c r="I54" s="143"/>
      <c r="J54" s="142"/>
      <c r="K54" s="128"/>
    </row>
    <row r="55" spans="1:11" ht="15.75" customHeight="1">
      <c r="A55" s="142"/>
      <c r="B55" s="142"/>
      <c r="C55" s="142"/>
      <c r="D55" s="142"/>
      <c r="E55" s="142"/>
      <c r="F55" s="142"/>
      <c r="G55" s="142"/>
      <c r="H55" s="142"/>
      <c r="I55" s="143"/>
      <c r="J55" s="142"/>
      <c r="K55" s="128"/>
    </row>
    <row r="56" spans="1:11" ht="15.75" customHeight="1">
      <c r="A56" s="142"/>
      <c r="B56" s="142"/>
      <c r="C56" s="142"/>
      <c r="D56" s="142"/>
      <c r="E56" s="142"/>
      <c r="F56" s="142"/>
      <c r="G56" s="142"/>
      <c r="H56" s="142"/>
      <c r="I56" s="143"/>
      <c r="J56" s="142"/>
      <c r="K56" s="128"/>
    </row>
    <row r="57" spans="1:11" ht="15.75" customHeight="1">
      <c r="A57" s="142"/>
      <c r="B57" s="142"/>
      <c r="C57" s="142"/>
      <c r="D57" s="142"/>
      <c r="E57" s="142"/>
      <c r="F57" s="142"/>
      <c r="G57" s="142"/>
      <c r="H57" s="142"/>
      <c r="I57" s="143"/>
      <c r="J57" s="142"/>
      <c r="K57" s="128"/>
    </row>
    <row r="58" spans="1:11" ht="15.75" customHeight="1">
      <c r="A58" s="142"/>
      <c r="B58" s="142"/>
      <c r="C58" s="142"/>
      <c r="D58" s="142"/>
      <c r="E58" s="142"/>
      <c r="F58" s="142"/>
      <c r="G58" s="142"/>
      <c r="H58" s="142"/>
      <c r="I58" s="143"/>
      <c r="J58" s="142"/>
      <c r="K58" s="128"/>
    </row>
    <row r="59" spans="1:11" ht="15.75" customHeight="1">
      <c r="A59" s="142"/>
      <c r="B59" s="142"/>
      <c r="C59" s="142"/>
      <c r="D59" s="142"/>
      <c r="E59" s="142"/>
      <c r="F59" s="142"/>
      <c r="G59" s="142"/>
      <c r="H59" s="142"/>
      <c r="I59" s="143"/>
      <c r="J59" s="142"/>
      <c r="K59" s="128"/>
    </row>
    <row r="60" spans="1:11" ht="15.75" customHeight="1">
      <c r="A60" s="142"/>
      <c r="B60" s="142"/>
      <c r="C60" s="142"/>
      <c r="D60" s="142"/>
      <c r="E60" s="142"/>
      <c r="F60" s="142"/>
      <c r="G60" s="142"/>
      <c r="H60" s="142"/>
      <c r="I60" s="143"/>
      <c r="J60" s="142"/>
      <c r="K60" s="128"/>
    </row>
    <row r="61" spans="1:11" ht="15.75" customHeight="1">
      <c r="A61" s="142"/>
      <c r="B61" s="142"/>
      <c r="C61" s="142"/>
      <c r="D61" s="142"/>
      <c r="E61" s="142"/>
      <c r="F61" s="142"/>
      <c r="G61" s="142"/>
      <c r="H61" s="142"/>
      <c r="I61" s="143"/>
      <c r="J61" s="142"/>
      <c r="K61" s="128"/>
    </row>
    <row r="62" spans="1:11" ht="15.75" customHeight="1">
      <c r="A62" s="142"/>
      <c r="B62" s="142"/>
      <c r="C62" s="142"/>
      <c r="D62" s="142"/>
      <c r="E62" s="142"/>
      <c r="F62" s="142"/>
      <c r="G62" s="142"/>
      <c r="H62" s="142"/>
      <c r="I62" s="143"/>
      <c r="J62" s="142"/>
      <c r="K62" s="128"/>
    </row>
    <row r="63" spans="1:11" ht="15.75" customHeight="1">
      <c r="A63" s="142"/>
      <c r="B63" s="142"/>
      <c r="C63" s="142"/>
      <c r="D63" s="142"/>
      <c r="E63" s="142"/>
      <c r="F63" s="142"/>
      <c r="G63" s="142"/>
      <c r="H63" s="142"/>
      <c r="I63" s="143"/>
      <c r="J63" s="142"/>
      <c r="K63" s="128"/>
    </row>
    <row r="64" spans="1:11" ht="15.75" customHeight="1">
      <c r="A64" s="142"/>
      <c r="B64" s="142"/>
      <c r="C64" s="142"/>
      <c r="D64" s="142"/>
      <c r="E64" s="142"/>
      <c r="F64" s="142"/>
      <c r="G64" s="142"/>
      <c r="H64" s="142"/>
      <c r="I64" s="143"/>
      <c r="J64" s="142"/>
      <c r="K64" s="128"/>
    </row>
    <row r="65" spans="1:11" ht="15.75" customHeight="1">
      <c r="A65" s="142"/>
      <c r="B65" s="142"/>
      <c r="C65" s="142"/>
      <c r="D65" s="142"/>
      <c r="E65" s="142"/>
      <c r="F65" s="142"/>
      <c r="G65" s="142"/>
      <c r="H65" s="142"/>
      <c r="I65" s="143"/>
      <c r="J65" s="142"/>
      <c r="K65" s="128"/>
    </row>
    <row r="66" spans="1:11" ht="15.75" customHeight="1">
      <c r="A66" s="142"/>
      <c r="B66" s="142"/>
      <c r="C66" s="142"/>
      <c r="D66" s="142"/>
      <c r="E66" s="142"/>
      <c r="F66" s="142"/>
      <c r="G66" s="142"/>
      <c r="H66" s="142"/>
      <c r="I66" s="143"/>
      <c r="J66" s="142"/>
      <c r="K66" s="128"/>
    </row>
    <row r="67" spans="1:11" ht="15.75" customHeight="1">
      <c r="A67" s="142"/>
      <c r="B67" s="142"/>
      <c r="C67" s="142"/>
      <c r="D67" s="142"/>
      <c r="E67" s="142"/>
      <c r="F67" s="142"/>
      <c r="G67" s="142"/>
      <c r="H67" s="142"/>
      <c r="I67" s="143"/>
      <c r="J67" s="142"/>
      <c r="K67" s="128"/>
    </row>
    <row r="68" spans="1:11" ht="15.75" customHeight="1">
      <c r="A68" s="142"/>
      <c r="B68" s="142"/>
      <c r="C68" s="142"/>
      <c r="D68" s="142"/>
      <c r="E68" s="142"/>
      <c r="F68" s="142"/>
      <c r="G68" s="142"/>
      <c r="H68" s="142"/>
      <c r="I68" s="143"/>
      <c r="J68" s="142"/>
      <c r="K68" s="128"/>
    </row>
    <row r="69" spans="1:11" ht="15.75" customHeight="1">
      <c r="A69" s="142"/>
      <c r="B69" s="142"/>
      <c r="C69" s="142"/>
      <c r="D69" s="142"/>
      <c r="E69" s="142"/>
      <c r="F69" s="142"/>
      <c r="G69" s="142"/>
      <c r="H69" s="142"/>
      <c r="I69" s="143"/>
      <c r="J69" s="142"/>
      <c r="K69" s="128"/>
    </row>
    <row r="70" spans="1:11" ht="15.75" customHeight="1">
      <c r="A70" s="142"/>
      <c r="B70" s="142"/>
      <c r="C70" s="142"/>
      <c r="D70" s="142"/>
      <c r="E70" s="142"/>
      <c r="F70" s="142"/>
      <c r="G70" s="142"/>
      <c r="H70" s="142"/>
      <c r="I70" s="143"/>
      <c r="J70" s="142"/>
      <c r="K70" s="128"/>
    </row>
    <row r="71" spans="1:11" ht="15.75" customHeight="1">
      <c r="A71" s="142"/>
      <c r="B71" s="142"/>
      <c r="C71" s="142"/>
      <c r="D71" s="142"/>
      <c r="E71" s="142"/>
      <c r="F71" s="142"/>
      <c r="G71" s="142"/>
      <c r="H71" s="142"/>
      <c r="I71" s="143"/>
      <c r="J71" s="142"/>
      <c r="K71" s="128"/>
    </row>
    <row r="72" spans="1:11" ht="15.75" customHeight="1">
      <c r="A72" s="142"/>
      <c r="B72" s="142"/>
      <c r="C72" s="142"/>
      <c r="D72" s="142"/>
      <c r="E72" s="142"/>
      <c r="F72" s="142"/>
      <c r="G72" s="142"/>
      <c r="H72" s="142"/>
      <c r="I72" s="143"/>
      <c r="J72" s="142"/>
      <c r="K72" s="128"/>
    </row>
    <row r="73" spans="1:11" ht="15.75" customHeight="1">
      <c r="A73" s="142"/>
      <c r="B73" s="142"/>
      <c r="C73" s="142"/>
      <c r="D73" s="142"/>
      <c r="E73" s="142"/>
      <c r="F73" s="142"/>
      <c r="G73" s="142"/>
      <c r="H73" s="142"/>
      <c r="I73" s="143"/>
      <c r="J73" s="142"/>
      <c r="K73" s="128"/>
    </row>
    <row r="74" spans="1:11" ht="15.75" customHeight="1">
      <c r="A74" s="142"/>
      <c r="B74" s="142"/>
      <c r="C74" s="142"/>
      <c r="D74" s="142"/>
      <c r="E74" s="142"/>
      <c r="F74" s="142"/>
      <c r="G74" s="142"/>
      <c r="H74" s="142"/>
      <c r="I74" s="143"/>
      <c r="J74" s="142"/>
      <c r="K74" s="128"/>
    </row>
    <row r="75" spans="1:11" ht="15.75" customHeight="1">
      <c r="A75" s="142"/>
      <c r="B75" s="142"/>
      <c r="C75" s="142"/>
      <c r="D75" s="142"/>
      <c r="E75" s="142"/>
      <c r="F75" s="142"/>
      <c r="G75" s="142"/>
      <c r="H75" s="142"/>
      <c r="I75" s="143"/>
      <c r="J75" s="142"/>
      <c r="K75" s="128"/>
    </row>
    <row r="76" spans="1:11" ht="15.75" customHeight="1">
      <c r="A76" s="142"/>
      <c r="B76" s="142"/>
      <c r="C76" s="142"/>
      <c r="D76" s="142"/>
      <c r="E76" s="142"/>
      <c r="F76" s="142"/>
      <c r="G76" s="142"/>
      <c r="H76" s="142"/>
      <c r="I76" s="143"/>
      <c r="J76" s="142"/>
      <c r="K76" s="128"/>
    </row>
    <row r="77" spans="1:11" ht="15.75" customHeight="1">
      <c r="A77" s="142"/>
      <c r="B77" s="142"/>
      <c r="C77" s="142"/>
      <c r="D77" s="142"/>
      <c r="E77" s="142"/>
      <c r="F77" s="142"/>
      <c r="G77" s="142"/>
      <c r="H77" s="142"/>
      <c r="I77" s="143"/>
      <c r="J77" s="142"/>
      <c r="K77" s="128"/>
    </row>
    <row r="78" spans="1:11" ht="15.75" customHeight="1">
      <c r="A78" s="142"/>
      <c r="B78" s="142"/>
      <c r="C78" s="142"/>
      <c r="D78" s="142"/>
      <c r="E78" s="142"/>
      <c r="F78" s="142"/>
      <c r="G78" s="142"/>
      <c r="H78" s="142"/>
      <c r="I78" s="143"/>
      <c r="J78" s="142"/>
      <c r="K78" s="128"/>
    </row>
    <row r="79" spans="1:11" ht="15.75" customHeight="1">
      <c r="A79" s="142"/>
      <c r="B79" s="142"/>
      <c r="C79" s="142"/>
      <c r="D79" s="142"/>
      <c r="E79" s="142"/>
      <c r="F79" s="142"/>
      <c r="G79" s="142"/>
      <c r="H79" s="142"/>
      <c r="I79" s="143"/>
      <c r="J79" s="142"/>
      <c r="K79" s="128"/>
    </row>
    <row r="80" spans="1:11" ht="15.75" customHeight="1">
      <c r="A80" s="142"/>
      <c r="B80" s="142"/>
      <c r="C80" s="142"/>
      <c r="D80" s="142"/>
      <c r="E80" s="142"/>
      <c r="F80" s="142"/>
      <c r="G80" s="142"/>
      <c r="H80" s="142"/>
      <c r="I80" s="143"/>
      <c r="J80" s="142"/>
      <c r="K80" s="128"/>
    </row>
    <row r="81" spans="1:11" ht="15.75" customHeight="1">
      <c r="A81" s="142"/>
      <c r="B81" s="142"/>
      <c r="C81" s="142"/>
      <c r="D81" s="142"/>
      <c r="E81" s="142"/>
      <c r="F81" s="142"/>
      <c r="G81" s="142"/>
      <c r="H81" s="142"/>
      <c r="I81" s="143"/>
      <c r="J81" s="142"/>
      <c r="K81" s="128"/>
    </row>
    <row r="82" spans="1:11" ht="15.75" customHeight="1">
      <c r="A82" s="142"/>
      <c r="B82" s="142"/>
      <c r="C82" s="142"/>
      <c r="D82" s="142"/>
      <c r="E82" s="142"/>
      <c r="F82" s="142"/>
      <c r="G82" s="142"/>
      <c r="H82" s="142"/>
      <c r="I82" s="143"/>
      <c r="J82" s="142"/>
      <c r="K82" s="128"/>
    </row>
    <row r="83" spans="1:11" ht="15.75" customHeight="1">
      <c r="A83" s="142"/>
      <c r="B83" s="142"/>
      <c r="C83" s="142"/>
      <c r="D83" s="142"/>
      <c r="E83" s="142"/>
      <c r="F83" s="142"/>
      <c r="G83" s="142"/>
      <c r="H83" s="142"/>
      <c r="I83" s="143"/>
      <c r="J83" s="142"/>
      <c r="K83" s="128"/>
    </row>
    <row r="84" spans="1:11" ht="15.75" customHeight="1">
      <c r="A84" s="142"/>
      <c r="B84" s="142"/>
      <c r="C84" s="142"/>
      <c r="D84" s="142"/>
      <c r="E84" s="142"/>
      <c r="F84" s="142"/>
      <c r="G84" s="142"/>
      <c r="H84" s="142"/>
      <c r="I84" s="143"/>
      <c r="J84" s="142"/>
      <c r="K84" s="128"/>
    </row>
    <row r="85" spans="1:11" ht="15.75" customHeight="1">
      <c r="A85" s="142"/>
      <c r="B85" s="142"/>
      <c r="C85" s="142"/>
      <c r="D85" s="142"/>
      <c r="E85" s="142"/>
      <c r="F85" s="142"/>
      <c r="G85" s="142"/>
      <c r="H85" s="142"/>
      <c r="I85" s="143"/>
      <c r="J85" s="142"/>
      <c r="K85" s="128"/>
    </row>
    <row r="86" spans="1:11" ht="15.75" customHeight="1">
      <c r="A86" s="142"/>
      <c r="B86" s="142"/>
      <c r="C86" s="142"/>
      <c r="D86" s="142"/>
      <c r="E86" s="142"/>
      <c r="F86" s="142"/>
      <c r="G86" s="142"/>
      <c r="H86" s="142"/>
      <c r="I86" s="143"/>
      <c r="J86" s="142"/>
      <c r="K86" s="128"/>
    </row>
    <row r="87" spans="1:11" ht="15.75" customHeight="1">
      <c r="A87" s="142"/>
      <c r="B87" s="142"/>
      <c r="C87" s="142"/>
      <c r="D87" s="142"/>
      <c r="E87" s="142"/>
      <c r="F87" s="142"/>
      <c r="G87" s="142"/>
      <c r="H87" s="142"/>
      <c r="I87" s="143"/>
      <c r="J87" s="142"/>
      <c r="K87" s="128"/>
    </row>
    <row r="88" spans="1:11" ht="15.75" customHeight="1">
      <c r="A88" s="142"/>
      <c r="B88" s="142"/>
      <c r="C88" s="142"/>
      <c r="D88" s="142"/>
      <c r="E88" s="142"/>
      <c r="F88" s="142"/>
      <c r="G88" s="142"/>
      <c r="H88" s="142"/>
      <c r="I88" s="143"/>
      <c r="J88" s="142"/>
      <c r="K88" s="128"/>
    </row>
    <row r="89" spans="1:11" ht="15.75" customHeight="1">
      <c r="A89" s="142"/>
      <c r="B89" s="142"/>
      <c r="C89" s="142"/>
      <c r="D89" s="142"/>
      <c r="E89" s="142"/>
      <c r="F89" s="142"/>
      <c r="G89" s="142"/>
      <c r="H89" s="142"/>
      <c r="I89" s="143"/>
      <c r="J89" s="142"/>
      <c r="K89" s="128"/>
    </row>
    <row r="90" spans="1:11" ht="15.75" customHeight="1">
      <c r="A90" s="142"/>
      <c r="B90" s="142"/>
      <c r="C90" s="142"/>
      <c r="D90" s="142"/>
      <c r="E90" s="142"/>
      <c r="F90" s="142"/>
      <c r="G90" s="142"/>
      <c r="H90" s="142"/>
      <c r="I90" s="143"/>
      <c r="J90" s="142"/>
      <c r="K90" s="128"/>
    </row>
    <row r="91" spans="1:11" ht="15.75" customHeight="1">
      <c r="A91" s="142"/>
      <c r="B91" s="142"/>
      <c r="C91" s="142"/>
      <c r="D91" s="142"/>
      <c r="E91" s="142"/>
      <c r="F91" s="142"/>
      <c r="G91" s="142"/>
      <c r="H91" s="142"/>
      <c r="I91" s="143"/>
      <c r="J91" s="142"/>
      <c r="K91" s="128"/>
    </row>
    <row r="92" spans="1:11" ht="15.75" customHeight="1">
      <c r="A92" s="142"/>
      <c r="B92" s="142"/>
      <c r="C92" s="142"/>
      <c r="D92" s="142"/>
      <c r="E92" s="142"/>
      <c r="F92" s="142"/>
      <c r="G92" s="142"/>
      <c r="H92" s="142"/>
      <c r="I92" s="143"/>
      <c r="J92" s="142"/>
      <c r="K92" s="128"/>
    </row>
    <row r="93" spans="1:11" ht="15.75" customHeight="1">
      <c r="A93" s="142"/>
      <c r="B93" s="142"/>
      <c r="C93" s="142"/>
      <c r="D93" s="142"/>
      <c r="E93" s="142"/>
      <c r="F93" s="142"/>
      <c r="G93" s="142"/>
      <c r="H93" s="142"/>
      <c r="I93" s="143"/>
      <c r="J93" s="142"/>
      <c r="K93" s="128"/>
    </row>
    <row r="94" spans="1:11" ht="15.75" customHeight="1">
      <c r="A94" s="142"/>
      <c r="B94" s="142"/>
      <c r="C94" s="142"/>
      <c r="D94" s="142"/>
      <c r="E94" s="142"/>
      <c r="F94" s="142"/>
      <c r="G94" s="142"/>
      <c r="H94" s="142"/>
      <c r="I94" s="143"/>
      <c r="J94" s="142"/>
      <c r="K94" s="128"/>
    </row>
    <row r="95" spans="1:11" ht="15.75" customHeight="1">
      <c r="A95" s="142"/>
      <c r="B95" s="142"/>
      <c r="C95" s="142"/>
      <c r="D95" s="142"/>
      <c r="E95" s="142"/>
      <c r="F95" s="142"/>
      <c r="G95" s="142"/>
      <c r="H95" s="142"/>
      <c r="I95" s="143"/>
      <c r="J95" s="142"/>
      <c r="K95" s="128"/>
    </row>
    <row r="96" spans="1:11" ht="15.75" customHeight="1">
      <c r="A96" s="142"/>
      <c r="B96" s="142"/>
      <c r="C96" s="142"/>
      <c r="D96" s="142"/>
      <c r="E96" s="142"/>
      <c r="F96" s="142"/>
      <c r="G96" s="142"/>
      <c r="H96" s="142"/>
      <c r="I96" s="143"/>
      <c r="J96" s="142"/>
      <c r="K96" s="128"/>
    </row>
    <row r="97" spans="1:11" ht="15.75" customHeight="1">
      <c r="A97" s="142"/>
      <c r="B97" s="142"/>
      <c r="C97" s="142"/>
      <c r="D97" s="142"/>
      <c r="E97" s="142"/>
      <c r="F97" s="142"/>
      <c r="G97" s="142"/>
      <c r="H97" s="142"/>
      <c r="I97" s="143"/>
      <c r="J97" s="142"/>
      <c r="K97" s="128"/>
    </row>
    <row r="98" spans="1:11" ht="15.75" customHeight="1">
      <c r="A98" s="142"/>
      <c r="B98" s="142"/>
      <c r="C98" s="142"/>
      <c r="D98" s="142"/>
      <c r="E98" s="142"/>
      <c r="F98" s="142"/>
      <c r="G98" s="142"/>
      <c r="H98" s="142"/>
      <c r="I98" s="143"/>
      <c r="J98" s="142"/>
      <c r="K98" s="128"/>
    </row>
    <row r="99" spans="1:11" ht="15.75" customHeight="1">
      <c r="A99" s="142"/>
      <c r="B99" s="142"/>
      <c r="C99" s="142"/>
      <c r="D99" s="142"/>
      <c r="E99" s="142"/>
      <c r="F99" s="142"/>
      <c r="G99" s="142"/>
      <c r="H99" s="142"/>
      <c r="I99" s="143"/>
      <c r="J99" s="142"/>
      <c r="K99" s="128"/>
    </row>
    <row r="100" spans="1:11" ht="15.75" customHeight="1">
      <c r="A100" s="142"/>
      <c r="B100" s="142"/>
      <c r="C100" s="142"/>
      <c r="D100" s="142"/>
      <c r="E100" s="142"/>
      <c r="F100" s="142"/>
      <c r="G100" s="142"/>
      <c r="H100" s="142"/>
      <c r="I100" s="143"/>
      <c r="J100" s="142"/>
      <c r="K100" s="128"/>
    </row>
    <row r="101" spans="1:11" ht="15.75" customHeight="1">
      <c r="A101" s="142"/>
      <c r="B101" s="142"/>
      <c r="C101" s="142"/>
      <c r="D101" s="142"/>
      <c r="E101" s="142"/>
      <c r="F101" s="142"/>
      <c r="G101" s="142"/>
      <c r="H101" s="142"/>
      <c r="I101" s="143"/>
      <c r="J101" s="142"/>
      <c r="K101" s="128"/>
    </row>
    <row r="102" spans="1:11" ht="15.75" customHeight="1">
      <c r="A102" s="142"/>
      <c r="B102" s="142"/>
      <c r="C102" s="142"/>
      <c r="D102" s="142"/>
      <c r="E102" s="142"/>
      <c r="F102" s="142"/>
      <c r="G102" s="142"/>
      <c r="H102" s="142"/>
      <c r="I102" s="143"/>
      <c r="J102" s="142"/>
      <c r="K102" s="128"/>
    </row>
    <row r="103" spans="1:11" ht="15.75" customHeight="1">
      <c r="A103" s="142"/>
      <c r="B103" s="142"/>
      <c r="C103" s="142"/>
      <c r="D103" s="142"/>
      <c r="E103" s="142"/>
      <c r="F103" s="142"/>
      <c r="G103" s="142"/>
      <c r="H103" s="142"/>
      <c r="I103" s="143"/>
      <c r="J103" s="142"/>
      <c r="K103" s="128"/>
    </row>
    <row r="104" spans="1:11" ht="15.75" customHeight="1">
      <c r="A104" s="142"/>
      <c r="B104" s="142"/>
      <c r="C104" s="142"/>
      <c r="D104" s="142"/>
      <c r="E104" s="142"/>
      <c r="F104" s="142"/>
      <c r="G104" s="142"/>
      <c r="H104" s="142"/>
      <c r="I104" s="143"/>
      <c r="J104" s="142"/>
      <c r="K104" s="128"/>
    </row>
    <row r="105" spans="1:11" ht="15.75" customHeight="1">
      <c r="A105" s="142"/>
      <c r="B105" s="142"/>
      <c r="C105" s="142"/>
      <c r="D105" s="142"/>
      <c r="E105" s="142"/>
      <c r="F105" s="142"/>
      <c r="G105" s="142"/>
      <c r="H105" s="142"/>
      <c r="I105" s="143"/>
      <c r="J105" s="142"/>
      <c r="K105" s="128"/>
    </row>
    <row r="106" spans="1:11" ht="15.75" customHeight="1">
      <c r="A106" s="142"/>
      <c r="B106" s="142"/>
      <c r="C106" s="142"/>
      <c r="D106" s="142"/>
      <c r="E106" s="142"/>
      <c r="F106" s="142"/>
      <c r="G106" s="142"/>
      <c r="H106" s="142"/>
      <c r="I106" s="143"/>
      <c r="J106" s="142"/>
      <c r="K106" s="128"/>
    </row>
    <row r="107" spans="1:11" ht="15.75" customHeight="1">
      <c r="A107" s="142"/>
      <c r="B107" s="142"/>
      <c r="C107" s="142"/>
      <c r="D107" s="142"/>
      <c r="E107" s="142"/>
      <c r="F107" s="142"/>
      <c r="G107" s="142"/>
      <c r="H107" s="142"/>
      <c r="I107" s="143"/>
      <c r="J107" s="142"/>
      <c r="K107" s="128"/>
    </row>
    <row r="108" spans="1:11" ht="15.75" customHeight="1">
      <c r="A108" s="142"/>
      <c r="B108" s="142"/>
      <c r="C108" s="142"/>
      <c r="D108" s="142"/>
      <c r="E108" s="142"/>
      <c r="F108" s="142"/>
      <c r="G108" s="142"/>
      <c r="H108" s="142"/>
      <c r="I108" s="143"/>
      <c r="J108" s="142"/>
      <c r="K108" s="128"/>
    </row>
    <row r="109" spans="1:11" ht="15.75" customHeight="1">
      <c r="A109" s="142"/>
      <c r="B109" s="142"/>
      <c r="C109" s="142"/>
      <c r="D109" s="142"/>
      <c r="E109" s="142"/>
      <c r="F109" s="142"/>
      <c r="G109" s="142"/>
      <c r="H109" s="142"/>
      <c r="I109" s="143"/>
      <c r="J109" s="142"/>
      <c r="K109" s="128"/>
    </row>
    <row r="110" spans="1:11" ht="15.75" customHeight="1">
      <c r="A110" s="142"/>
      <c r="B110" s="142"/>
      <c r="C110" s="142"/>
      <c r="D110" s="142"/>
      <c r="E110" s="142"/>
      <c r="F110" s="142"/>
      <c r="G110" s="142"/>
      <c r="H110" s="142"/>
      <c r="I110" s="143"/>
      <c r="J110" s="142"/>
      <c r="K110" s="128"/>
    </row>
    <row r="111" spans="1:11" ht="15.75" customHeight="1">
      <c r="A111" s="142"/>
      <c r="B111" s="142"/>
      <c r="C111" s="142"/>
      <c r="D111" s="142"/>
      <c r="E111" s="142"/>
      <c r="F111" s="142"/>
      <c r="G111" s="142"/>
      <c r="H111" s="142"/>
      <c r="I111" s="143"/>
      <c r="J111" s="142"/>
      <c r="K111" s="128"/>
    </row>
    <row r="112" spans="1:11" ht="15.75" customHeight="1">
      <c r="A112" s="142"/>
      <c r="B112" s="142"/>
      <c r="C112" s="142"/>
      <c r="D112" s="142"/>
      <c r="E112" s="142"/>
      <c r="F112" s="142"/>
      <c r="G112" s="142"/>
      <c r="H112" s="142"/>
      <c r="I112" s="143"/>
      <c r="J112" s="142"/>
      <c r="K112" s="128"/>
    </row>
    <row r="113" spans="1:11" ht="15.75" customHeight="1">
      <c r="A113" s="142"/>
      <c r="B113" s="142"/>
      <c r="C113" s="142"/>
      <c r="D113" s="142"/>
      <c r="E113" s="142"/>
      <c r="F113" s="142"/>
      <c r="G113" s="142"/>
      <c r="H113" s="142"/>
      <c r="I113" s="143"/>
      <c r="J113" s="142"/>
      <c r="K113" s="128"/>
    </row>
    <row r="114" spans="1:11" ht="15.75" customHeight="1">
      <c r="A114" s="142"/>
      <c r="B114" s="142"/>
      <c r="C114" s="142"/>
      <c r="D114" s="142"/>
      <c r="E114" s="142"/>
      <c r="F114" s="142"/>
      <c r="G114" s="142"/>
      <c r="H114" s="142"/>
      <c r="I114" s="143"/>
      <c r="J114" s="142"/>
      <c r="K114" s="128"/>
    </row>
    <row r="115" spans="1:11" ht="15.75" customHeight="1">
      <c r="A115" s="142"/>
      <c r="B115" s="142"/>
      <c r="C115" s="142"/>
      <c r="D115" s="142"/>
      <c r="E115" s="142"/>
      <c r="F115" s="142"/>
      <c r="G115" s="142"/>
      <c r="H115" s="142"/>
      <c r="I115" s="143"/>
      <c r="J115" s="142"/>
      <c r="K115" s="128"/>
    </row>
    <row r="116" spans="1:11" ht="15.75" customHeight="1">
      <c r="A116" s="142"/>
      <c r="B116" s="142"/>
      <c r="C116" s="142"/>
      <c r="D116" s="142"/>
      <c r="E116" s="142"/>
      <c r="F116" s="142"/>
      <c r="G116" s="142"/>
      <c r="H116" s="142"/>
      <c r="I116" s="143"/>
      <c r="J116" s="142"/>
      <c r="K116" s="128"/>
    </row>
    <row r="117" spans="1:11" ht="15.75" customHeight="1">
      <c r="A117" s="142"/>
      <c r="B117" s="142"/>
      <c r="C117" s="142"/>
      <c r="D117" s="142"/>
      <c r="E117" s="142"/>
      <c r="F117" s="142"/>
      <c r="G117" s="142"/>
      <c r="H117" s="142"/>
      <c r="I117" s="143"/>
      <c r="J117" s="142"/>
      <c r="K117" s="128"/>
    </row>
    <row r="118" spans="1:11" ht="15.75" customHeight="1">
      <c r="A118" s="142"/>
      <c r="B118" s="142"/>
      <c r="C118" s="142"/>
      <c r="D118" s="142"/>
      <c r="E118" s="142"/>
      <c r="F118" s="142"/>
      <c r="G118" s="142"/>
      <c r="H118" s="142"/>
      <c r="I118" s="143"/>
      <c r="J118" s="142"/>
      <c r="K118" s="128"/>
    </row>
    <row r="119" spans="1:11" ht="15.75" customHeight="1">
      <c r="A119" s="142"/>
      <c r="B119" s="142"/>
      <c r="C119" s="142"/>
      <c r="D119" s="142"/>
      <c r="E119" s="142"/>
      <c r="F119" s="142"/>
      <c r="G119" s="142"/>
      <c r="H119" s="142"/>
      <c r="I119" s="143"/>
      <c r="J119" s="142"/>
      <c r="K119" s="128"/>
    </row>
    <row r="120" spans="1:11" ht="15.75" customHeight="1">
      <c r="A120" s="142"/>
      <c r="B120" s="142"/>
      <c r="C120" s="142"/>
      <c r="D120" s="142"/>
      <c r="E120" s="142"/>
      <c r="F120" s="142"/>
      <c r="G120" s="142"/>
      <c r="H120" s="142"/>
      <c r="I120" s="143"/>
      <c r="J120" s="142"/>
      <c r="K120" s="128"/>
    </row>
    <row r="121" spans="1:11" ht="15.75" customHeight="1">
      <c r="A121" s="142"/>
      <c r="B121" s="142"/>
      <c r="C121" s="142"/>
      <c r="D121" s="142"/>
      <c r="E121" s="142"/>
      <c r="F121" s="142"/>
      <c r="G121" s="142"/>
      <c r="H121" s="142"/>
      <c r="I121" s="143"/>
      <c r="J121" s="142"/>
      <c r="K121" s="128"/>
    </row>
    <row r="122" spans="1:11" ht="15.75" customHeight="1">
      <c r="A122" s="142"/>
      <c r="B122" s="142"/>
      <c r="C122" s="142"/>
      <c r="D122" s="142"/>
      <c r="E122" s="142"/>
      <c r="F122" s="142"/>
      <c r="G122" s="142"/>
      <c r="H122" s="142"/>
      <c r="I122" s="143"/>
      <c r="J122" s="142"/>
      <c r="K122" s="128"/>
    </row>
    <row r="123" spans="1:11" ht="15.75" customHeight="1">
      <c r="A123" s="142"/>
      <c r="B123" s="142"/>
      <c r="C123" s="142"/>
      <c r="D123" s="142"/>
      <c r="E123" s="142"/>
      <c r="F123" s="142"/>
      <c r="G123" s="142"/>
      <c r="H123" s="142"/>
      <c r="I123" s="143"/>
      <c r="J123" s="142"/>
      <c r="K123" s="128"/>
    </row>
    <row r="124" spans="1:11" ht="15.75" customHeight="1">
      <c r="A124" s="142"/>
      <c r="B124" s="142"/>
      <c r="C124" s="142"/>
      <c r="D124" s="142"/>
      <c r="E124" s="142"/>
      <c r="F124" s="142"/>
      <c r="G124" s="142"/>
      <c r="H124" s="142"/>
      <c r="I124" s="143"/>
      <c r="J124" s="142"/>
      <c r="K124" s="128"/>
    </row>
    <row r="125" spans="1:11" ht="15.75" customHeight="1">
      <c r="A125" s="142"/>
      <c r="B125" s="142"/>
      <c r="C125" s="142"/>
      <c r="D125" s="142"/>
      <c r="E125" s="142"/>
      <c r="F125" s="142"/>
      <c r="G125" s="142"/>
      <c r="H125" s="142"/>
      <c r="I125" s="143"/>
      <c r="J125" s="142"/>
      <c r="K125" s="128"/>
    </row>
    <row r="126" spans="1:11" ht="15.75" customHeight="1">
      <c r="A126" s="142"/>
      <c r="B126" s="142"/>
      <c r="C126" s="142"/>
      <c r="D126" s="142"/>
      <c r="E126" s="142"/>
      <c r="F126" s="142"/>
      <c r="G126" s="142"/>
      <c r="H126" s="142"/>
      <c r="I126" s="143"/>
      <c r="J126" s="142"/>
      <c r="K126" s="128"/>
    </row>
    <row r="127" spans="1:11" ht="15.75" customHeight="1">
      <c r="A127" s="142"/>
      <c r="B127" s="142"/>
      <c r="C127" s="142"/>
      <c r="D127" s="142"/>
      <c r="E127" s="142"/>
      <c r="F127" s="142"/>
      <c r="G127" s="142"/>
      <c r="H127" s="142"/>
      <c r="I127" s="143"/>
      <c r="J127" s="142"/>
      <c r="K127" s="128"/>
    </row>
    <row r="128" spans="1:11" ht="15.75" customHeight="1">
      <c r="A128" s="142"/>
      <c r="B128" s="142"/>
      <c r="C128" s="142"/>
      <c r="D128" s="142"/>
      <c r="E128" s="142"/>
      <c r="F128" s="142"/>
      <c r="G128" s="142"/>
      <c r="H128" s="142"/>
      <c r="I128" s="143"/>
      <c r="J128" s="142"/>
      <c r="K128" s="128"/>
    </row>
    <row r="129" spans="1:11" ht="15.75" customHeight="1">
      <c r="A129" s="142"/>
      <c r="B129" s="142"/>
      <c r="C129" s="142"/>
      <c r="D129" s="142"/>
      <c r="E129" s="142"/>
      <c r="F129" s="142"/>
      <c r="G129" s="142"/>
      <c r="H129" s="142"/>
      <c r="I129" s="143"/>
      <c r="J129" s="142"/>
      <c r="K129" s="128"/>
    </row>
    <row r="130" spans="1:11" ht="15.75" customHeight="1">
      <c r="A130" s="142"/>
      <c r="B130" s="142"/>
      <c r="C130" s="142"/>
      <c r="D130" s="142"/>
      <c r="E130" s="142"/>
      <c r="F130" s="142"/>
      <c r="G130" s="142"/>
      <c r="H130" s="142"/>
      <c r="I130" s="143"/>
      <c r="J130" s="142"/>
      <c r="K130" s="128"/>
    </row>
    <row r="131" spans="1:11" ht="15.75" customHeight="1">
      <c r="A131" s="142"/>
      <c r="B131" s="142"/>
      <c r="C131" s="142"/>
      <c r="D131" s="142"/>
      <c r="E131" s="142"/>
      <c r="F131" s="142"/>
      <c r="G131" s="142"/>
      <c r="H131" s="142"/>
      <c r="I131" s="143"/>
      <c r="J131" s="142"/>
      <c r="K131" s="128"/>
    </row>
    <row r="132" spans="1:11" ht="15.75" customHeight="1">
      <c r="A132" s="142"/>
      <c r="B132" s="142"/>
      <c r="C132" s="142"/>
      <c r="D132" s="142"/>
      <c r="E132" s="142"/>
      <c r="F132" s="142"/>
      <c r="G132" s="142"/>
      <c r="H132" s="142"/>
      <c r="I132" s="143"/>
      <c r="J132" s="142"/>
      <c r="K132" s="128"/>
    </row>
    <row r="133" spans="1:11" ht="15.75" customHeight="1">
      <c r="A133" s="142"/>
      <c r="B133" s="142"/>
      <c r="C133" s="142"/>
      <c r="D133" s="142"/>
      <c r="E133" s="142"/>
      <c r="F133" s="142"/>
      <c r="G133" s="142"/>
      <c r="H133" s="142"/>
      <c r="I133" s="143"/>
      <c r="J133" s="142"/>
      <c r="K133" s="128"/>
    </row>
    <row r="134" spans="1:11" ht="15.75" customHeight="1">
      <c r="A134" s="142"/>
      <c r="B134" s="142"/>
      <c r="C134" s="142"/>
      <c r="D134" s="142"/>
      <c r="E134" s="142"/>
      <c r="F134" s="142"/>
      <c r="G134" s="142"/>
      <c r="H134" s="142"/>
      <c r="I134" s="143"/>
      <c r="J134" s="142"/>
      <c r="K134" s="128"/>
    </row>
    <row r="135" spans="1:11" ht="15.75" customHeight="1">
      <c r="A135" s="142"/>
      <c r="B135" s="142"/>
      <c r="C135" s="142"/>
      <c r="D135" s="142"/>
      <c r="E135" s="142"/>
      <c r="F135" s="142"/>
      <c r="G135" s="142"/>
      <c r="H135" s="142"/>
      <c r="I135" s="143"/>
      <c r="J135" s="142"/>
      <c r="K135" s="128"/>
    </row>
    <row r="136" spans="1:11" ht="15.75" customHeight="1">
      <c r="A136" s="142"/>
      <c r="B136" s="142"/>
      <c r="C136" s="142"/>
      <c r="D136" s="142"/>
      <c r="E136" s="142"/>
      <c r="F136" s="142"/>
      <c r="G136" s="142"/>
      <c r="H136" s="142"/>
      <c r="I136" s="143"/>
      <c r="J136" s="142"/>
      <c r="K136" s="128"/>
    </row>
    <row r="137" spans="1:11" ht="15.75" customHeight="1">
      <c r="A137" s="142"/>
      <c r="B137" s="142"/>
      <c r="C137" s="142"/>
      <c r="D137" s="142"/>
      <c r="E137" s="142"/>
      <c r="F137" s="142"/>
      <c r="G137" s="142"/>
      <c r="H137" s="142"/>
      <c r="I137" s="143"/>
      <c r="J137" s="142"/>
      <c r="K137" s="128"/>
    </row>
    <row r="138" spans="1:11" ht="15.75" customHeight="1">
      <c r="A138" s="142"/>
      <c r="B138" s="142"/>
      <c r="C138" s="142"/>
      <c r="D138" s="142"/>
      <c r="E138" s="142"/>
      <c r="F138" s="142"/>
      <c r="G138" s="142"/>
      <c r="H138" s="142"/>
      <c r="I138" s="143"/>
      <c r="J138" s="142"/>
      <c r="K138" s="128"/>
    </row>
    <row r="139" spans="1:11" ht="15.75" customHeight="1">
      <c r="A139" s="142"/>
      <c r="B139" s="142"/>
      <c r="C139" s="142"/>
      <c r="D139" s="142"/>
      <c r="E139" s="142"/>
      <c r="F139" s="142"/>
      <c r="G139" s="142"/>
      <c r="H139" s="142"/>
      <c r="I139" s="143"/>
      <c r="J139" s="142"/>
      <c r="K139" s="128"/>
    </row>
    <row r="140" spans="1:11" ht="15.75" customHeight="1">
      <c r="A140" s="142"/>
      <c r="B140" s="142"/>
      <c r="C140" s="142"/>
      <c r="D140" s="142"/>
      <c r="E140" s="142"/>
      <c r="F140" s="142"/>
      <c r="G140" s="142"/>
      <c r="H140" s="142"/>
      <c r="I140" s="143"/>
      <c r="J140" s="142"/>
      <c r="K140" s="128"/>
    </row>
    <row r="141" spans="1:11" ht="15.75" customHeight="1">
      <c r="A141" s="142"/>
      <c r="B141" s="142"/>
      <c r="C141" s="142"/>
      <c r="D141" s="142"/>
      <c r="E141" s="142"/>
      <c r="F141" s="142"/>
      <c r="G141" s="142"/>
      <c r="H141" s="142"/>
      <c r="I141" s="143"/>
      <c r="J141" s="142"/>
      <c r="K141" s="128"/>
    </row>
    <row r="142" spans="1:11" ht="15.75" customHeight="1">
      <c r="A142" s="142"/>
      <c r="B142" s="142"/>
      <c r="C142" s="142"/>
      <c r="D142" s="142"/>
      <c r="E142" s="142"/>
      <c r="F142" s="142"/>
      <c r="G142" s="142"/>
      <c r="H142" s="142"/>
      <c r="I142" s="143"/>
      <c r="J142" s="142"/>
      <c r="K142" s="128"/>
    </row>
    <row r="143" spans="1:11" ht="15.75" customHeight="1">
      <c r="A143" s="142"/>
      <c r="B143" s="142"/>
      <c r="C143" s="142"/>
      <c r="D143" s="142"/>
      <c r="E143" s="142"/>
      <c r="F143" s="142"/>
      <c r="G143" s="142"/>
      <c r="H143" s="142"/>
      <c r="I143" s="143"/>
      <c r="J143" s="142"/>
      <c r="K143" s="128"/>
    </row>
    <row r="144" spans="1:11" ht="15.75" customHeight="1">
      <c r="A144" s="142"/>
      <c r="B144" s="142"/>
      <c r="C144" s="142"/>
      <c r="D144" s="142"/>
      <c r="E144" s="142"/>
      <c r="F144" s="142"/>
      <c r="G144" s="142"/>
      <c r="H144" s="142"/>
      <c r="I144" s="143"/>
      <c r="J144" s="142"/>
      <c r="K144" s="128"/>
    </row>
    <row r="145" spans="1:11" ht="15.75" customHeight="1">
      <c r="A145" s="142"/>
      <c r="B145" s="142"/>
      <c r="C145" s="142"/>
      <c r="D145" s="142"/>
      <c r="E145" s="142"/>
      <c r="F145" s="142"/>
      <c r="G145" s="142"/>
      <c r="H145" s="142"/>
      <c r="I145" s="143"/>
      <c r="J145" s="142"/>
      <c r="K145" s="128"/>
    </row>
    <row r="146" spans="1:11" ht="15.75" customHeight="1">
      <c r="A146" s="142"/>
      <c r="B146" s="142"/>
      <c r="C146" s="142"/>
      <c r="D146" s="142"/>
      <c r="E146" s="142"/>
      <c r="F146" s="142"/>
      <c r="G146" s="142"/>
      <c r="H146" s="142"/>
      <c r="I146" s="143"/>
      <c r="J146" s="142"/>
      <c r="K146" s="128"/>
    </row>
    <row r="147" spans="1:11" ht="15.75" customHeight="1">
      <c r="A147" s="142"/>
      <c r="B147" s="142"/>
      <c r="C147" s="142"/>
      <c r="D147" s="142"/>
      <c r="E147" s="142"/>
      <c r="F147" s="142"/>
      <c r="G147" s="142"/>
      <c r="H147" s="142"/>
      <c r="I147" s="143"/>
      <c r="J147" s="142"/>
      <c r="K147" s="128"/>
    </row>
    <row r="148" spans="1:11" ht="15.75" customHeight="1">
      <c r="A148" s="142"/>
      <c r="B148" s="142"/>
      <c r="C148" s="142"/>
      <c r="D148" s="142"/>
      <c r="E148" s="142"/>
      <c r="F148" s="142"/>
      <c r="G148" s="142"/>
      <c r="H148" s="142"/>
      <c r="I148" s="143"/>
      <c r="J148" s="142"/>
      <c r="K148" s="128"/>
    </row>
    <row r="149" spans="1:11" ht="15.75" customHeight="1">
      <c r="A149" s="142"/>
      <c r="B149" s="142"/>
      <c r="C149" s="142"/>
      <c r="D149" s="142"/>
      <c r="E149" s="142"/>
      <c r="F149" s="142"/>
      <c r="G149" s="142"/>
      <c r="H149" s="142"/>
      <c r="I149" s="143"/>
      <c r="J149" s="142"/>
      <c r="K149" s="128"/>
    </row>
    <row r="150" spans="1:11" ht="15.75" customHeight="1">
      <c r="A150" s="142"/>
      <c r="B150" s="142"/>
      <c r="C150" s="142"/>
      <c r="D150" s="142"/>
      <c r="E150" s="142"/>
      <c r="F150" s="142"/>
      <c r="G150" s="142"/>
      <c r="H150" s="142"/>
      <c r="I150" s="143"/>
      <c r="J150" s="142"/>
      <c r="K150" s="128"/>
    </row>
    <row r="151" spans="1:11" ht="15.75" customHeight="1">
      <c r="A151" s="142"/>
      <c r="B151" s="142"/>
      <c r="C151" s="142"/>
      <c r="D151" s="142"/>
      <c r="E151" s="142"/>
      <c r="F151" s="142"/>
      <c r="G151" s="142"/>
      <c r="H151" s="142"/>
      <c r="I151" s="143"/>
      <c r="J151" s="142"/>
      <c r="K151" s="128"/>
    </row>
    <row r="152" spans="1:11" ht="15.75" customHeight="1">
      <c r="A152" s="142"/>
      <c r="B152" s="142"/>
      <c r="C152" s="142"/>
      <c r="D152" s="142"/>
      <c r="E152" s="142"/>
      <c r="F152" s="142"/>
      <c r="G152" s="142"/>
      <c r="H152" s="142"/>
      <c r="I152" s="143"/>
      <c r="J152" s="142"/>
      <c r="K152" s="128"/>
    </row>
    <row r="153" spans="1:11" ht="15.75" customHeight="1">
      <c r="A153" s="142"/>
      <c r="B153" s="142"/>
      <c r="C153" s="142"/>
      <c r="D153" s="142"/>
      <c r="E153" s="142"/>
      <c r="F153" s="142"/>
      <c r="G153" s="142"/>
      <c r="H153" s="142"/>
      <c r="I153" s="143"/>
      <c r="J153" s="142"/>
      <c r="K153" s="128"/>
    </row>
    <row r="154" spans="1:11" ht="15.75" customHeight="1">
      <c r="A154" s="142"/>
      <c r="B154" s="142"/>
      <c r="C154" s="142"/>
      <c r="D154" s="142"/>
      <c r="E154" s="142"/>
      <c r="F154" s="142"/>
      <c r="G154" s="142"/>
      <c r="H154" s="142"/>
      <c r="I154" s="143"/>
      <c r="J154" s="142"/>
      <c r="K154" s="128"/>
    </row>
    <row r="155" spans="1:11" ht="15.75" customHeight="1">
      <c r="A155" s="142"/>
      <c r="B155" s="142"/>
      <c r="C155" s="142"/>
      <c r="D155" s="142"/>
      <c r="E155" s="142"/>
      <c r="F155" s="142"/>
      <c r="G155" s="142"/>
      <c r="H155" s="142"/>
      <c r="I155" s="143"/>
      <c r="J155" s="142"/>
      <c r="K155" s="128"/>
    </row>
    <row r="156" spans="1:11" ht="15.75" customHeight="1">
      <c r="A156" s="142"/>
      <c r="B156" s="142"/>
      <c r="C156" s="142"/>
      <c r="D156" s="142"/>
      <c r="E156" s="142"/>
      <c r="F156" s="142"/>
      <c r="G156" s="142"/>
      <c r="H156" s="142"/>
      <c r="I156" s="143"/>
      <c r="J156" s="142"/>
      <c r="K156" s="128"/>
    </row>
    <row r="157" spans="1:11" ht="15.75" customHeight="1">
      <c r="A157" s="142"/>
      <c r="B157" s="142"/>
      <c r="C157" s="142"/>
      <c r="D157" s="142"/>
      <c r="E157" s="142"/>
      <c r="F157" s="142"/>
      <c r="G157" s="142"/>
      <c r="H157" s="142"/>
      <c r="I157" s="143"/>
      <c r="J157" s="142"/>
      <c r="K157" s="128"/>
    </row>
    <row r="158" spans="1:11" ht="15.75" customHeight="1">
      <c r="A158" s="142"/>
      <c r="B158" s="142"/>
      <c r="C158" s="142"/>
      <c r="D158" s="142"/>
      <c r="E158" s="142"/>
      <c r="F158" s="142"/>
      <c r="G158" s="142"/>
      <c r="H158" s="142"/>
      <c r="I158" s="143"/>
      <c r="J158" s="142"/>
      <c r="K158" s="128"/>
    </row>
    <row r="159" spans="1:11" ht="15.75" customHeight="1">
      <c r="A159" s="142"/>
      <c r="B159" s="142"/>
      <c r="C159" s="142"/>
      <c r="D159" s="142"/>
      <c r="E159" s="142"/>
      <c r="F159" s="142"/>
      <c r="G159" s="142"/>
      <c r="H159" s="142"/>
      <c r="I159" s="143"/>
      <c r="J159" s="142"/>
      <c r="K159" s="128"/>
    </row>
    <row r="160" spans="1:11" ht="15.75" customHeight="1">
      <c r="A160" s="142"/>
      <c r="B160" s="142"/>
      <c r="C160" s="142"/>
      <c r="D160" s="142"/>
      <c r="E160" s="142"/>
      <c r="F160" s="142"/>
      <c r="G160" s="142"/>
      <c r="H160" s="142"/>
      <c r="I160" s="143"/>
      <c r="J160" s="142"/>
      <c r="K160" s="128"/>
    </row>
    <row r="161" spans="1:11" ht="15.75" customHeight="1">
      <c r="A161" s="142"/>
      <c r="B161" s="142"/>
      <c r="C161" s="142"/>
      <c r="D161" s="142"/>
      <c r="E161" s="142"/>
      <c r="F161" s="142"/>
      <c r="G161" s="142"/>
      <c r="H161" s="142"/>
      <c r="I161" s="143"/>
      <c r="J161" s="142"/>
      <c r="K161" s="128"/>
    </row>
    <row r="162" spans="1:11" ht="15.75" customHeight="1">
      <c r="A162" s="142"/>
      <c r="B162" s="142"/>
      <c r="C162" s="142"/>
      <c r="D162" s="142"/>
      <c r="E162" s="142"/>
      <c r="F162" s="142"/>
      <c r="G162" s="142"/>
      <c r="H162" s="142"/>
      <c r="I162" s="143"/>
      <c r="J162" s="142"/>
      <c r="K162" s="128"/>
    </row>
    <row r="163" spans="1:11" ht="15.75" customHeight="1">
      <c r="A163" s="142"/>
      <c r="B163" s="142"/>
      <c r="C163" s="142"/>
      <c r="D163" s="142"/>
      <c r="E163" s="142"/>
      <c r="F163" s="142"/>
      <c r="G163" s="142"/>
      <c r="H163" s="142"/>
      <c r="I163" s="143"/>
      <c r="J163" s="142"/>
      <c r="K163" s="128"/>
    </row>
    <row r="164" spans="1:11" ht="15.75" customHeight="1">
      <c r="A164" s="142"/>
      <c r="B164" s="142"/>
      <c r="C164" s="142"/>
      <c r="D164" s="142"/>
      <c r="E164" s="142"/>
      <c r="F164" s="142"/>
      <c r="G164" s="142"/>
      <c r="H164" s="142"/>
      <c r="I164" s="143"/>
      <c r="J164" s="142"/>
      <c r="K164" s="128"/>
    </row>
    <row r="165" spans="1:11" ht="15.75" customHeight="1">
      <c r="A165" s="142"/>
      <c r="B165" s="142"/>
      <c r="C165" s="142"/>
      <c r="D165" s="142"/>
      <c r="E165" s="142"/>
      <c r="F165" s="142"/>
      <c r="G165" s="142"/>
      <c r="H165" s="142"/>
      <c r="I165" s="143"/>
      <c r="J165" s="142"/>
      <c r="K165" s="128"/>
    </row>
    <row r="166" spans="1:11" ht="15.75" customHeight="1">
      <c r="A166" s="142"/>
      <c r="B166" s="142"/>
      <c r="C166" s="142"/>
      <c r="D166" s="142"/>
      <c r="E166" s="142"/>
      <c r="F166" s="142"/>
      <c r="G166" s="142"/>
      <c r="H166" s="142"/>
      <c r="I166" s="143"/>
      <c r="J166" s="142"/>
      <c r="K166" s="128"/>
    </row>
    <row r="167" spans="1:11" ht="15.75" customHeight="1">
      <c r="A167" s="142"/>
      <c r="B167" s="142"/>
      <c r="C167" s="142"/>
      <c r="D167" s="142"/>
      <c r="E167" s="142"/>
      <c r="F167" s="142"/>
      <c r="G167" s="142"/>
      <c r="H167" s="142"/>
      <c r="I167" s="143"/>
      <c r="J167" s="142"/>
      <c r="K167" s="128"/>
    </row>
    <row r="168" spans="1:11" ht="15.75" customHeight="1">
      <c r="A168" s="142"/>
      <c r="B168" s="142"/>
      <c r="C168" s="142"/>
      <c r="D168" s="142"/>
      <c r="E168" s="142"/>
      <c r="F168" s="142"/>
      <c r="G168" s="142"/>
      <c r="H168" s="142"/>
      <c r="I168" s="143"/>
      <c r="J168" s="142"/>
      <c r="K168" s="128"/>
    </row>
    <row r="169" spans="1:11" ht="15.75" customHeight="1">
      <c r="A169" s="142"/>
      <c r="B169" s="142"/>
      <c r="C169" s="142"/>
      <c r="D169" s="142"/>
      <c r="E169" s="142"/>
      <c r="F169" s="142"/>
      <c r="G169" s="142"/>
      <c r="H169" s="142"/>
      <c r="I169" s="143"/>
      <c r="J169" s="142"/>
      <c r="K169" s="128"/>
    </row>
    <row r="170" spans="1:11" ht="15.75" customHeight="1">
      <c r="A170" s="142"/>
      <c r="B170" s="142"/>
      <c r="C170" s="142"/>
      <c r="D170" s="142"/>
      <c r="E170" s="142"/>
      <c r="F170" s="142"/>
      <c r="G170" s="142"/>
      <c r="H170" s="142"/>
      <c r="I170" s="143"/>
      <c r="J170" s="142"/>
      <c r="K170" s="128"/>
    </row>
    <row r="171" spans="1:11" ht="15.75" customHeight="1">
      <c r="A171" s="142"/>
      <c r="B171" s="142"/>
      <c r="C171" s="142"/>
      <c r="D171" s="142"/>
      <c r="E171" s="142"/>
      <c r="F171" s="142"/>
      <c r="G171" s="142"/>
      <c r="H171" s="142"/>
      <c r="I171" s="143"/>
      <c r="J171" s="142"/>
      <c r="K171" s="128"/>
    </row>
    <row r="172" spans="1:11" ht="15.75" customHeight="1">
      <c r="A172" s="142"/>
      <c r="B172" s="142"/>
      <c r="C172" s="142"/>
      <c r="D172" s="142"/>
      <c r="E172" s="142"/>
      <c r="F172" s="142"/>
      <c r="G172" s="142"/>
      <c r="H172" s="142"/>
      <c r="I172" s="143"/>
      <c r="J172" s="142"/>
      <c r="K172" s="128"/>
    </row>
    <row r="173" spans="1:11" ht="15.75" customHeight="1">
      <c r="A173" s="142"/>
      <c r="B173" s="142"/>
      <c r="C173" s="142"/>
      <c r="D173" s="142"/>
      <c r="E173" s="142"/>
      <c r="F173" s="142"/>
      <c r="G173" s="142"/>
      <c r="H173" s="142"/>
      <c r="I173" s="143"/>
      <c r="J173" s="142"/>
      <c r="K173" s="128"/>
    </row>
    <row r="174" spans="1:11" ht="15.75" customHeight="1">
      <c r="A174" s="142"/>
      <c r="B174" s="142"/>
      <c r="C174" s="142"/>
      <c r="D174" s="142"/>
      <c r="E174" s="142"/>
      <c r="F174" s="142"/>
      <c r="G174" s="142"/>
      <c r="H174" s="142"/>
      <c r="I174" s="143"/>
      <c r="J174" s="142"/>
      <c r="K174" s="128"/>
    </row>
    <row r="175" spans="1:11" ht="15.75" customHeight="1">
      <c r="A175" s="142"/>
      <c r="B175" s="142"/>
      <c r="C175" s="142"/>
      <c r="D175" s="142"/>
      <c r="E175" s="142"/>
      <c r="F175" s="142"/>
      <c r="G175" s="142"/>
      <c r="H175" s="142"/>
      <c r="I175" s="143"/>
      <c r="J175" s="142"/>
      <c r="K175" s="128"/>
    </row>
    <row r="176" spans="1:11" ht="15.75" customHeight="1">
      <c r="A176" s="142"/>
      <c r="B176" s="142"/>
      <c r="C176" s="142"/>
      <c r="D176" s="142"/>
      <c r="E176" s="142"/>
      <c r="F176" s="142"/>
      <c r="G176" s="142"/>
      <c r="H176" s="142"/>
      <c r="I176" s="143"/>
      <c r="J176" s="142"/>
      <c r="K176" s="128"/>
    </row>
    <row r="177" spans="1:11" ht="15.75" customHeight="1">
      <c r="A177" s="142"/>
      <c r="B177" s="142"/>
      <c r="C177" s="142"/>
      <c r="D177" s="142"/>
      <c r="E177" s="142"/>
      <c r="F177" s="142"/>
      <c r="G177" s="142"/>
      <c r="H177" s="142"/>
      <c r="I177" s="143"/>
      <c r="J177" s="142"/>
      <c r="K177" s="128"/>
    </row>
    <row r="178" spans="1:11" ht="15.75" customHeight="1">
      <c r="A178" s="142"/>
      <c r="B178" s="142"/>
      <c r="C178" s="142"/>
      <c r="D178" s="142"/>
      <c r="E178" s="142"/>
      <c r="F178" s="142"/>
      <c r="G178" s="142"/>
      <c r="H178" s="142"/>
      <c r="I178" s="143"/>
      <c r="J178" s="142"/>
      <c r="K178" s="128"/>
    </row>
    <row r="179" spans="1:11" ht="15.75" customHeight="1">
      <c r="A179" s="142"/>
      <c r="B179" s="142"/>
      <c r="C179" s="142"/>
      <c r="D179" s="142"/>
      <c r="E179" s="142"/>
      <c r="F179" s="142"/>
      <c r="G179" s="142"/>
      <c r="H179" s="142"/>
      <c r="I179" s="143"/>
      <c r="J179" s="142"/>
      <c r="K179" s="128"/>
    </row>
    <row r="180" spans="1:11" ht="15.75" customHeight="1">
      <c r="A180" s="142"/>
      <c r="B180" s="142"/>
      <c r="C180" s="142"/>
      <c r="D180" s="142"/>
      <c r="E180" s="142"/>
      <c r="F180" s="142"/>
      <c r="G180" s="142"/>
      <c r="H180" s="142"/>
      <c r="I180" s="143"/>
      <c r="J180" s="142"/>
      <c r="K180" s="128"/>
    </row>
    <row r="181" spans="1:11" ht="15.75" customHeight="1">
      <c r="A181" s="142"/>
      <c r="B181" s="142"/>
      <c r="C181" s="142"/>
      <c r="D181" s="142"/>
      <c r="E181" s="142"/>
      <c r="F181" s="142"/>
      <c r="G181" s="142"/>
      <c r="H181" s="142"/>
      <c r="I181" s="143"/>
      <c r="J181" s="142"/>
      <c r="K181" s="128"/>
    </row>
    <row r="182" spans="1:11" ht="15.75" customHeight="1">
      <c r="A182" s="142"/>
      <c r="B182" s="142"/>
      <c r="C182" s="142"/>
      <c r="D182" s="142"/>
      <c r="E182" s="142"/>
      <c r="F182" s="142"/>
      <c r="G182" s="142"/>
      <c r="H182" s="142"/>
      <c r="I182" s="143"/>
      <c r="J182" s="142"/>
      <c r="K182" s="128"/>
    </row>
    <row r="183" spans="1:11" ht="15.75" customHeight="1">
      <c r="A183" s="142"/>
      <c r="B183" s="142"/>
      <c r="C183" s="142"/>
      <c r="D183" s="142"/>
      <c r="E183" s="142"/>
      <c r="F183" s="142"/>
      <c r="G183" s="142"/>
      <c r="H183" s="142"/>
      <c r="I183" s="143"/>
      <c r="J183" s="142"/>
      <c r="K183" s="128"/>
    </row>
    <row r="184" spans="1:11" ht="15.75" customHeight="1">
      <c r="A184" s="142"/>
      <c r="B184" s="142"/>
      <c r="C184" s="142"/>
      <c r="D184" s="142"/>
      <c r="E184" s="142"/>
      <c r="F184" s="142"/>
      <c r="G184" s="142"/>
      <c r="H184" s="142"/>
      <c r="I184" s="143"/>
      <c r="J184" s="142"/>
      <c r="K184" s="128"/>
    </row>
    <row r="185" spans="1:11" ht="15.75" customHeight="1">
      <c r="A185" s="142"/>
      <c r="B185" s="142"/>
      <c r="C185" s="142"/>
      <c r="D185" s="142"/>
      <c r="E185" s="142"/>
      <c r="F185" s="142"/>
      <c r="G185" s="142"/>
      <c r="H185" s="142"/>
      <c r="I185" s="143"/>
      <c r="J185" s="142"/>
      <c r="K185" s="128"/>
    </row>
    <row r="186" spans="1:11" ht="15.75" customHeight="1">
      <c r="A186" s="142"/>
      <c r="B186" s="142"/>
      <c r="C186" s="142"/>
      <c r="D186" s="142"/>
      <c r="E186" s="142"/>
      <c r="F186" s="142"/>
      <c r="G186" s="142"/>
      <c r="H186" s="142"/>
      <c r="I186" s="143"/>
      <c r="J186" s="142"/>
      <c r="K186" s="128"/>
    </row>
    <row r="187" spans="1:11" ht="15.75" customHeight="1">
      <c r="A187" s="142"/>
      <c r="B187" s="142"/>
      <c r="C187" s="142"/>
      <c r="D187" s="142"/>
      <c r="E187" s="142"/>
      <c r="F187" s="142"/>
      <c r="G187" s="142"/>
      <c r="H187" s="142"/>
      <c r="I187" s="143"/>
      <c r="J187" s="142"/>
      <c r="K187" s="128"/>
    </row>
    <row r="188" spans="1:11" ht="15.75" customHeight="1">
      <c r="A188" s="142"/>
      <c r="B188" s="142"/>
      <c r="C188" s="142"/>
      <c r="D188" s="142"/>
      <c r="E188" s="142"/>
      <c r="F188" s="142"/>
      <c r="G188" s="142"/>
      <c r="H188" s="142"/>
      <c r="I188" s="143"/>
      <c r="J188" s="142"/>
      <c r="K188" s="128"/>
    </row>
    <row r="189" spans="1:11" ht="15.75" customHeight="1">
      <c r="A189" s="142"/>
      <c r="B189" s="142"/>
      <c r="C189" s="142"/>
      <c r="D189" s="142"/>
      <c r="E189" s="142"/>
      <c r="F189" s="142"/>
      <c r="G189" s="142"/>
      <c r="H189" s="142"/>
      <c r="I189" s="143"/>
      <c r="J189" s="142"/>
      <c r="K189" s="128"/>
    </row>
    <row r="190" spans="1:11" ht="15.75" customHeight="1">
      <c r="A190" s="142"/>
      <c r="B190" s="142"/>
      <c r="C190" s="142"/>
      <c r="D190" s="142"/>
      <c r="E190" s="142"/>
      <c r="F190" s="142"/>
      <c r="G190" s="142"/>
      <c r="H190" s="142"/>
      <c r="I190" s="143"/>
      <c r="J190" s="142"/>
      <c r="K190" s="128"/>
    </row>
    <row r="191" spans="1:11" ht="15.75" customHeight="1">
      <c r="A191" s="142"/>
      <c r="B191" s="142"/>
      <c r="C191" s="142"/>
      <c r="D191" s="142"/>
      <c r="E191" s="142"/>
      <c r="F191" s="142"/>
      <c r="G191" s="142"/>
      <c r="H191" s="142"/>
      <c r="I191" s="143"/>
      <c r="J191" s="142"/>
      <c r="K191" s="128"/>
    </row>
    <row r="192" spans="1:11" ht="15.75" customHeight="1">
      <c r="A192" s="142"/>
      <c r="B192" s="142"/>
      <c r="C192" s="142"/>
      <c r="D192" s="142"/>
      <c r="E192" s="142"/>
      <c r="F192" s="142"/>
      <c r="G192" s="142"/>
      <c r="H192" s="142"/>
      <c r="I192" s="143"/>
      <c r="J192" s="142"/>
      <c r="K192" s="128"/>
    </row>
    <row r="193" spans="1:11" ht="15.75" customHeight="1">
      <c r="A193" s="142"/>
      <c r="B193" s="142"/>
      <c r="C193" s="142"/>
      <c r="D193" s="142"/>
      <c r="E193" s="142"/>
      <c r="F193" s="142"/>
      <c r="G193" s="142"/>
      <c r="H193" s="142"/>
      <c r="I193" s="143"/>
      <c r="J193" s="142"/>
      <c r="K193" s="128"/>
    </row>
    <row r="194" spans="1:11" ht="15.75" customHeight="1">
      <c r="A194" s="142"/>
      <c r="B194" s="142"/>
      <c r="C194" s="142"/>
      <c r="D194" s="142"/>
      <c r="E194" s="142"/>
      <c r="F194" s="142"/>
      <c r="G194" s="142"/>
      <c r="H194" s="142"/>
      <c r="I194" s="143"/>
      <c r="J194" s="142"/>
      <c r="K194" s="128"/>
    </row>
    <row r="195" spans="1:11" ht="15.75" customHeight="1">
      <c r="A195" s="142"/>
      <c r="B195" s="142"/>
      <c r="C195" s="142"/>
      <c r="D195" s="142"/>
      <c r="E195" s="142"/>
      <c r="F195" s="142"/>
      <c r="G195" s="142"/>
      <c r="H195" s="142"/>
      <c r="I195" s="143"/>
      <c r="J195" s="142"/>
      <c r="K195" s="128"/>
    </row>
    <row r="196" spans="1:11" ht="15.75" customHeight="1">
      <c r="A196" s="142"/>
      <c r="B196" s="142"/>
      <c r="C196" s="142"/>
      <c r="D196" s="142"/>
      <c r="E196" s="142"/>
      <c r="F196" s="142"/>
      <c r="G196" s="142"/>
      <c r="H196" s="142"/>
      <c r="I196" s="143"/>
      <c r="J196" s="142"/>
      <c r="K196" s="128"/>
    </row>
    <row r="197" spans="1:11" ht="15.75" customHeight="1">
      <c r="A197" s="142"/>
      <c r="B197" s="142"/>
      <c r="C197" s="142"/>
      <c r="D197" s="142"/>
      <c r="E197" s="142"/>
      <c r="F197" s="142"/>
      <c r="G197" s="142"/>
      <c r="H197" s="142"/>
      <c r="I197" s="143"/>
      <c r="J197" s="142"/>
      <c r="K197" s="128"/>
    </row>
    <row r="198" spans="1:11" ht="15.75" customHeight="1">
      <c r="A198" s="142"/>
      <c r="B198" s="142"/>
      <c r="C198" s="142"/>
      <c r="D198" s="142"/>
      <c r="E198" s="142"/>
      <c r="F198" s="142"/>
      <c r="G198" s="142"/>
      <c r="H198" s="142"/>
      <c r="I198" s="143"/>
      <c r="J198" s="142"/>
      <c r="K198" s="128"/>
    </row>
    <row r="199" spans="1:11" ht="15.75" customHeight="1">
      <c r="A199" s="142"/>
      <c r="B199" s="142"/>
      <c r="C199" s="142"/>
      <c r="D199" s="142"/>
      <c r="E199" s="142"/>
      <c r="F199" s="142"/>
      <c r="G199" s="142"/>
      <c r="H199" s="142"/>
      <c r="I199" s="143"/>
      <c r="J199" s="142"/>
      <c r="K199" s="128"/>
    </row>
    <row r="200" spans="1:11" ht="15.75" customHeight="1">
      <c r="A200" s="142"/>
      <c r="B200" s="142"/>
      <c r="C200" s="142"/>
      <c r="D200" s="142"/>
      <c r="E200" s="142"/>
      <c r="F200" s="142"/>
      <c r="G200" s="142"/>
      <c r="H200" s="142"/>
      <c r="I200" s="143"/>
      <c r="J200" s="142"/>
      <c r="K200" s="128"/>
    </row>
    <row r="201" spans="1:11" ht="15.75" customHeight="1">
      <c r="A201" s="142"/>
      <c r="B201" s="142"/>
      <c r="C201" s="142"/>
      <c r="D201" s="142"/>
      <c r="E201" s="142"/>
      <c r="F201" s="142"/>
      <c r="G201" s="142"/>
      <c r="H201" s="142"/>
      <c r="I201" s="143"/>
      <c r="J201" s="142"/>
      <c r="K201" s="128"/>
    </row>
    <row r="202" spans="1:11" ht="15.75" customHeight="1">
      <c r="A202" s="142"/>
      <c r="B202" s="142"/>
      <c r="C202" s="142"/>
      <c r="D202" s="142"/>
      <c r="E202" s="142"/>
      <c r="F202" s="142"/>
      <c r="G202" s="142"/>
      <c r="H202" s="142"/>
      <c r="I202" s="143"/>
      <c r="J202" s="142"/>
      <c r="K202" s="128"/>
    </row>
    <row r="203" spans="1:11" ht="15.75" customHeight="1">
      <c r="A203" s="142"/>
      <c r="B203" s="142"/>
      <c r="C203" s="142"/>
      <c r="D203" s="142"/>
      <c r="E203" s="142"/>
      <c r="F203" s="142"/>
      <c r="G203" s="142"/>
      <c r="H203" s="142"/>
      <c r="I203" s="143"/>
      <c r="J203" s="142"/>
      <c r="K203" s="128"/>
    </row>
    <row r="204" spans="1:11" ht="15.75" customHeight="1">
      <c r="A204" s="142"/>
      <c r="B204" s="142"/>
      <c r="C204" s="142"/>
      <c r="D204" s="142"/>
      <c r="E204" s="142"/>
      <c r="F204" s="142"/>
      <c r="G204" s="142"/>
      <c r="H204" s="142"/>
      <c r="I204" s="143"/>
      <c r="J204" s="142"/>
      <c r="K204" s="128"/>
    </row>
    <row r="205" spans="1:11" ht="15.75" customHeight="1">
      <c r="A205" s="142"/>
      <c r="B205" s="142"/>
      <c r="C205" s="142"/>
      <c r="D205" s="142"/>
      <c r="E205" s="142"/>
      <c r="F205" s="142"/>
      <c r="G205" s="142"/>
      <c r="H205" s="142"/>
      <c r="I205" s="143"/>
      <c r="J205" s="142"/>
      <c r="K205" s="128"/>
    </row>
    <row r="206" spans="1:11" ht="15.75" customHeight="1">
      <c r="A206" s="142"/>
      <c r="B206" s="142"/>
      <c r="C206" s="142"/>
      <c r="D206" s="142"/>
      <c r="E206" s="142"/>
      <c r="F206" s="142"/>
      <c r="G206" s="142"/>
      <c r="H206" s="142"/>
      <c r="I206" s="143"/>
      <c r="J206" s="142"/>
      <c r="K206" s="128"/>
    </row>
    <row r="207" spans="1:11" ht="15.75" customHeight="1">
      <c r="A207" s="142"/>
      <c r="B207" s="142"/>
      <c r="C207" s="142"/>
      <c r="D207" s="142"/>
      <c r="E207" s="142"/>
      <c r="F207" s="142"/>
      <c r="G207" s="142"/>
      <c r="H207" s="142"/>
      <c r="I207" s="143"/>
      <c r="J207" s="142"/>
      <c r="K207" s="128"/>
    </row>
    <row r="208" spans="1:11" ht="15.75" customHeight="1">
      <c r="A208" s="142"/>
      <c r="B208" s="142"/>
      <c r="C208" s="142"/>
      <c r="D208" s="142"/>
      <c r="E208" s="142"/>
      <c r="F208" s="142"/>
      <c r="G208" s="142"/>
      <c r="H208" s="142"/>
      <c r="I208" s="143"/>
      <c r="J208" s="142"/>
      <c r="K208" s="128"/>
    </row>
    <row r="209" spans="1:11" ht="15.75" customHeight="1">
      <c r="A209" s="142"/>
      <c r="B209" s="142"/>
      <c r="C209" s="142"/>
      <c r="D209" s="142"/>
      <c r="E209" s="142"/>
      <c r="F209" s="142"/>
      <c r="G209" s="142"/>
      <c r="H209" s="142"/>
      <c r="I209" s="143"/>
      <c r="J209" s="142"/>
      <c r="K209" s="128"/>
    </row>
    <row r="210" spans="1:11" ht="15.75" customHeight="1">
      <c r="A210" s="142"/>
      <c r="B210" s="142"/>
      <c r="C210" s="142"/>
      <c r="D210" s="142"/>
      <c r="E210" s="142"/>
      <c r="F210" s="142"/>
      <c r="G210" s="142"/>
      <c r="H210" s="142"/>
      <c r="I210" s="143"/>
      <c r="J210" s="142"/>
      <c r="K210" s="128"/>
    </row>
    <row r="211" spans="1:11" ht="15.75" customHeight="1">
      <c r="A211" s="142"/>
      <c r="B211" s="142"/>
      <c r="C211" s="142"/>
      <c r="D211" s="142"/>
      <c r="E211" s="142"/>
      <c r="F211" s="142"/>
      <c r="G211" s="142"/>
      <c r="H211" s="142"/>
      <c r="I211" s="143"/>
      <c r="J211" s="142"/>
      <c r="K211" s="128"/>
    </row>
    <row r="212" spans="1:11" ht="15.75" customHeight="1">
      <c r="A212" s="142"/>
      <c r="B212" s="142"/>
      <c r="C212" s="142"/>
      <c r="D212" s="142"/>
      <c r="E212" s="142"/>
      <c r="F212" s="142"/>
      <c r="G212" s="142"/>
      <c r="H212" s="142"/>
      <c r="I212" s="143"/>
      <c r="J212" s="142"/>
      <c r="K212" s="128"/>
    </row>
    <row r="213" spans="1:11" ht="15.75" customHeight="1">
      <c r="A213" s="142"/>
      <c r="B213" s="142"/>
      <c r="C213" s="142"/>
      <c r="D213" s="142"/>
      <c r="E213" s="142"/>
      <c r="F213" s="142"/>
      <c r="G213" s="142"/>
      <c r="H213" s="142"/>
      <c r="I213" s="143"/>
      <c r="J213" s="142"/>
      <c r="K213" s="128"/>
    </row>
    <row r="214" spans="1:11" ht="15.75" customHeight="1">
      <c r="A214" s="142"/>
      <c r="B214" s="142"/>
      <c r="C214" s="142"/>
      <c r="D214" s="142"/>
      <c r="E214" s="142"/>
      <c r="F214" s="142"/>
      <c r="G214" s="142"/>
      <c r="H214" s="142"/>
      <c r="I214" s="143"/>
      <c r="J214" s="142"/>
      <c r="K214" s="128"/>
    </row>
    <row r="215" spans="1:11" ht="15.75" customHeight="1">
      <c r="A215" s="142"/>
      <c r="B215" s="142"/>
      <c r="C215" s="142"/>
      <c r="D215" s="142"/>
      <c r="E215" s="142"/>
      <c r="F215" s="142"/>
      <c r="G215" s="142"/>
      <c r="H215" s="142"/>
      <c r="I215" s="143"/>
      <c r="J215" s="142"/>
      <c r="K215" s="128"/>
    </row>
    <row r="216" spans="1:11" ht="15.75" customHeight="1">
      <c r="A216" s="142"/>
      <c r="B216" s="142"/>
      <c r="C216" s="142"/>
      <c r="D216" s="142"/>
      <c r="E216" s="142"/>
      <c r="F216" s="142"/>
      <c r="G216" s="142"/>
      <c r="H216" s="142"/>
      <c r="I216" s="143"/>
      <c r="J216" s="142"/>
      <c r="K216" s="128"/>
    </row>
    <row r="217" spans="1:11" ht="15.75" customHeight="1">
      <c r="A217" s="142"/>
      <c r="B217" s="142"/>
      <c r="C217" s="142"/>
      <c r="D217" s="142"/>
      <c r="E217" s="142"/>
      <c r="F217" s="142"/>
      <c r="G217" s="142"/>
      <c r="H217" s="142"/>
      <c r="I217" s="143"/>
      <c r="J217" s="142"/>
      <c r="K217" s="128"/>
    </row>
    <row r="218" spans="1:11" ht="15.75" customHeight="1">
      <c r="A218" s="142"/>
      <c r="B218" s="142"/>
      <c r="C218" s="142"/>
      <c r="D218" s="142"/>
      <c r="E218" s="142"/>
      <c r="F218" s="142"/>
      <c r="G218" s="142"/>
      <c r="H218" s="142"/>
      <c r="I218" s="143"/>
      <c r="J218" s="142"/>
      <c r="K218" s="128"/>
    </row>
    <row r="219" spans="1:11" ht="15.75" customHeight="1">
      <c r="A219" s="142"/>
      <c r="B219" s="142"/>
      <c r="C219" s="142"/>
      <c r="D219" s="142"/>
      <c r="E219" s="142"/>
      <c r="F219" s="142"/>
      <c r="G219" s="142"/>
      <c r="H219" s="142"/>
      <c r="I219" s="143"/>
      <c r="J219" s="142"/>
      <c r="K219" s="128"/>
    </row>
    <row r="220" spans="1:11" ht="15.75" customHeight="1">
      <c r="A220" s="142"/>
      <c r="B220" s="142"/>
      <c r="C220" s="142"/>
      <c r="D220" s="142"/>
      <c r="E220" s="142"/>
      <c r="F220" s="142"/>
      <c r="G220" s="142"/>
      <c r="H220" s="142"/>
      <c r="I220" s="143"/>
      <c r="J220" s="142"/>
      <c r="K220" s="128"/>
    </row>
    <row r="221" spans="1:11" ht="15.75" customHeight="1">
      <c r="A221" s="142"/>
      <c r="B221" s="142"/>
      <c r="C221" s="142"/>
      <c r="D221" s="142"/>
      <c r="E221" s="142"/>
      <c r="F221" s="142"/>
      <c r="G221" s="142"/>
      <c r="H221" s="142"/>
      <c r="I221" s="143"/>
      <c r="J221" s="142"/>
      <c r="K221" s="128"/>
    </row>
    <row r="222" spans="1:11" ht="15.75" customHeight="1">
      <c r="A222" s="142"/>
      <c r="B222" s="142"/>
      <c r="C222" s="142"/>
      <c r="D222" s="142"/>
      <c r="E222" s="142"/>
      <c r="F222" s="142"/>
      <c r="G222" s="142"/>
      <c r="H222" s="142"/>
      <c r="I222" s="143"/>
      <c r="J222" s="142"/>
      <c r="K222" s="128"/>
    </row>
    <row r="223" spans="1:11" ht="15.75" customHeight="1">
      <c r="A223" s="142"/>
      <c r="B223" s="142"/>
      <c r="C223" s="142"/>
      <c r="D223" s="142"/>
      <c r="E223" s="142"/>
      <c r="F223" s="142"/>
      <c r="G223" s="142"/>
      <c r="H223" s="142"/>
      <c r="I223" s="143"/>
      <c r="J223" s="142"/>
      <c r="K223" s="128"/>
    </row>
    <row r="224" spans="1:11" ht="15.75" customHeight="1">
      <c r="A224" s="142"/>
      <c r="B224" s="142"/>
      <c r="C224" s="142"/>
      <c r="D224" s="142"/>
      <c r="E224" s="142"/>
      <c r="F224" s="142"/>
      <c r="G224" s="142"/>
      <c r="H224" s="142"/>
      <c r="I224" s="143"/>
      <c r="J224" s="142"/>
      <c r="K224" s="128"/>
    </row>
    <row r="225" spans="1:11" ht="15.75" customHeight="1">
      <c r="A225" s="142"/>
      <c r="B225" s="142"/>
      <c r="C225" s="142"/>
      <c r="D225" s="142"/>
      <c r="E225" s="142"/>
      <c r="F225" s="142"/>
      <c r="G225" s="142"/>
      <c r="H225" s="142"/>
      <c r="I225" s="143"/>
      <c r="J225" s="142"/>
      <c r="K225" s="128"/>
    </row>
    <row r="226" spans="1:11" ht="15.75" customHeight="1">
      <c r="A226" s="142"/>
      <c r="B226" s="142"/>
      <c r="C226" s="142"/>
      <c r="D226" s="142"/>
      <c r="E226" s="142"/>
      <c r="F226" s="142"/>
      <c r="G226" s="142"/>
      <c r="H226" s="142"/>
      <c r="I226" s="143"/>
      <c r="J226" s="142"/>
      <c r="K226" s="128"/>
    </row>
    <row r="227" spans="1:11" ht="15.75" customHeight="1">
      <c r="A227" s="142"/>
      <c r="B227" s="142"/>
      <c r="C227" s="142"/>
      <c r="D227" s="142"/>
      <c r="E227" s="142"/>
      <c r="F227" s="142"/>
      <c r="G227" s="142"/>
      <c r="H227" s="142"/>
      <c r="I227" s="143"/>
      <c r="J227" s="142"/>
      <c r="K227" s="128"/>
    </row>
    <row r="228" spans="1:11" ht="15.75" customHeight="1">
      <c r="A228" s="142"/>
      <c r="B228" s="142"/>
      <c r="C228" s="142"/>
      <c r="D228" s="142"/>
      <c r="E228" s="142"/>
      <c r="F228" s="142"/>
      <c r="G228" s="142"/>
      <c r="H228" s="142"/>
      <c r="I228" s="143"/>
      <c r="J228" s="142"/>
      <c r="K228" s="128"/>
    </row>
    <row r="229" spans="1:11" ht="15.75" customHeight="1">
      <c r="A229" s="142"/>
      <c r="B229" s="142"/>
      <c r="C229" s="142"/>
      <c r="D229" s="142"/>
      <c r="E229" s="142"/>
      <c r="F229" s="142"/>
      <c r="G229" s="142"/>
      <c r="H229" s="142"/>
      <c r="I229" s="143"/>
      <c r="J229" s="142"/>
      <c r="K229" s="128"/>
    </row>
    <row r="230" spans="1:11" ht="15.75" customHeight="1">
      <c r="A230" s="142"/>
      <c r="B230" s="142"/>
      <c r="C230" s="142"/>
      <c r="D230" s="142"/>
      <c r="E230" s="142"/>
      <c r="F230" s="142"/>
      <c r="G230" s="142"/>
      <c r="H230" s="142"/>
      <c r="I230" s="143"/>
      <c r="J230" s="142"/>
      <c r="K230" s="128"/>
    </row>
    <row r="231" spans="1:11" ht="15.75" customHeight="1">
      <c r="A231" s="142"/>
      <c r="B231" s="142"/>
      <c r="C231" s="142"/>
      <c r="D231" s="142"/>
      <c r="E231" s="142"/>
      <c r="F231" s="142"/>
      <c r="G231" s="142"/>
      <c r="H231" s="142"/>
      <c r="I231" s="143"/>
      <c r="J231" s="142"/>
      <c r="K231" s="128"/>
    </row>
    <row r="232" spans="1:11" ht="15.75" customHeight="1">
      <c r="A232" s="142"/>
      <c r="B232" s="142"/>
      <c r="C232" s="142"/>
      <c r="D232" s="142"/>
      <c r="E232" s="142"/>
      <c r="F232" s="142"/>
      <c r="G232" s="142"/>
      <c r="H232" s="142"/>
      <c r="I232" s="143"/>
      <c r="J232" s="142"/>
      <c r="K232" s="128"/>
    </row>
    <row r="233" spans="1:11" ht="15.75" customHeight="1">
      <c r="A233" s="142"/>
      <c r="B233" s="142"/>
      <c r="C233" s="142"/>
      <c r="D233" s="142"/>
      <c r="E233" s="142"/>
      <c r="F233" s="142"/>
      <c r="G233" s="142"/>
      <c r="H233" s="142"/>
      <c r="I233" s="143"/>
      <c r="J233" s="142"/>
      <c r="K233" s="128"/>
    </row>
    <row r="234" spans="1:11" ht="15.75" customHeight="1">
      <c r="A234" s="142"/>
      <c r="B234" s="142"/>
      <c r="C234" s="142"/>
      <c r="D234" s="142"/>
      <c r="E234" s="142"/>
      <c r="F234" s="142"/>
      <c r="G234" s="142"/>
      <c r="H234" s="142"/>
      <c r="I234" s="143"/>
      <c r="J234" s="142"/>
      <c r="K234" s="128"/>
    </row>
    <row r="235" spans="1:11" ht="15.75" customHeight="1">
      <c r="A235" s="142"/>
      <c r="B235" s="142"/>
      <c r="C235" s="142"/>
      <c r="D235" s="142"/>
      <c r="E235" s="142"/>
      <c r="F235" s="142"/>
      <c r="G235" s="142"/>
      <c r="H235" s="142"/>
      <c r="I235" s="143"/>
      <c r="J235" s="142"/>
      <c r="K235" s="128"/>
    </row>
    <row r="236" spans="1:11" ht="15.75" customHeight="1">
      <c r="A236" s="142"/>
      <c r="B236" s="142"/>
      <c r="C236" s="142"/>
      <c r="D236" s="142"/>
      <c r="E236" s="142"/>
      <c r="F236" s="142"/>
      <c r="G236" s="142"/>
      <c r="H236" s="142"/>
      <c r="I236" s="143"/>
      <c r="J236" s="142"/>
      <c r="K236" s="128"/>
    </row>
    <row r="237" spans="1:11" ht="15.75" customHeight="1">
      <c r="A237" s="142"/>
      <c r="B237" s="142"/>
      <c r="C237" s="142"/>
      <c r="D237" s="142"/>
      <c r="E237" s="142"/>
      <c r="F237" s="142"/>
      <c r="G237" s="142"/>
      <c r="H237" s="142"/>
      <c r="I237" s="143"/>
      <c r="J237" s="142"/>
      <c r="K237" s="128"/>
    </row>
    <row r="238" spans="1:11" ht="15.75" customHeight="1">
      <c r="A238" s="142"/>
      <c r="B238" s="142"/>
      <c r="C238" s="142"/>
      <c r="D238" s="142"/>
      <c r="E238" s="142"/>
      <c r="F238" s="142"/>
      <c r="G238" s="142"/>
      <c r="H238" s="142"/>
      <c r="I238" s="143"/>
      <c r="J238" s="142"/>
      <c r="K238" s="128"/>
    </row>
    <row r="239" spans="1:11" ht="15.75" customHeight="1">
      <c r="A239" s="142"/>
      <c r="B239" s="142"/>
      <c r="C239" s="142"/>
      <c r="D239" s="142"/>
      <c r="E239" s="142"/>
      <c r="F239" s="142"/>
      <c r="G239" s="142"/>
      <c r="H239" s="142"/>
      <c r="I239" s="143"/>
      <c r="J239" s="142"/>
      <c r="K239" s="128"/>
    </row>
    <row r="240" spans="1:11" ht="15.75" customHeight="1">
      <c r="A240" s="142"/>
      <c r="B240" s="142"/>
      <c r="C240" s="142"/>
      <c r="D240" s="142"/>
      <c r="E240" s="142"/>
      <c r="F240" s="142"/>
      <c r="G240" s="142"/>
      <c r="H240" s="142"/>
      <c r="I240" s="143"/>
      <c r="J240" s="142"/>
      <c r="K240" s="128"/>
    </row>
    <row r="241" spans="1:11" ht="15.75" customHeight="1">
      <c r="A241" s="142"/>
      <c r="B241" s="142"/>
      <c r="C241" s="142"/>
      <c r="D241" s="142"/>
      <c r="E241" s="142"/>
      <c r="F241" s="142"/>
      <c r="G241" s="142"/>
      <c r="H241" s="142"/>
      <c r="I241" s="143"/>
      <c r="J241" s="142"/>
      <c r="K241" s="128"/>
    </row>
    <row r="242" spans="1:11" ht="15.75" customHeight="1">
      <c r="A242" s="142"/>
      <c r="B242" s="142"/>
      <c r="C242" s="142"/>
      <c r="D242" s="142"/>
      <c r="E242" s="142"/>
      <c r="F242" s="142"/>
      <c r="G242" s="142"/>
      <c r="H242" s="142"/>
      <c r="I242" s="143"/>
      <c r="J242" s="142"/>
      <c r="K242" s="128"/>
    </row>
    <row r="243" spans="1:11" ht="15.75" customHeight="1">
      <c r="A243" s="142"/>
      <c r="B243" s="142"/>
      <c r="C243" s="142"/>
      <c r="D243" s="142"/>
      <c r="E243" s="142"/>
      <c r="F243" s="142"/>
      <c r="G243" s="142"/>
      <c r="H243" s="142"/>
      <c r="I243" s="143"/>
      <c r="J243" s="142"/>
      <c r="K243" s="128"/>
    </row>
    <row r="244" spans="1:11" ht="15.75" customHeight="1">
      <c r="A244" s="142"/>
      <c r="B244" s="142"/>
      <c r="C244" s="142"/>
      <c r="D244" s="142"/>
      <c r="E244" s="142"/>
      <c r="F244" s="142"/>
      <c r="G244" s="142"/>
      <c r="H244" s="142"/>
      <c r="I244" s="143"/>
      <c r="J244" s="142"/>
      <c r="K244" s="128"/>
    </row>
    <row r="245" spans="1:11" ht="15.75" customHeight="1">
      <c r="A245" s="142"/>
      <c r="B245" s="142"/>
      <c r="C245" s="142"/>
      <c r="D245" s="142"/>
      <c r="E245" s="142"/>
      <c r="F245" s="142"/>
      <c r="G245" s="142"/>
      <c r="H245" s="142"/>
      <c r="I245" s="143"/>
      <c r="J245" s="142"/>
      <c r="K245" s="128"/>
    </row>
    <row r="246" spans="1:11" ht="15.75" customHeight="1">
      <c r="A246" s="142"/>
      <c r="B246" s="142"/>
      <c r="C246" s="142"/>
      <c r="D246" s="142"/>
      <c r="E246" s="142"/>
      <c r="F246" s="142"/>
      <c r="G246" s="142"/>
      <c r="H246" s="142"/>
      <c r="I246" s="143"/>
      <c r="J246" s="142"/>
      <c r="K246" s="128"/>
    </row>
    <row r="247" spans="1:11" ht="15.75" customHeight="1">
      <c r="A247" s="142"/>
      <c r="B247" s="142"/>
      <c r="C247" s="142"/>
      <c r="D247" s="142"/>
      <c r="E247" s="142"/>
      <c r="F247" s="142"/>
      <c r="G247" s="142"/>
      <c r="H247" s="142"/>
      <c r="I247" s="143"/>
      <c r="J247" s="142"/>
      <c r="K247" s="128"/>
    </row>
    <row r="248" spans="1:11" ht="15.75" customHeight="1">
      <c r="A248" s="142"/>
      <c r="B248" s="142"/>
      <c r="C248" s="142"/>
      <c r="D248" s="142"/>
      <c r="E248" s="142"/>
      <c r="F248" s="142"/>
      <c r="G248" s="142"/>
      <c r="H248" s="142"/>
      <c r="I248" s="143"/>
      <c r="J248" s="142"/>
      <c r="K248" s="128"/>
    </row>
    <row r="249" spans="1:11" ht="15.75" customHeight="1">
      <c r="A249" s="142"/>
      <c r="B249" s="142"/>
      <c r="C249" s="142"/>
      <c r="D249" s="142"/>
      <c r="E249" s="142"/>
      <c r="F249" s="142"/>
      <c r="G249" s="142"/>
      <c r="H249" s="142"/>
      <c r="I249" s="143"/>
      <c r="J249" s="142"/>
      <c r="K249" s="128"/>
    </row>
    <row r="250" spans="1:11" ht="15.75" customHeight="1">
      <c r="A250" s="142"/>
      <c r="B250" s="142"/>
      <c r="C250" s="142"/>
      <c r="D250" s="142"/>
      <c r="E250" s="142"/>
      <c r="F250" s="142"/>
      <c r="G250" s="142"/>
      <c r="H250" s="142"/>
      <c r="I250" s="143"/>
      <c r="J250" s="142"/>
      <c r="K250" s="128"/>
    </row>
    <row r="251" spans="1:11" ht="15.75" customHeight="1">
      <c r="A251" s="142"/>
      <c r="B251" s="142"/>
      <c r="C251" s="142"/>
      <c r="D251" s="142"/>
      <c r="E251" s="142"/>
      <c r="F251" s="142"/>
      <c r="G251" s="142"/>
      <c r="H251" s="142"/>
      <c r="I251" s="143"/>
      <c r="J251" s="142"/>
      <c r="K251" s="128"/>
    </row>
    <row r="252" spans="1:11" ht="15.75" customHeight="1">
      <c r="A252" s="142"/>
      <c r="B252" s="142"/>
      <c r="C252" s="142"/>
      <c r="D252" s="142"/>
      <c r="E252" s="142"/>
      <c r="F252" s="142"/>
      <c r="G252" s="142"/>
      <c r="H252" s="142"/>
      <c r="I252" s="143"/>
      <c r="J252" s="142"/>
      <c r="K252" s="128"/>
    </row>
    <row r="253" spans="1:11" ht="15.75" customHeight="1">
      <c r="A253" s="142"/>
      <c r="B253" s="142"/>
      <c r="C253" s="142"/>
      <c r="D253" s="142"/>
      <c r="E253" s="142"/>
      <c r="F253" s="142"/>
      <c r="G253" s="142"/>
      <c r="H253" s="142"/>
      <c r="I253" s="143"/>
      <c r="J253" s="142"/>
      <c r="K253" s="128"/>
    </row>
    <row r="254" spans="1:11" ht="15.75" customHeight="1">
      <c r="A254" s="142"/>
      <c r="B254" s="142"/>
      <c r="C254" s="142"/>
      <c r="D254" s="142"/>
      <c r="E254" s="142"/>
      <c r="F254" s="142"/>
      <c r="G254" s="142"/>
      <c r="H254" s="142"/>
      <c r="I254" s="143"/>
      <c r="J254" s="142"/>
      <c r="K254" s="128"/>
    </row>
    <row r="255" spans="1:11" ht="15.75" customHeight="1">
      <c r="A255" s="142"/>
      <c r="B255" s="142"/>
      <c r="C255" s="142"/>
      <c r="D255" s="142"/>
      <c r="E255" s="142"/>
      <c r="F255" s="142"/>
      <c r="G255" s="142"/>
      <c r="H255" s="142"/>
      <c r="I255" s="143"/>
      <c r="J255" s="142"/>
      <c r="K255" s="128"/>
    </row>
    <row r="256" spans="1:11" ht="15.75" customHeight="1">
      <c r="A256" s="142"/>
      <c r="B256" s="142"/>
      <c r="C256" s="142"/>
      <c r="D256" s="142"/>
      <c r="E256" s="142"/>
      <c r="F256" s="142"/>
      <c r="G256" s="142"/>
      <c r="H256" s="142"/>
      <c r="I256" s="143"/>
      <c r="J256" s="142"/>
      <c r="K256" s="128"/>
    </row>
    <row r="257" spans="1:11" ht="15.75" customHeight="1">
      <c r="A257" s="142"/>
      <c r="B257" s="142"/>
      <c r="C257" s="142"/>
      <c r="D257" s="142"/>
      <c r="E257" s="142"/>
      <c r="F257" s="142"/>
      <c r="G257" s="142"/>
      <c r="H257" s="142"/>
      <c r="I257" s="143"/>
      <c r="J257" s="142"/>
      <c r="K257" s="128"/>
    </row>
    <row r="258" spans="1:11" ht="15.75" customHeight="1">
      <c r="A258" s="142"/>
      <c r="B258" s="142"/>
      <c r="C258" s="142"/>
      <c r="D258" s="142"/>
      <c r="E258" s="142"/>
      <c r="F258" s="142"/>
      <c r="G258" s="142"/>
      <c r="H258" s="142"/>
      <c r="I258" s="143"/>
      <c r="J258" s="142"/>
      <c r="K258" s="128"/>
    </row>
    <row r="259" spans="1:11" ht="15.75" customHeight="1">
      <c r="A259" s="142"/>
      <c r="B259" s="142"/>
      <c r="C259" s="142"/>
      <c r="D259" s="142"/>
      <c r="E259" s="142"/>
      <c r="F259" s="142"/>
      <c r="G259" s="142"/>
      <c r="H259" s="142"/>
      <c r="I259" s="143"/>
      <c r="J259" s="142"/>
      <c r="K259" s="128"/>
    </row>
    <row r="260" spans="1:11" ht="15.75" customHeight="1">
      <c r="A260" s="142"/>
      <c r="B260" s="142"/>
      <c r="C260" s="142"/>
      <c r="D260" s="142"/>
      <c r="E260" s="142"/>
      <c r="F260" s="142"/>
      <c r="G260" s="142"/>
      <c r="H260" s="142"/>
      <c r="I260" s="143"/>
      <c r="J260" s="142"/>
      <c r="K260" s="128"/>
    </row>
    <row r="261" spans="1:11" ht="15.75" customHeight="1">
      <c r="A261" s="142"/>
      <c r="B261" s="142"/>
      <c r="C261" s="142"/>
      <c r="D261" s="142"/>
      <c r="E261" s="142"/>
      <c r="F261" s="142"/>
      <c r="G261" s="142"/>
      <c r="H261" s="142"/>
      <c r="I261" s="143"/>
      <c r="J261" s="142"/>
      <c r="K261" s="128"/>
    </row>
    <row r="262" spans="1:11" ht="15.75" customHeight="1">
      <c r="A262" s="142"/>
      <c r="B262" s="142"/>
      <c r="C262" s="142"/>
      <c r="D262" s="142"/>
      <c r="E262" s="142"/>
      <c r="F262" s="142"/>
      <c r="G262" s="142"/>
      <c r="H262" s="142"/>
      <c r="I262" s="143"/>
      <c r="J262" s="142"/>
      <c r="K262" s="128"/>
    </row>
    <row r="263" spans="1:11" ht="15.75" customHeight="1">
      <c r="A263" s="142"/>
      <c r="B263" s="142"/>
      <c r="C263" s="142"/>
      <c r="D263" s="142"/>
      <c r="E263" s="142"/>
      <c r="F263" s="142"/>
      <c r="G263" s="142"/>
      <c r="H263" s="142"/>
      <c r="I263" s="143"/>
      <c r="J263" s="142"/>
      <c r="K263" s="128"/>
    </row>
    <row r="264" spans="1:11" ht="15.75" customHeight="1">
      <c r="A264" s="142"/>
      <c r="B264" s="142"/>
      <c r="C264" s="142"/>
      <c r="D264" s="142"/>
      <c r="E264" s="142"/>
      <c r="F264" s="142"/>
      <c r="G264" s="142"/>
      <c r="H264" s="142"/>
      <c r="I264" s="143"/>
      <c r="J264" s="142"/>
      <c r="K264" s="128"/>
    </row>
    <row r="265" spans="1:11" ht="15.75" customHeight="1">
      <c r="A265" s="142"/>
      <c r="B265" s="142"/>
      <c r="C265" s="142"/>
      <c r="D265" s="142"/>
      <c r="E265" s="142"/>
      <c r="F265" s="142"/>
      <c r="G265" s="142"/>
      <c r="H265" s="142"/>
      <c r="I265" s="143"/>
      <c r="J265" s="142"/>
      <c r="K265" s="128"/>
    </row>
    <row r="266" spans="1:11" ht="15.75" customHeight="1">
      <c r="A266" s="142"/>
      <c r="B266" s="142"/>
      <c r="C266" s="142"/>
      <c r="D266" s="142"/>
      <c r="E266" s="142"/>
      <c r="F266" s="142"/>
      <c r="G266" s="142"/>
      <c r="H266" s="142"/>
      <c r="I266" s="143"/>
      <c r="J266" s="142"/>
      <c r="K266" s="128"/>
    </row>
    <row r="267" spans="1:11" ht="15.75" customHeight="1">
      <c r="A267" s="142"/>
      <c r="B267" s="142"/>
      <c r="C267" s="142"/>
      <c r="D267" s="142"/>
      <c r="E267" s="142"/>
      <c r="F267" s="142"/>
      <c r="G267" s="142"/>
      <c r="H267" s="142"/>
      <c r="I267" s="143"/>
      <c r="J267" s="142"/>
      <c r="K267" s="128"/>
    </row>
    <row r="268" spans="1:11" ht="15.75" customHeight="1">
      <c r="A268" s="142"/>
      <c r="B268" s="142"/>
      <c r="C268" s="142"/>
      <c r="D268" s="142"/>
      <c r="E268" s="142"/>
      <c r="F268" s="142"/>
      <c r="G268" s="142"/>
      <c r="H268" s="142"/>
      <c r="I268" s="143"/>
      <c r="J268" s="142"/>
      <c r="K268" s="128"/>
    </row>
    <row r="269" spans="1:11" ht="15.75" customHeight="1">
      <c r="A269" s="142"/>
      <c r="B269" s="142"/>
      <c r="C269" s="142"/>
      <c r="D269" s="142"/>
      <c r="E269" s="142"/>
      <c r="F269" s="142"/>
      <c r="G269" s="142"/>
      <c r="H269" s="142"/>
      <c r="I269" s="143"/>
      <c r="J269" s="142"/>
      <c r="K269" s="128"/>
    </row>
    <row r="270" spans="1:11" ht="15.75" customHeight="1">
      <c r="A270" s="142"/>
      <c r="B270" s="142"/>
      <c r="C270" s="142"/>
      <c r="D270" s="142"/>
      <c r="E270" s="142"/>
      <c r="F270" s="142"/>
      <c r="G270" s="142"/>
      <c r="H270" s="142"/>
      <c r="I270" s="143"/>
      <c r="J270" s="142"/>
      <c r="K270" s="128"/>
    </row>
    <row r="271" spans="1:11" ht="15.75" customHeight="1">
      <c r="A271" s="142"/>
      <c r="B271" s="142"/>
      <c r="C271" s="142"/>
      <c r="D271" s="142"/>
      <c r="E271" s="142"/>
      <c r="F271" s="142"/>
      <c r="G271" s="142"/>
      <c r="H271" s="142"/>
      <c r="I271" s="143"/>
      <c r="J271" s="142"/>
      <c r="K271" s="128"/>
    </row>
    <row r="272" spans="1:11" ht="15.75" customHeight="1">
      <c r="A272" s="142"/>
      <c r="B272" s="142"/>
      <c r="C272" s="142"/>
      <c r="D272" s="142"/>
      <c r="E272" s="142"/>
      <c r="F272" s="142"/>
      <c r="G272" s="142"/>
      <c r="H272" s="142"/>
      <c r="I272" s="143"/>
      <c r="J272" s="142"/>
      <c r="K272" s="128"/>
    </row>
    <row r="273" spans="1:11" ht="15.75" customHeight="1">
      <c r="A273" s="142"/>
      <c r="B273" s="142"/>
      <c r="C273" s="142"/>
      <c r="D273" s="142"/>
      <c r="E273" s="142"/>
      <c r="F273" s="142"/>
      <c r="G273" s="142"/>
      <c r="H273" s="142"/>
      <c r="I273" s="143"/>
      <c r="J273" s="142"/>
      <c r="K273" s="128"/>
    </row>
    <row r="274" spans="1:11" ht="15.75" customHeight="1">
      <c r="A274" s="142"/>
      <c r="B274" s="142"/>
      <c r="C274" s="142"/>
      <c r="D274" s="142"/>
      <c r="E274" s="142"/>
      <c r="F274" s="142"/>
      <c r="G274" s="142"/>
      <c r="H274" s="142"/>
      <c r="I274" s="143"/>
      <c r="J274" s="142"/>
      <c r="K274" s="128"/>
    </row>
    <row r="275" spans="1:11" ht="15.75" customHeight="1">
      <c r="A275" s="142"/>
      <c r="B275" s="142"/>
      <c r="C275" s="142"/>
      <c r="D275" s="142"/>
      <c r="E275" s="142"/>
      <c r="F275" s="142"/>
      <c r="G275" s="142"/>
      <c r="H275" s="142"/>
      <c r="I275" s="143"/>
      <c r="J275" s="142"/>
      <c r="K275" s="128"/>
    </row>
    <row r="276" spans="1:11" ht="15.75" customHeight="1">
      <c r="A276" s="142"/>
      <c r="B276" s="142"/>
      <c r="C276" s="142"/>
      <c r="D276" s="142"/>
      <c r="E276" s="142"/>
      <c r="F276" s="142"/>
      <c r="G276" s="142"/>
      <c r="H276" s="142"/>
      <c r="I276" s="143"/>
      <c r="J276" s="142"/>
      <c r="K276" s="128"/>
    </row>
    <row r="277" spans="1:11" ht="15.75" customHeight="1">
      <c r="A277" s="142"/>
      <c r="B277" s="142"/>
      <c r="C277" s="142"/>
      <c r="D277" s="142"/>
      <c r="E277" s="142"/>
      <c r="F277" s="142"/>
      <c r="G277" s="142"/>
      <c r="H277" s="142"/>
      <c r="I277" s="143"/>
      <c r="J277" s="142"/>
      <c r="K277" s="128"/>
    </row>
    <row r="278" spans="1:11" ht="15.75" customHeight="1">
      <c r="A278" s="142"/>
      <c r="B278" s="142"/>
      <c r="C278" s="142"/>
      <c r="D278" s="142"/>
      <c r="E278" s="142"/>
      <c r="F278" s="142"/>
      <c r="G278" s="142"/>
      <c r="H278" s="142"/>
      <c r="I278" s="143"/>
      <c r="J278" s="142"/>
      <c r="K278" s="128"/>
    </row>
    <row r="279" spans="1:11" ht="15.75" customHeight="1">
      <c r="A279" s="142"/>
      <c r="B279" s="142"/>
      <c r="C279" s="142"/>
      <c r="D279" s="142"/>
      <c r="E279" s="142"/>
      <c r="F279" s="142"/>
      <c r="G279" s="142"/>
      <c r="H279" s="142"/>
      <c r="I279" s="143"/>
      <c r="J279" s="142"/>
      <c r="K279" s="128"/>
    </row>
    <row r="280" spans="1:11" ht="15.75" customHeight="1">
      <c r="A280" s="142"/>
      <c r="B280" s="142"/>
      <c r="C280" s="142"/>
      <c r="D280" s="142"/>
      <c r="E280" s="142"/>
      <c r="F280" s="142"/>
      <c r="G280" s="142"/>
      <c r="H280" s="142"/>
      <c r="I280" s="143"/>
      <c r="J280" s="142"/>
      <c r="K280" s="128"/>
    </row>
    <row r="281" spans="1:11" ht="15.75" customHeight="1">
      <c r="A281" s="142"/>
      <c r="B281" s="142"/>
      <c r="C281" s="142"/>
      <c r="D281" s="142"/>
      <c r="E281" s="142"/>
      <c r="F281" s="142"/>
      <c r="G281" s="142"/>
      <c r="H281" s="142"/>
      <c r="I281" s="143"/>
      <c r="J281" s="142"/>
      <c r="K281" s="128"/>
    </row>
    <row r="282" spans="1:11" ht="15.75" customHeight="1">
      <c r="A282" s="142"/>
      <c r="B282" s="142"/>
      <c r="C282" s="142"/>
      <c r="D282" s="142"/>
      <c r="E282" s="142"/>
      <c r="F282" s="142"/>
      <c r="G282" s="142"/>
      <c r="H282" s="142"/>
      <c r="I282" s="143"/>
      <c r="J282" s="142"/>
      <c r="K282" s="128"/>
    </row>
    <row r="283" spans="1:11" ht="15.75" customHeight="1">
      <c r="A283" s="142"/>
      <c r="B283" s="142"/>
      <c r="C283" s="142"/>
      <c r="D283" s="142"/>
      <c r="E283" s="142"/>
      <c r="F283" s="142"/>
      <c r="G283" s="142"/>
      <c r="H283" s="142"/>
      <c r="I283" s="143"/>
      <c r="J283" s="142"/>
      <c r="K283" s="128"/>
    </row>
    <row r="284" spans="1:11" ht="15.75" customHeight="1">
      <c r="A284" s="142"/>
      <c r="B284" s="142"/>
      <c r="C284" s="142"/>
      <c r="D284" s="142"/>
      <c r="E284" s="142"/>
      <c r="F284" s="142"/>
      <c r="G284" s="142"/>
      <c r="H284" s="142"/>
      <c r="I284" s="143"/>
      <c r="J284" s="142"/>
      <c r="K284" s="128"/>
    </row>
    <row r="285" spans="1:11" ht="15.75" customHeight="1">
      <c r="A285" s="142"/>
      <c r="B285" s="142"/>
      <c r="C285" s="142"/>
      <c r="D285" s="142"/>
      <c r="E285" s="142"/>
      <c r="F285" s="142"/>
      <c r="G285" s="142"/>
      <c r="H285" s="142"/>
      <c r="I285" s="143"/>
      <c r="J285" s="142"/>
      <c r="K285" s="128"/>
    </row>
    <row r="286" spans="1:11" ht="15.75" customHeight="1">
      <c r="A286" s="142"/>
      <c r="B286" s="142"/>
      <c r="C286" s="142"/>
      <c r="D286" s="142"/>
      <c r="E286" s="142"/>
      <c r="F286" s="142"/>
      <c r="G286" s="142"/>
      <c r="H286" s="142"/>
      <c r="I286" s="143"/>
      <c r="J286" s="142"/>
      <c r="K286" s="128"/>
    </row>
    <row r="287" spans="1:11" ht="15.75" customHeight="1">
      <c r="A287" s="142"/>
      <c r="B287" s="142"/>
      <c r="C287" s="142"/>
      <c r="D287" s="142"/>
      <c r="E287" s="142"/>
      <c r="F287" s="142"/>
      <c r="G287" s="142"/>
      <c r="H287" s="142"/>
      <c r="I287" s="143"/>
      <c r="J287" s="142"/>
      <c r="K287" s="128"/>
    </row>
    <row r="288" spans="1:11" ht="15.75" customHeight="1">
      <c r="A288" s="142"/>
      <c r="B288" s="142"/>
      <c r="C288" s="142"/>
      <c r="D288" s="142"/>
      <c r="E288" s="142"/>
      <c r="F288" s="142"/>
      <c r="G288" s="142"/>
      <c r="H288" s="142"/>
      <c r="I288" s="143"/>
      <c r="J288" s="142"/>
      <c r="K288" s="128"/>
    </row>
    <row r="289" spans="1:11" ht="15.75" customHeight="1">
      <c r="A289" s="142"/>
      <c r="B289" s="142"/>
      <c r="C289" s="142"/>
      <c r="D289" s="142"/>
      <c r="E289" s="142"/>
      <c r="F289" s="142"/>
      <c r="G289" s="142"/>
      <c r="H289" s="142"/>
      <c r="I289" s="143"/>
      <c r="J289" s="142"/>
      <c r="K289" s="128"/>
    </row>
    <row r="290" spans="1:11" ht="15.75" customHeight="1">
      <c r="A290" s="142"/>
      <c r="B290" s="142"/>
      <c r="C290" s="142"/>
      <c r="D290" s="142"/>
      <c r="E290" s="142"/>
      <c r="F290" s="142"/>
      <c r="G290" s="142"/>
      <c r="H290" s="142"/>
      <c r="I290" s="143"/>
      <c r="J290" s="142"/>
      <c r="K290" s="128"/>
    </row>
    <row r="291" spans="1:11" ht="15.75" customHeight="1">
      <c r="A291" s="142"/>
      <c r="B291" s="142"/>
      <c r="C291" s="142"/>
      <c r="D291" s="142"/>
      <c r="E291" s="142"/>
      <c r="F291" s="142"/>
      <c r="G291" s="142"/>
      <c r="H291" s="142"/>
      <c r="I291" s="143"/>
      <c r="J291" s="142"/>
      <c r="K291" s="128"/>
    </row>
    <row r="292" spans="1:11" ht="15.75" customHeight="1">
      <c r="A292" s="142"/>
      <c r="B292" s="142"/>
      <c r="C292" s="142"/>
      <c r="D292" s="142"/>
      <c r="E292" s="142"/>
      <c r="F292" s="142"/>
      <c r="G292" s="142"/>
      <c r="H292" s="142"/>
      <c r="I292" s="143"/>
      <c r="J292" s="142"/>
      <c r="K292" s="128"/>
    </row>
    <row r="293" spans="1:11" ht="15.75" customHeight="1">
      <c r="A293" s="142"/>
      <c r="B293" s="142"/>
      <c r="C293" s="142"/>
      <c r="D293" s="142"/>
      <c r="E293" s="142"/>
      <c r="F293" s="142"/>
      <c r="G293" s="142"/>
      <c r="H293" s="142"/>
      <c r="I293" s="143"/>
      <c r="J293" s="142"/>
      <c r="K293" s="128"/>
    </row>
    <row r="294" spans="1:11" ht="15.75" customHeight="1">
      <c r="A294" s="142"/>
      <c r="B294" s="142"/>
      <c r="C294" s="142"/>
      <c r="D294" s="142"/>
      <c r="E294" s="142"/>
      <c r="F294" s="142"/>
      <c r="G294" s="142"/>
      <c r="H294" s="142"/>
      <c r="I294" s="143"/>
      <c r="J294" s="142"/>
      <c r="K294" s="128"/>
    </row>
    <row r="295" spans="1:11" ht="15.75" customHeight="1">
      <c r="A295" s="142"/>
      <c r="B295" s="142"/>
      <c r="C295" s="142"/>
      <c r="D295" s="142"/>
      <c r="E295" s="142"/>
      <c r="F295" s="142"/>
      <c r="G295" s="142"/>
      <c r="H295" s="142"/>
      <c r="I295" s="143"/>
      <c r="J295" s="142"/>
      <c r="K295" s="128"/>
    </row>
    <row r="296" spans="1:11" ht="15.75" customHeight="1">
      <c r="A296" s="142"/>
      <c r="B296" s="142"/>
      <c r="C296" s="142"/>
      <c r="D296" s="142"/>
      <c r="E296" s="142"/>
      <c r="F296" s="142"/>
      <c r="G296" s="142"/>
      <c r="H296" s="142"/>
      <c r="I296" s="143"/>
      <c r="J296" s="142"/>
      <c r="K296" s="128"/>
    </row>
    <row r="297" spans="1:11" ht="15.75" customHeight="1">
      <c r="A297" s="142"/>
      <c r="B297" s="142"/>
      <c r="C297" s="142"/>
      <c r="D297" s="142"/>
      <c r="E297" s="142"/>
      <c r="F297" s="142"/>
      <c r="G297" s="142"/>
      <c r="H297" s="142"/>
      <c r="I297" s="143"/>
      <c r="J297" s="142"/>
      <c r="K297" s="128"/>
    </row>
    <row r="298" spans="1:11" ht="15.75" customHeight="1">
      <c r="A298" s="142"/>
      <c r="B298" s="142"/>
      <c r="C298" s="142"/>
      <c r="D298" s="142"/>
      <c r="E298" s="142"/>
      <c r="F298" s="142"/>
      <c r="G298" s="142"/>
      <c r="H298" s="142"/>
      <c r="I298" s="143"/>
      <c r="J298" s="142"/>
      <c r="K298" s="128"/>
    </row>
    <row r="299" spans="1:11" ht="15.75" customHeight="1">
      <c r="A299" s="142"/>
      <c r="B299" s="142"/>
      <c r="C299" s="142"/>
      <c r="D299" s="142"/>
      <c r="E299" s="142"/>
      <c r="F299" s="142"/>
      <c r="G299" s="142"/>
      <c r="H299" s="142"/>
      <c r="I299" s="143"/>
      <c r="J299" s="142"/>
      <c r="K299" s="128"/>
    </row>
    <row r="300" spans="1:11" ht="15.75" customHeight="1">
      <c r="A300" s="142"/>
      <c r="B300" s="142"/>
      <c r="C300" s="142"/>
      <c r="D300" s="142"/>
      <c r="E300" s="142"/>
      <c r="F300" s="142"/>
      <c r="G300" s="142"/>
      <c r="H300" s="142"/>
      <c r="I300" s="143"/>
      <c r="J300" s="142"/>
      <c r="K300" s="128"/>
    </row>
    <row r="301" spans="1:11" ht="15.75" customHeight="1">
      <c r="A301" s="142"/>
      <c r="B301" s="142"/>
      <c r="C301" s="142"/>
      <c r="D301" s="142"/>
      <c r="E301" s="142"/>
      <c r="F301" s="142"/>
      <c r="G301" s="142"/>
      <c r="H301" s="142"/>
      <c r="I301" s="143"/>
      <c r="J301" s="142"/>
      <c r="K301" s="128"/>
    </row>
    <row r="302" spans="1:11" ht="15.75" customHeight="1">
      <c r="A302" s="142"/>
      <c r="B302" s="142"/>
      <c r="C302" s="142"/>
      <c r="D302" s="142"/>
      <c r="E302" s="142"/>
      <c r="F302" s="142"/>
      <c r="G302" s="142"/>
      <c r="H302" s="142"/>
      <c r="I302" s="143"/>
      <c r="J302" s="142"/>
      <c r="K302" s="128"/>
    </row>
    <row r="303" spans="1:11" ht="15.75" customHeight="1">
      <c r="A303" s="142"/>
      <c r="B303" s="142"/>
      <c r="C303" s="142"/>
      <c r="D303" s="142"/>
      <c r="E303" s="142"/>
      <c r="F303" s="142"/>
      <c r="G303" s="142"/>
      <c r="H303" s="142"/>
      <c r="I303" s="143"/>
      <c r="J303" s="142"/>
      <c r="K303" s="128"/>
    </row>
    <row r="304" spans="1:11" ht="15.75" customHeight="1">
      <c r="A304" s="142"/>
      <c r="B304" s="142"/>
      <c r="C304" s="142"/>
      <c r="D304" s="142"/>
      <c r="E304" s="142"/>
      <c r="F304" s="142"/>
      <c r="G304" s="142"/>
      <c r="H304" s="142"/>
      <c r="I304" s="143"/>
      <c r="J304" s="142"/>
      <c r="K304" s="128"/>
    </row>
    <row r="305" spans="1:11" ht="15.75" customHeight="1">
      <c r="A305" s="142"/>
      <c r="B305" s="142"/>
      <c r="C305" s="142"/>
      <c r="D305" s="142"/>
      <c r="E305" s="142"/>
      <c r="F305" s="142"/>
      <c r="G305" s="142"/>
      <c r="H305" s="142"/>
      <c r="I305" s="143"/>
      <c r="J305" s="142"/>
      <c r="K305" s="128"/>
    </row>
    <row r="306" spans="1:11" ht="15.75" customHeight="1">
      <c r="A306" s="142"/>
      <c r="B306" s="142"/>
      <c r="C306" s="142"/>
      <c r="D306" s="142"/>
      <c r="E306" s="142"/>
      <c r="F306" s="142"/>
      <c r="G306" s="142"/>
      <c r="H306" s="142"/>
      <c r="I306" s="143"/>
      <c r="J306" s="142"/>
      <c r="K306" s="128"/>
    </row>
    <row r="307" spans="1:11" ht="15.75" customHeight="1">
      <c r="A307" s="142"/>
      <c r="B307" s="142"/>
      <c r="C307" s="142"/>
      <c r="D307" s="142"/>
      <c r="E307" s="142"/>
      <c r="F307" s="142"/>
      <c r="G307" s="142"/>
      <c r="H307" s="142"/>
      <c r="I307" s="143"/>
      <c r="J307" s="142"/>
      <c r="K307" s="128"/>
    </row>
    <row r="308" spans="1:11" ht="15.75" customHeight="1">
      <c r="A308" s="142"/>
      <c r="B308" s="142"/>
      <c r="C308" s="142"/>
      <c r="D308" s="142"/>
      <c r="E308" s="142"/>
      <c r="F308" s="142"/>
      <c r="G308" s="142"/>
      <c r="H308" s="142"/>
      <c r="I308" s="143"/>
      <c r="J308" s="142"/>
      <c r="K308" s="128"/>
    </row>
    <row r="309" spans="1:11" ht="15.75" customHeight="1">
      <c r="A309" s="142"/>
      <c r="B309" s="142"/>
      <c r="C309" s="142"/>
      <c r="D309" s="142"/>
      <c r="E309" s="142"/>
      <c r="F309" s="142"/>
      <c r="G309" s="142"/>
      <c r="H309" s="142"/>
      <c r="I309" s="143"/>
      <c r="J309" s="142"/>
      <c r="K309" s="128"/>
    </row>
    <row r="310" spans="1:11" ht="15.75" customHeight="1">
      <c r="A310" s="142"/>
      <c r="B310" s="142"/>
      <c r="C310" s="142"/>
      <c r="D310" s="142"/>
      <c r="E310" s="142"/>
      <c r="F310" s="142"/>
      <c r="G310" s="142"/>
      <c r="H310" s="142"/>
      <c r="I310" s="143"/>
      <c r="J310" s="142"/>
      <c r="K310" s="128"/>
    </row>
    <row r="311" spans="1:11" ht="15.75" customHeight="1">
      <c r="A311" s="142"/>
      <c r="B311" s="142"/>
      <c r="C311" s="142"/>
      <c r="D311" s="142"/>
      <c r="E311" s="142"/>
      <c r="F311" s="142"/>
      <c r="G311" s="142"/>
      <c r="H311" s="142"/>
      <c r="I311" s="143"/>
      <c r="J311" s="142"/>
      <c r="K311" s="128"/>
    </row>
    <row r="312" spans="1:11" ht="15.75" customHeight="1">
      <c r="A312" s="142"/>
      <c r="B312" s="142"/>
      <c r="C312" s="142"/>
      <c r="D312" s="142"/>
      <c r="E312" s="142"/>
      <c r="F312" s="142"/>
      <c r="G312" s="142"/>
      <c r="H312" s="142"/>
      <c r="I312" s="143"/>
      <c r="J312" s="142"/>
      <c r="K312" s="128"/>
    </row>
    <row r="313" spans="1:11" ht="15.75" customHeight="1">
      <c r="A313" s="142"/>
      <c r="B313" s="142"/>
      <c r="C313" s="142"/>
      <c r="D313" s="142"/>
      <c r="E313" s="142"/>
      <c r="F313" s="142"/>
      <c r="G313" s="142"/>
      <c r="H313" s="142"/>
      <c r="I313" s="143"/>
      <c r="J313" s="142"/>
      <c r="K313" s="128"/>
    </row>
    <row r="314" spans="1:11" ht="15.75" customHeight="1">
      <c r="A314" s="142"/>
      <c r="B314" s="142"/>
      <c r="C314" s="142"/>
      <c r="D314" s="142"/>
      <c r="E314" s="142"/>
      <c r="F314" s="142"/>
      <c r="G314" s="142"/>
      <c r="H314" s="142"/>
      <c r="I314" s="143"/>
      <c r="J314" s="142"/>
      <c r="K314" s="128"/>
    </row>
    <row r="315" spans="1:11" ht="15.75" customHeight="1">
      <c r="A315" s="142"/>
      <c r="B315" s="142"/>
      <c r="C315" s="142"/>
      <c r="D315" s="142"/>
      <c r="E315" s="142"/>
      <c r="F315" s="142"/>
      <c r="G315" s="142"/>
      <c r="H315" s="142"/>
      <c r="I315" s="143"/>
      <c r="J315" s="142"/>
      <c r="K315" s="128"/>
    </row>
    <row r="316" spans="1:11" ht="15.75" customHeight="1">
      <c r="A316" s="142"/>
      <c r="B316" s="142"/>
      <c r="C316" s="142"/>
      <c r="D316" s="142"/>
      <c r="E316" s="142"/>
      <c r="F316" s="142"/>
      <c r="G316" s="142"/>
      <c r="H316" s="142"/>
      <c r="I316" s="143"/>
      <c r="J316" s="142"/>
      <c r="K316" s="128"/>
    </row>
    <row r="317" spans="1:11" ht="15.75" customHeight="1">
      <c r="A317" s="142"/>
      <c r="B317" s="142"/>
      <c r="C317" s="142"/>
      <c r="D317" s="142"/>
      <c r="E317" s="142"/>
      <c r="F317" s="142"/>
      <c r="G317" s="142"/>
      <c r="H317" s="142"/>
      <c r="I317" s="143"/>
      <c r="J317" s="142"/>
      <c r="K317" s="128"/>
    </row>
    <row r="318" spans="1:11" ht="15.75" customHeight="1">
      <c r="A318" s="142"/>
      <c r="B318" s="142"/>
      <c r="C318" s="142"/>
      <c r="D318" s="142"/>
      <c r="E318" s="142"/>
      <c r="F318" s="142"/>
      <c r="G318" s="142"/>
      <c r="H318" s="142"/>
      <c r="I318" s="143"/>
      <c r="J318" s="142"/>
      <c r="K318" s="128"/>
    </row>
    <row r="319" spans="1:11" ht="15.75" customHeight="1">
      <c r="A319" s="142"/>
      <c r="B319" s="142"/>
      <c r="C319" s="142"/>
      <c r="D319" s="142"/>
      <c r="E319" s="142"/>
      <c r="F319" s="142"/>
      <c r="G319" s="142"/>
      <c r="H319" s="142"/>
      <c r="I319" s="143"/>
      <c r="J319" s="142"/>
      <c r="K319" s="128"/>
    </row>
    <row r="320" spans="1:11" ht="15.75" customHeight="1">
      <c r="A320" s="142"/>
      <c r="B320" s="142"/>
      <c r="C320" s="142"/>
      <c r="D320" s="142"/>
      <c r="E320" s="142"/>
      <c r="F320" s="142"/>
      <c r="G320" s="142"/>
      <c r="H320" s="142"/>
      <c r="I320" s="143"/>
      <c r="J320" s="142"/>
      <c r="K320" s="128"/>
    </row>
    <row r="321" spans="1:11" ht="15.75" customHeight="1">
      <c r="A321" s="142"/>
      <c r="B321" s="142"/>
      <c r="C321" s="142"/>
      <c r="D321" s="142"/>
      <c r="E321" s="142"/>
      <c r="F321" s="142"/>
      <c r="G321" s="142"/>
      <c r="H321" s="142"/>
      <c r="I321" s="143"/>
      <c r="J321" s="142"/>
      <c r="K321" s="128"/>
    </row>
    <row r="322" spans="1:11" ht="15.75" customHeight="1">
      <c r="A322" s="142"/>
      <c r="B322" s="142"/>
      <c r="C322" s="142"/>
      <c r="D322" s="142"/>
      <c r="E322" s="142"/>
      <c r="F322" s="142"/>
      <c r="G322" s="142"/>
      <c r="H322" s="142"/>
      <c r="I322" s="143"/>
      <c r="J322" s="142"/>
      <c r="K322" s="128"/>
    </row>
    <row r="323" spans="1:11" ht="15.75" customHeight="1">
      <c r="A323" s="142"/>
      <c r="B323" s="142"/>
      <c r="C323" s="142"/>
      <c r="D323" s="142"/>
      <c r="E323" s="142"/>
      <c r="F323" s="142"/>
      <c r="G323" s="142"/>
      <c r="H323" s="142"/>
      <c r="I323" s="143"/>
      <c r="J323" s="142"/>
      <c r="K323" s="128"/>
    </row>
    <row r="324" spans="1:11" ht="15.75" customHeight="1">
      <c r="A324" s="142"/>
      <c r="B324" s="142"/>
      <c r="C324" s="142"/>
      <c r="D324" s="142"/>
      <c r="E324" s="142"/>
      <c r="F324" s="142"/>
      <c r="G324" s="142"/>
      <c r="H324" s="142"/>
      <c r="I324" s="143"/>
      <c r="J324" s="142"/>
      <c r="K324" s="128"/>
    </row>
    <row r="325" spans="1:11" ht="15.75" customHeight="1">
      <c r="A325" s="142"/>
      <c r="B325" s="142"/>
      <c r="C325" s="142"/>
      <c r="D325" s="142"/>
      <c r="E325" s="142"/>
      <c r="F325" s="142"/>
      <c r="G325" s="142"/>
      <c r="H325" s="142"/>
      <c r="I325" s="143"/>
      <c r="J325" s="142"/>
      <c r="K325" s="128"/>
    </row>
    <row r="326" spans="1:11" ht="15.75" customHeight="1">
      <c r="A326" s="142"/>
      <c r="B326" s="142"/>
      <c r="C326" s="142"/>
      <c r="D326" s="142"/>
      <c r="E326" s="142"/>
      <c r="F326" s="142"/>
      <c r="G326" s="142"/>
      <c r="H326" s="142"/>
      <c r="I326" s="143"/>
      <c r="J326" s="142"/>
      <c r="K326" s="128"/>
    </row>
    <row r="327" spans="1:11" ht="15.75" customHeight="1">
      <c r="A327" s="142"/>
      <c r="B327" s="142"/>
      <c r="C327" s="142"/>
      <c r="D327" s="142"/>
      <c r="E327" s="142"/>
      <c r="F327" s="142"/>
      <c r="G327" s="142"/>
      <c r="H327" s="142"/>
      <c r="I327" s="143"/>
      <c r="J327" s="142"/>
      <c r="K327" s="128"/>
    </row>
    <row r="328" spans="1:11" ht="15.75" customHeight="1">
      <c r="A328" s="142"/>
      <c r="B328" s="142"/>
      <c r="C328" s="142"/>
      <c r="D328" s="142"/>
      <c r="E328" s="142"/>
      <c r="F328" s="142"/>
      <c r="G328" s="142"/>
      <c r="H328" s="142"/>
      <c r="I328" s="143"/>
      <c r="J328" s="142"/>
      <c r="K328" s="128"/>
    </row>
    <row r="329" spans="1:11" ht="15.75" customHeight="1">
      <c r="A329" s="142"/>
      <c r="B329" s="142"/>
      <c r="C329" s="142"/>
      <c r="D329" s="142"/>
      <c r="E329" s="142"/>
      <c r="F329" s="142"/>
      <c r="G329" s="142"/>
      <c r="H329" s="142"/>
      <c r="I329" s="143"/>
      <c r="J329" s="142"/>
      <c r="K329" s="128"/>
    </row>
    <row r="330" spans="1:11" ht="15.75" customHeight="1">
      <c r="A330" s="142"/>
      <c r="B330" s="142"/>
      <c r="C330" s="142"/>
      <c r="D330" s="142"/>
      <c r="E330" s="142"/>
      <c r="F330" s="142"/>
      <c r="G330" s="142"/>
      <c r="H330" s="142"/>
      <c r="I330" s="143"/>
      <c r="J330" s="142"/>
      <c r="K330" s="128"/>
    </row>
    <row r="331" spans="1:11" ht="15.75" customHeight="1">
      <c r="A331" s="142"/>
      <c r="B331" s="142"/>
      <c r="C331" s="142"/>
      <c r="D331" s="142"/>
      <c r="E331" s="142"/>
      <c r="F331" s="142"/>
      <c r="G331" s="142"/>
      <c r="H331" s="142"/>
      <c r="I331" s="143"/>
      <c r="J331" s="142"/>
      <c r="K331" s="128"/>
    </row>
    <row r="332" spans="1:11" ht="15.75" customHeight="1">
      <c r="A332" s="142"/>
      <c r="B332" s="142"/>
      <c r="C332" s="142"/>
      <c r="D332" s="142"/>
      <c r="E332" s="142"/>
      <c r="F332" s="142"/>
      <c r="G332" s="142"/>
      <c r="H332" s="142"/>
      <c r="I332" s="143"/>
      <c r="J332" s="142"/>
      <c r="K332" s="128"/>
    </row>
    <row r="333" spans="1:11" ht="15.75" customHeight="1">
      <c r="A333" s="142"/>
      <c r="B333" s="142"/>
      <c r="C333" s="142"/>
      <c r="D333" s="142"/>
      <c r="E333" s="142"/>
      <c r="F333" s="142"/>
      <c r="G333" s="142"/>
      <c r="H333" s="142"/>
      <c r="I333" s="143"/>
      <c r="J333" s="142"/>
      <c r="K333" s="128"/>
    </row>
    <row r="334" spans="1:11" ht="15.75" customHeight="1">
      <c r="A334" s="142"/>
      <c r="B334" s="142"/>
      <c r="C334" s="142"/>
      <c r="D334" s="142"/>
      <c r="E334" s="142"/>
      <c r="F334" s="142"/>
      <c r="G334" s="142"/>
      <c r="H334" s="142"/>
      <c r="I334" s="143"/>
      <c r="J334" s="142"/>
      <c r="K334" s="128"/>
    </row>
    <row r="335" spans="1:11" ht="15.75" customHeight="1">
      <c r="A335" s="142"/>
      <c r="B335" s="142"/>
      <c r="C335" s="142"/>
      <c r="D335" s="142"/>
      <c r="E335" s="142"/>
      <c r="F335" s="142"/>
      <c r="G335" s="142"/>
      <c r="H335" s="142"/>
      <c r="I335" s="143"/>
      <c r="J335" s="142"/>
      <c r="K335" s="128"/>
    </row>
    <row r="336" spans="1:11" ht="15.75" customHeight="1">
      <c r="A336" s="142"/>
      <c r="B336" s="142"/>
      <c r="C336" s="142"/>
      <c r="D336" s="142"/>
      <c r="E336" s="142"/>
      <c r="F336" s="142"/>
      <c r="G336" s="142"/>
      <c r="H336" s="142"/>
      <c r="I336" s="143"/>
      <c r="J336" s="142"/>
      <c r="K336" s="128"/>
    </row>
    <row r="337" spans="1:11" ht="15.75" customHeight="1">
      <c r="A337" s="142"/>
      <c r="B337" s="142"/>
      <c r="C337" s="142"/>
      <c r="D337" s="142"/>
      <c r="E337" s="142"/>
      <c r="F337" s="142"/>
      <c r="G337" s="142"/>
      <c r="H337" s="142"/>
      <c r="I337" s="143"/>
      <c r="J337" s="142"/>
      <c r="K337" s="128"/>
    </row>
    <row r="338" spans="1:11" ht="15.75" customHeight="1">
      <c r="A338" s="142"/>
      <c r="B338" s="142"/>
      <c r="C338" s="142"/>
      <c r="D338" s="142"/>
      <c r="E338" s="142"/>
      <c r="F338" s="142"/>
      <c r="G338" s="142"/>
      <c r="H338" s="142"/>
      <c r="I338" s="143"/>
      <c r="J338" s="142"/>
      <c r="K338" s="128"/>
    </row>
    <row r="339" spans="1:11" ht="15.75" customHeight="1">
      <c r="A339" s="142"/>
      <c r="B339" s="142"/>
      <c r="C339" s="142"/>
      <c r="D339" s="142"/>
      <c r="E339" s="142"/>
      <c r="F339" s="142"/>
      <c r="G339" s="142"/>
      <c r="H339" s="142"/>
      <c r="I339" s="143"/>
      <c r="J339" s="142"/>
      <c r="K339" s="128"/>
    </row>
    <row r="340" spans="1:11" ht="15.75" customHeight="1">
      <c r="A340" s="142"/>
      <c r="B340" s="142"/>
      <c r="C340" s="142"/>
      <c r="D340" s="142"/>
      <c r="E340" s="142"/>
      <c r="F340" s="142"/>
      <c r="G340" s="142"/>
      <c r="H340" s="142"/>
      <c r="I340" s="143"/>
      <c r="J340" s="142"/>
      <c r="K340" s="128"/>
    </row>
    <row r="341" spans="1:11" ht="15.75" customHeight="1">
      <c r="A341" s="142"/>
      <c r="B341" s="142"/>
      <c r="C341" s="142"/>
      <c r="D341" s="142"/>
      <c r="E341" s="142"/>
      <c r="F341" s="142"/>
      <c r="G341" s="142"/>
      <c r="H341" s="142"/>
      <c r="I341" s="143"/>
      <c r="J341" s="142"/>
      <c r="K341" s="128"/>
    </row>
    <row r="342" spans="1:11" ht="15.75" customHeight="1">
      <c r="A342" s="142"/>
      <c r="B342" s="142"/>
      <c r="C342" s="142"/>
      <c r="D342" s="142"/>
      <c r="E342" s="142"/>
      <c r="F342" s="142"/>
      <c r="G342" s="142"/>
      <c r="H342" s="142"/>
      <c r="I342" s="143"/>
      <c r="J342" s="142"/>
      <c r="K342" s="128"/>
    </row>
    <row r="343" spans="1:11" ht="15.75" customHeight="1">
      <c r="A343" s="142"/>
      <c r="B343" s="142"/>
      <c r="C343" s="142"/>
      <c r="D343" s="142"/>
      <c r="E343" s="142"/>
      <c r="F343" s="142"/>
      <c r="G343" s="142"/>
      <c r="H343" s="142"/>
      <c r="I343" s="143"/>
      <c r="J343" s="142"/>
      <c r="K343" s="128"/>
    </row>
    <row r="344" spans="1:11" ht="15.75" customHeight="1">
      <c r="A344" s="142"/>
      <c r="B344" s="142"/>
      <c r="C344" s="142"/>
      <c r="D344" s="142"/>
      <c r="E344" s="142"/>
      <c r="F344" s="142"/>
      <c r="G344" s="142"/>
      <c r="H344" s="142"/>
      <c r="I344" s="143"/>
      <c r="J344" s="142"/>
      <c r="K344" s="128"/>
    </row>
    <row r="345" spans="1:11" ht="15.75" customHeight="1">
      <c r="A345" s="142"/>
      <c r="B345" s="142"/>
      <c r="C345" s="142"/>
      <c r="D345" s="142"/>
      <c r="E345" s="142"/>
      <c r="F345" s="142"/>
      <c r="G345" s="142"/>
      <c r="H345" s="142"/>
      <c r="I345" s="143"/>
      <c r="J345" s="142"/>
      <c r="K345" s="128"/>
    </row>
    <row r="346" spans="1:11" ht="15.75" customHeight="1">
      <c r="A346" s="142"/>
      <c r="B346" s="142"/>
      <c r="C346" s="142"/>
      <c r="D346" s="142"/>
      <c r="E346" s="142"/>
      <c r="F346" s="142"/>
      <c r="G346" s="142"/>
      <c r="H346" s="142"/>
      <c r="I346" s="143"/>
      <c r="J346" s="142"/>
      <c r="K346" s="128"/>
    </row>
    <row r="347" spans="1:11" ht="15.75" customHeight="1">
      <c r="A347" s="142"/>
      <c r="B347" s="142"/>
      <c r="C347" s="142"/>
      <c r="D347" s="142"/>
      <c r="E347" s="142"/>
      <c r="F347" s="142"/>
      <c r="G347" s="142"/>
      <c r="H347" s="142"/>
      <c r="I347" s="143"/>
      <c r="J347" s="142"/>
      <c r="K347" s="128"/>
    </row>
    <row r="348" spans="1:11" ht="15.75" customHeight="1">
      <c r="A348" s="142"/>
      <c r="B348" s="142"/>
      <c r="C348" s="142"/>
      <c r="D348" s="142"/>
      <c r="E348" s="142"/>
      <c r="F348" s="142"/>
      <c r="G348" s="142"/>
      <c r="H348" s="142"/>
      <c r="I348" s="143"/>
      <c r="J348" s="142"/>
      <c r="K348" s="128"/>
    </row>
    <row r="349" spans="1:11" ht="15.75" customHeight="1">
      <c r="A349" s="142"/>
      <c r="B349" s="142"/>
      <c r="C349" s="142"/>
      <c r="D349" s="142"/>
      <c r="E349" s="142"/>
      <c r="F349" s="142"/>
      <c r="G349" s="142"/>
      <c r="H349" s="142"/>
      <c r="I349" s="143"/>
      <c r="J349" s="142"/>
      <c r="K349" s="128"/>
    </row>
    <row r="350" spans="1:11" ht="15.75" customHeight="1">
      <c r="A350" s="142"/>
      <c r="B350" s="142"/>
      <c r="C350" s="142"/>
      <c r="D350" s="142"/>
      <c r="E350" s="142"/>
      <c r="F350" s="142"/>
      <c r="G350" s="142"/>
      <c r="H350" s="142"/>
      <c r="I350" s="143"/>
      <c r="J350" s="142"/>
      <c r="K350" s="128"/>
    </row>
    <row r="351" spans="1:11" ht="15.75" customHeight="1">
      <c r="A351" s="142"/>
      <c r="B351" s="142"/>
      <c r="C351" s="142"/>
      <c r="D351" s="142"/>
      <c r="E351" s="142"/>
      <c r="F351" s="142"/>
      <c r="G351" s="142"/>
      <c r="H351" s="142"/>
      <c r="I351" s="143"/>
      <c r="J351" s="142"/>
      <c r="K351" s="128"/>
    </row>
    <row r="352" spans="1:11" ht="15.75" customHeight="1">
      <c r="A352" s="142"/>
      <c r="B352" s="142"/>
      <c r="C352" s="142"/>
      <c r="D352" s="142"/>
      <c r="E352" s="142"/>
      <c r="F352" s="142"/>
      <c r="G352" s="142"/>
      <c r="H352" s="142"/>
      <c r="I352" s="143"/>
      <c r="J352" s="142"/>
      <c r="K352" s="128"/>
    </row>
    <row r="353" spans="1:11" ht="15.75" customHeight="1">
      <c r="A353" s="142"/>
      <c r="B353" s="142"/>
      <c r="C353" s="142"/>
      <c r="D353" s="142"/>
      <c r="E353" s="142"/>
      <c r="F353" s="142"/>
      <c r="G353" s="142"/>
      <c r="H353" s="142"/>
      <c r="I353" s="143"/>
      <c r="J353" s="142"/>
      <c r="K353" s="128"/>
    </row>
    <row r="354" spans="1:11" ht="15.75" customHeight="1">
      <c r="A354" s="142"/>
      <c r="B354" s="142"/>
      <c r="C354" s="142"/>
      <c r="D354" s="142"/>
      <c r="E354" s="142"/>
      <c r="F354" s="142"/>
      <c r="G354" s="142"/>
      <c r="H354" s="142"/>
      <c r="I354" s="143"/>
      <c r="J354" s="142"/>
      <c r="K354" s="128"/>
    </row>
    <row r="355" spans="1:11" ht="15.75" customHeight="1">
      <c r="A355" s="142"/>
      <c r="B355" s="142"/>
      <c r="C355" s="142"/>
      <c r="D355" s="142"/>
      <c r="E355" s="142"/>
      <c r="F355" s="142"/>
      <c r="G355" s="142"/>
      <c r="H355" s="142"/>
      <c r="I355" s="143"/>
      <c r="J355" s="142"/>
      <c r="K355" s="128"/>
    </row>
    <row r="356" spans="1:11" ht="15.75" customHeight="1">
      <c r="A356" s="142"/>
      <c r="B356" s="142"/>
      <c r="C356" s="142"/>
      <c r="D356" s="142"/>
      <c r="E356" s="142"/>
      <c r="F356" s="142"/>
      <c r="G356" s="142"/>
      <c r="H356" s="142"/>
      <c r="I356" s="143"/>
      <c r="J356" s="142"/>
      <c r="K356" s="128"/>
    </row>
    <row r="357" spans="1:11" ht="15.75" customHeight="1">
      <c r="A357" s="142"/>
      <c r="B357" s="142"/>
      <c r="C357" s="142"/>
      <c r="D357" s="142"/>
      <c r="E357" s="142"/>
      <c r="F357" s="142"/>
      <c r="G357" s="142"/>
      <c r="H357" s="142"/>
      <c r="I357" s="143"/>
      <c r="J357" s="142"/>
      <c r="K357" s="128"/>
    </row>
    <row r="358" spans="1:11" ht="15.75" customHeight="1">
      <c r="A358" s="142"/>
      <c r="B358" s="142"/>
      <c r="C358" s="142"/>
      <c r="D358" s="142"/>
      <c r="E358" s="142"/>
      <c r="F358" s="142"/>
      <c r="G358" s="142"/>
      <c r="H358" s="142"/>
      <c r="I358" s="143"/>
      <c r="J358" s="142"/>
      <c r="K358" s="128"/>
    </row>
    <row r="359" spans="1:11" ht="15.75" customHeight="1">
      <c r="A359" s="142"/>
      <c r="B359" s="142"/>
      <c r="C359" s="142"/>
      <c r="D359" s="142"/>
      <c r="E359" s="142"/>
      <c r="F359" s="142"/>
      <c r="G359" s="142"/>
      <c r="H359" s="142"/>
      <c r="I359" s="143"/>
      <c r="J359" s="142"/>
      <c r="K359" s="128"/>
    </row>
    <row r="360" spans="1:11" ht="15.75" customHeight="1">
      <c r="A360" s="142"/>
      <c r="B360" s="142"/>
      <c r="C360" s="142"/>
      <c r="D360" s="142"/>
      <c r="E360" s="142"/>
      <c r="F360" s="142"/>
      <c r="G360" s="142"/>
      <c r="H360" s="142"/>
      <c r="I360" s="143"/>
      <c r="J360" s="142"/>
      <c r="K360" s="128"/>
    </row>
    <row r="361" spans="1:11" ht="15.75" customHeight="1">
      <c r="A361" s="142"/>
      <c r="B361" s="142"/>
      <c r="C361" s="142"/>
      <c r="D361" s="142"/>
      <c r="E361" s="142"/>
      <c r="F361" s="142"/>
      <c r="G361" s="142"/>
      <c r="H361" s="142"/>
      <c r="I361" s="143"/>
      <c r="J361" s="142"/>
      <c r="K361" s="128"/>
    </row>
    <row r="362" spans="1:11" ht="15.75" customHeight="1">
      <c r="A362" s="142"/>
      <c r="B362" s="142"/>
      <c r="C362" s="142"/>
      <c r="D362" s="142"/>
      <c r="E362" s="142"/>
      <c r="F362" s="142"/>
      <c r="G362" s="142"/>
      <c r="H362" s="142"/>
      <c r="I362" s="143"/>
      <c r="J362" s="142"/>
      <c r="K362" s="128"/>
    </row>
    <row r="363" spans="1:11" ht="15.75" customHeight="1">
      <c r="A363" s="142"/>
      <c r="B363" s="142"/>
      <c r="C363" s="142"/>
      <c r="D363" s="142"/>
      <c r="E363" s="142"/>
      <c r="F363" s="142"/>
      <c r="G363" s="142"/>
      <c r="H363" s="142"/>
      <c r="I363" s="143"/>
      <c r="J363" s="142"/>
      <c r="K363" s="128"/>
    </row>
    <row r="364" spans="1:11" ht="15.75" customHeight="1">
      <c r="A364" s="142"/>
      <c r="B364" s="142"/>
      <c r="C364" s="142"/>
      <c r="D364" s="142"/>
      <c r="E364" s="142"/>
      <c r="F364" s="142"/>
      <c r="G364" s="142"/>
      <c r="H364" s="142"/>
      <c r="I364" s="143"/>
      <c r="J364" s="142"/>
      <c r="K364" s="128"/>
    </row>
    <row r="365" spans="1:11" ht="15.75" customHeight="1">
      <c r="A365" s="142"/>
      <c r="B365" s="142"/>
      <c r="C365" s="142"/>
      <c r="D365" s="142"/>
      <c r="E365" s="142"/>
      <c r="F365" s="142"/>
      <c r="G365" s="142"/>
      <c r="H365" s="142"/>
      <c r="I365" s="143"/>
      <c r="J365" s="142"/>
      <c r="K365" s="128"/>
    </row>
    <row r="366" spans="1:11" ht="15.75" customHeight="1">
      <c r="A366" s="142"/>
      <c r="B366" s="142"/>
      <c r="C366" s="142"/>
      <c r="D366" s="142"/>
      <c r="E366" s="142"/>
      <c r="F366" s="142"/>
      <c r="G366" s="142"/>
      <c r="H366" s="142"/>
      <c r="I366" s="143"/>
      <c r="J366" s="142"/>
      <c r="K366" s="128"/>
    </row>
    <row r="367" spans="1:11" ht="15.75" customHeight="1">
      <c r="A367" s="142"/>
      <c r="B367" s="142"/>
      <c r="C367" s="142"/>
      <c r="D367" s="142"/>
      <c r="E367" s="142"/>
      <c r="F367" s="142"/>
      <c r="G367" s="142"/>
      <c r="H367" s="142"/>
      <c r="I367" s="143"/>
      <c r="J367" s="142"/>
      <c r="K367" s="128"/>
    </row>
    <row r="368" spans="1:11" ht="15.75" customHeight="1">
      <c r="A368" s="142"/>
      <c r="B368" s="142"/>
      <c r="C368" s="142"/>
      <c r="D368" s="142"/>
      <c r="E368" s="142"/>
      <c r="F368" s="142"/>
      <c r="G368" s="142"/>
      <c r="H368" s="142"/>
      <c r="I368" s="143"/>
      <c r="J368" s="142"/>
      <c r="K368" s="128"/>
    </row>
    <row r="369" spans="1:11" ht="15.75" customHeight="1">
      <c r="A369" s="142"/>
      <c r="B369" s="142"/>
      <c r="C369" s="142"/>
      <c r="D369" s="142"/>
      <c r="E369" s="142"/>
      <c r="F369" s="142"/>
      <c r="G369" s="142"/>
      <c r="H369" s="142"/>
      <c r="I369" s="143"/>
      <c r="J369" s="142"/>
      <c r="K369" s="128"/>
    </row>
    <row r="370" spans="1:11" ht="15.75" customHeight="1">
      <c r="A370" s="142"/>
      <c r="B370" s="142"/>
      <c r="C370" s="142"/>
      <c r="D370" s="142"/>
      <c r="E370" s="142"/>
      <c r="F370" s="142"/>
      <c r="G370" s="142"/>
      <c r="H370" s="142"/>
      <c r="I370" s="143"/>
      <c r="J370" s="142"/>
      <c r="K370" s="128"/>
    </row>
    <row r="371" spans="1:11" ht="15.75" customHeight="1">
      <c r="A371" s="142"/>
      <c r="B371" s="142"/>
      <c r="C371" s="142"/>
      <c r="D371" s="142"/>
      <c r="E371" s="142"/>
      <c r="F371" s="142"/>
      <c r="G371" s="142"/>
      <c r="H371" s="142"/>
      <c r="I371" s="143"/>
      <c r="J371" s="142"/>
      <c r="K371" s="128"/>
    </row>
    <row r="372" spans="1:11" ht="15.75" customHeight="1">
      <c r="A372" s="142"/>
      <c r="B372" s="142"/>
      <c r="C372" s="142"/>
      <c r="D372" s="142"/>
      <c r="E372" s="142"/>
      <c r="F372" s="142"/>
      <c r="G372" s="142"/>
      <c r="H372" s="142"/>
      <c r="I372" s="143"/>
      <c r="J372" s="142"/>
      <c r="K372" s="128"/>
    </row>
    <row r="373" spans="1:11" ht="15.75" customHeight="1">
      <c r="A373" s="142"/>
      <c r="B373" s="142"/>
      <c r="C373" s="142"/>
      <c r="D373" s="142"/>
      <c r="E373" s="142"/>
      <c r="F373" s="142"/>
      <c r="G373" s="142"/>
      <c r="H373" s="142"/>
      <c r="I373" s="143"/>
      <c r="J373" s="142"/>
      <c r="K373" s="128"/>
    </row>
    <row r="374" spans="1:11" ht="15.75" customHeight="1">
      <c r="A374" s="142"/>
      <c r="B374" s="142"/>
      <c r="C374" s="142"/>
      <c r="D374" s="142"/>
      <c r="E374" s="142"/>
      <c r="F374" s="142"/>
      <c r="G374" s="142"/>
      <c r="H374" s="142"/>
      <c r="I374" s="143"/>
      <c r="J374" s="142"/>
      <c r="K374" s="128"/>
    </row>
    <row r="375" spans="1:11" ht="15.75" customHeight="1">
      <c r="A375" s="142"/>
      <c r="B375" s="142"/>
      <c r="C375" s="142"/>
      <c r="D375" s="142"/>
      <c r="E375" s="142"/>
      <c r="F375" s="142"/>
      <c r="G375" s="142"/>
      <c r="H375" s="142"/>
      <c r="I375" s="143"/>
      <c r="J375" s="142"/>
      <c r="K375" s="128"/>
    </row>
    <row r="376" spans="1:11" ht="15.75" customHeight="1">
      <c r="A376" s="142"/>
      <c r="B376" s="142"/>
      <c r="C376" s="142"/>
      <c r="D376" s="142"/>
      <c r="E376" s="142"/>
      <c r="F376" s="142"/>
      <c r="G376" s="142"/>
      <c r="H376" s="142"/>
      <c r="I376" s="143"/>
      <c r="J376" s="142"/>
      <c r="K376" s="128"/>
    </row>
    <row r="377" spans="1:11" ht="15.75" customHeight="1">
      <c r="A377" s="142"/>
      <c r="B377" s="142"/>
      <c r="C377" s="142"/>
      <c r="D377" s="142"/>
      <c r="E377" s="142"/>
      <c r="F377" s="142"/>
      <c r="G377" s="142"/>
      <c r="H377" s="142"/>
      <c r="I377" s="143"/>
      <c r="J377" s="142"/>
      <c r="K377" s="128"/>
    </row>
    <row r="378" spans="1:11" ht="15.75" customHeight="1">
      <c r="A378" s="142"/>
      <c r="B378" s="142"/>
      <c r="C378" s="142"/>
      <c r="D378" s="142"/>
      <c r="E378" s="142"/>
      <c r="F378" s="142"/>
      <c r="G378" s="142"/>
      <c r="H378" s="142"/>
      <c r="I378" s="143"/>
      <c r="J378" s="142"/>
      <c r="K378" s="128"/>
    </row>
    <row r="379" spans="1:11" ht="15.75" customHeight="1">
      <c r="A379" s="142"/>
      <c r="B379" s="142"/>
      <c r="C379" s="142"/>
      <c r="D379" s="142"/>
      <c r="E379" s="142"/>
      <c r="F379" s="142"/>
      <c r="G379" s="142"/>
      <c r="H379" s="142"/>
      <c r="I379" s="143"/>
      <c r="J379" s="142"/>
      <c r="K379" s="128"/>
    </row>
    <row r="380" spans="1:11" ht="15.75" customHeight="1">
      <c r="A380" s="142"/>
      <c r="B380" s="142"/>
      <c r="C380" s="142"/>
      <c r="D380" s="142"/>
      <c r="E380" s="142"/>
      <c r="F380" s="142"/>
      <c r="G380" s="142"/>
      <c r="H380" s="142"/>
      <c r="I380" s="143"/>
      <c r="J380" s="142"/>
      <c r="K380" s="128"/>
    </row>
    <row r="381" spans="1:11" ht="15.75" customHeight="1">
      <c r="A381" s="142"/>
      <c r="B381" s="142"/>
      <c r="C381" s="142"/>
      <c r="D381" s="142"/>
      <c r="E381" s="142"/>
      <c r="F381" s="142"/>
      <c r="G381" s="142"/>
      <c r="H381" s="142"/>
      <c r="I381" s="143"/>
      <c r="J381" s="142"/>
      <c r="K381" s="128"/>
    </row>
    <row r="382" spans="1:11" ht="15.75" customHeight="1">
      <c r="A382" s="142"/>
      <c r="B382" s="142"/>
      <c r="C382" s="142"/>
      <c r="D382" s="142"/>
      <c r="E382" s="142"/>
      <c r="F382" s="142"/>
      <c r="G382" s="142"/>
      <c r="H382" s="142"/>
      <c r="I382" s="143"/>
      <c r="J382" s="142"/>
      <c r="K382" s="128"/>
    </row>
    <row r="383" spans="1:11" ht="15.75" customHeight="1">
      <c r="A383" s="142"/>
      <c r="B383" s="142"/>
      <c r="C383" s="142"/>
      <c r="D383" s="142"/>
      <c r="E383" s="142"/>
      <c r="F383" s="142"/>
      <c r="G383" s="142"/>
      <c r="H383" s="142"/>
      <c r="I383" s="143"/>
      <c r="J383" s="142"/>
      <c r="K383" s="128"/>
    </row>
    <row r="384" spans="1:11" ht="15.75" customHeight="1">
      <c r="A384" s="142"/>
      <c r="B384" s="142"/>
      <c r="C384" s="142"/>
      <c r="D384" s="142"/>
      <c r="E384" s="142"/>
      <c r="F384" s="142"/>
      <c r="G384" s="142"/>
      <c r="H384" s="142"/>
      <c r="I384" s="143"/>
      <c r="J384" s="142"/>
      <c r="K384" s="128"/>
    </row>
    <row r="385" spans="1:11" ht="15.75" customHeight="1">
      <c r="A385" s="142"/>
      <c r="B385" s="142"/>
      <c r="C385" s="142"/>
      <c r="D385" s="142"/>
      <c r="E385" s="142"/>
      <c r="F385" s="142"/>
      <c r="G385" s="142"/>
      <c r="H385" s="142"/>
      <c r="I385" s="143"/>
      <c r="J385" s="142"/>
      <c r="K385" s="128"/>
    </row>
    <row r="386" spans="1:11" ht="15.75" customHeight="1">
      <c r="A386" s="142"/>
      <c r="B386" s="142"/>
      <c r="C386" s="142"/>
      <c r="D386" s="142"/>
      <c r="E386" s="142"/>
      <c r="F386" s="142"/>
      <c r="G386" s="142"/>
      <c r="H386" s="142"/>
      <c r="I386" s="143"/>
      <c r="J386" s="142"/>
      <c r="K386" s="128"/>
    </row>
    <row r="387" spans="1:11" ht="15.75" customHeight="1">
      <c r="A387" s="142"/>
      <c r="B387" s="142"/>
      <c r="C387" s="142"/>
      <c r="D387" s="142"/>
      <c r="E387" s="142"/>
      <c r="F387" s="142"/>
      <c r="G387" s="142"/>
      <c r="H387" s="142"/>
      <c r="I387" s="143"/>
      <c r="J387" s="142"/>
      <c r="K387" s="128"/>
    </row>
    <row r="388" spans="1:11" ht="15.75" customHeight="1">
      <c r="A388" s="142"/>
      <c r="B388" s="142"/>
      <c r="C388" s="142"/>
      <c r="D388" s="142"/>
      <c r="E388" s="142"/>
      <c r="F388" s="142"/>
      <c r="G388" s="142"/>
      <c r="H388" s="142"/>
      <c r="I388" s="143"/>
      <c r="J388" s="142"/>
      <c r="K388" s="128"/>
    </row>
    <row r="389" spans="1:11" ht="15.75" customHeight="1">
      <c r="A389" s="142"/>
      <c r="B389" s="142"/>
      <c r="C389" s="142"/>
      <c r="D389" s="142"/>
      <c r="E389" s="142"/>
      <c r="F389" s="142"/>
      <c r="G389" s="142"/>
      <c r="H389" s="142"/>
      <c r="I389" s="143"/>
      <c r="J389" s="142"/>
      <c r="K389" s="128"/>
    </row>
    <row r="390" spans="1:11" ht="15.75" customHeight="1">
      <c r="A390" s="142"/>
      <c r="B390" s="142"/>
      <c r="C390" s="142"/>
      <c r="D390" s="142"/>
      <c r="E390" s="142"/>
      <c r="F390" s="142"/>
      <c r="G390" s="142"/>
      <c r="H390" s="142"/>
      <c r="I390" s="143"/>
      <c r="J390" s="142"/>
      <c r="K390" s="128"/>
    </row>
    <row r="391" spans="1:11" ht="15.75" customHeight="1">
      <c r="A391" s="142"/>
      <c r="B391" s="142"/>
      <c r="C391" s="142"/>
      <c r="D391" s="142"/>
      <c r="E391" s="142"/>
      <c r="F391" s="142"/>
      <c r="G391" s="142"/>
      <c r="H391" s="142"/>
      <c r="I391" s="143"/>
      <c r="J391" s="142"/>
      <c r="K391" s="128"/>
    </row>
    <row r="392" spans="1:11" ht="15.75" customHeight="1">
      <c r="A392" s="142"/>
      <c r="B392" s="142"/>
      <c r="C392" s="142"/>
      <c r="D392" s="142"/>
      <c r="E392" s="142"/>
      <c r="F392" s="142"/>
      <c r="G392" s="142"/>
      <c r="H392" s="142"/>
      <c r="I392" s="143"/>
      <c r="J392" s="142"/>
      <c r="K392" s="128"/>
    </row>
    <row r="393" spans="1:11" ht="15.75" customHeight="1">
      <c r="A393" s="142"/>
      <c r="B393" s="142"/>
      <c r="C393" s="142"/>
      <c r="D393" s="142"/>
      <c r="E393" s="142"/>
      <c r="F393" s="142"/>
      <c r="G393" s="142"/>
      <c r="H393" s="142"/>
      <c r="I393" s="143"/>
      <c r="J393" s="142"/>
      <c r="K393" s="128"/>
    </row>
    <row r="394" spans="1:11" ht="15.75" customHeight="1">
      <c r="A394" s="142"/>
      <c r="B394" s="142"/>
      <c r="C394" s="142"/>
      <c r="D394" s="142"/>
      <c r="E394" s="142"/>
      <c r="F394" s="142"/>
      <c r="G394" s="142"/>
      <c r="H394" s="142"/>
      <c r="I394" s="143"/>
      <c r="J394" s="142"/>
      <c r="K394" s="128"/>
    </row>
    <row r="395" spans="1:11" ht="15.75" customHeight="1">
      <c r="A395" s="142"/>
      <c r="B395" s="142"/>
      <c r="C395" s="142"/>
      <c r="D395" s="142"/>
      <c r="E395" s="142"/>
      <c r="F395" s="142"/>
      <c r="G395" s="142"/>
      <c r="H395" s="142"/>
      <c r="I395" s="143"/>
      <c r="J395" s="142"/>
      <c r="K395" s="128"/>
    </row>
    <row r="396" spans="1:11" ht="15.75" customHeight="1">
      <c r="A396" s="142"/>
      <c r="B396" s="142"/>
      <c r="C396" s="142"/>
      <c r="D396" s="142"/>
      <c r="E396" s="142"/>
      <c r="F396" s="142"/>
      <c r="G396" s="142"/>
      <c r="H396" s="142"/>
      <c r="I396" s="143"/>
      <c r="J396" s="142"/>
      <c r="K396" s="128"/>
    </row>
    <row r="397" spans="1:11" ht="15.75" customHeight="1">
      <c r="A397" s="142"/>
      <c r="B397" s="142"/>
      <c r="C397" s="142"/>
      <c r="D397" s="142"/>
      <c r="E397" s="142"/>
      <c r="F397" s="142"/>
      <c r="G397" s="142"/>
      <c r="H397" s="142"/>
      <c r="I397" s="143"/>
      <c r="J397" s="142"/>
      <c r="K397" s="128"/>
    </row>
    <row r="398" spans="1:11" ht="15.75" customHeight="1">
      <c r="A398" s="142"/>
      <c r="B398" s="142"/>
      <c r="C398" s="142"/>
      <c r="D398" s="142"/>
      <c r="E398" s="142"/>
      <c r="F398" s="142"/>
      <c r="G398" s="142"/>
      <c r="H398" s="142"/>
      <c r="I398" s="143"/>
      <c r="J398" s="142"/>
      <c r="K398" s="128"/>
    </row>
    <row r="399" spans="1:11" ht="15.75" customHeight="1">
      <c r="A399" s="142"/>
      <c r="B399" s="142"/>
      <c r="C399" s="142"/>
      <c r="D399" s="142"/>
      <c r="E399" s="142"/>
      <c r="F399" s="142"/>
      <c r="G399" s="142"/>
      <c r="H399" s="142"/>
      <c r="I399" s="143"/>
      <c r="J399" s="142"/>
      <c r="K399" s="128"/>
    </row>
    <row r="400" spans="1:11" ht="15.75" customHeight="1">
      <c r="A400" s="142"/>
      <c r="B400" s="142"/>
      <c r="C400" s="142"/>
      <c r="D400" s="142"/>
      <c r="E400" s="142"/>
      <c r="F400" s="142"/>
      <c r="G400" s="142"/>
      <c r="H400" s="142"/>
      <c r="I400" s="143"/>
      <c r="J400" s="142"/>
      <c r="K400" s="128"/>
    </row>
    <row r="401" spans="1:11" ht="15.75" customHeight="1">
      <c r="A401" s="142"/>
      <c r="B401" s="142"/>
      <c r="C401" s="142"/>
      <c r="D401" s="142"/>
      <c r="E401" s="142"/>
      <c r="F401" s="142"/>
      <c r="G401" s="142"/>
      <c r="H401" s="142"/>
      <c r="I401" s="143"/>
      <c r="J401" s="142"/>
      <c r="K401" s="128"/>
    </row>
    <row r="402" spans="1:11" ht="15.75" customHeight="1">
      <c r="A402" s="142"/>
      <c r="B402" s="142"/>
      <c r="C402" s="142"/>
      <c r="D402" s="142"/>
      <c r="E402" s="142"/>
      <c r="F402" s="142"/>
      <c r="G402" s="142"/>
      <c r="H402" s="142"/>
      <c r="I402" s="143"/>
      <c r="J402" s="142"/>
      <c r="K402" s="128"/>
    </row>
    <row r="403" spans="1:11" ht="15.75" customHeight="1">
      <c r="A403" s="142"/>
      <c r="B403" s="142"/>
      <c r="C403" s="142"/>
      <c r="D403" s="142"/>
      <c r="E403" s="142"/>
      <c r="F403" s="142"/>
      <c r="G403" s="142"/>
      <c r="H403" s="142"/>
      <c r="I403" s="143"/>
      <c r="J403" s="142"/>
      <c r="K403" s="128"/>
    </row>
    <row r="404" spans="1:11" ht="15.75" customHeight="1">
      <c r="A404" s="142"/>
      <c r="B404" s="142"/>
      <c r="C404" s="142"/>
      <c r="D404" s="142"/>
      <c r="E404" s="142"/>
      <c r="F404" s="142"/>
      <c r="G404" s="142"/>
      <c r="H404" s="142"/>
      <c r="I404" s="143"/>
      <c r="J404" s="142"/>
      <c r="K404" s="128"/>
    </row>
    <row r="405" spans="1:11" ht="15.75" customHeight="1">
      <c r="A405" s="142"/>
      <c r="B405" s="142"/>
      <c r="C405" s="142"/>
      <c r="D405" s="142"/>
      <c r="E405" s="142"/>
      <c r="F405" s="142"/>
      <c r="G405" s="142"/>
      <c r="H405" s="142"/>
      <c r="I405" s="143"/>
      <c r="J405" s="142"/>
      <c r="K405" s="128"/>
    </row>
    <row r="406" spans="1:11" ht="15.75" customHeight="1">
      <c r="A406" s="142"/>
      <c r="B406" s="142"/>
      <c r="C406" s="142"/>
      <c r="D406" s="142"/>
      <c r="E406" s="142"/>
      <c r="F406" s="142"/>
      <c r="G406" s="142"/>
      <c r="H406" s="142"/>
      <c r="I406" s="143"/>
      <c r="J406" s="142"/>
      <c r="K406" s="128"/>
    </row>
    <row r="407" spans="1:11" ht="15.75" customHeight="1">
      <c r="A407" s="142"/>
      <c r="B407" s="142"/>
      <c r="C407" s="142"/>
      <c r="D407" s="142"/>
      <c r="E407" s="142"/>
      <c r="F407" s="142"/>
      <c r="G407" s="142"/>
      <c r="H407" s="142"/>
      <c r="I407" s="143"/>
      <c r="J407" s="142"/>
      <c r="K407" s="128"/>
    </row>
    <row r="408" spans="1:11" ht="15.75" customHeight="1">
      <c r="A408" s="142"/>
      <c r="B408" s="142"/>
      <c r="C408" s="142"/>
      <c r="D408" s="142"/>
      <c r="E408" s="142"/>
      <c r="F408" s="142"/>
      <c r="G408" s="142"/>
      <c r="H408" s="142"/>
      <c r="I408" s="143"/>
      <c r="J408" s="142"/>
      <c r="K408" s="128"/>
    </row>
    <row r="409" spans="1:11" ht="15.75" customHeight="1">
      <c r="A409" s="142"/>
      <c r="B409" s="142"/>
      <c r="C409" s="142"/>
      <c r="D409" s="142"/>
      <c r="E409" s="142"/>
      <c r="F409" s="142"/>
      <c r="G409" s="142"/>
      <c r="H409" s="142"/>
      <c r="I409" s="143"/>
      <c r="J409" s="142"/>
      <c r="K409" s="128"/>
    </row>
    <row r="410" spans="1:11" ht="15.75" customHeight="1">
      <c r="A410" s="142"/>
      <c r="B410" s="142"/>
      <c r="C410" s="142"/>
      <c r="D410" s="142"/>
      <c r="E410" s="142"/>
      <c r="F410" s="142"/>
      <c r="G410" s="142"/>
      <c r="H410" s="142"/>
      <c r="I410" s="143"/>
      <c r="J410" s="142"/>
      <c r="K410" s="128"/>
    </row>
    <row r="411" spans="1:11" ht="15.75" customHeight="1">
      <c r="A411" s="142"/>
      <c r="B411" s="142"/>
      <c r="C411" s="142"/>
      <c r="D411" s="142"/>
      <c r="E411" s="142"/>
      <c r="F411" s="142"/>
      <c r="G411" s="142"/>
      <c r="H411" s="142"/>
      <c r="I411" s="143"/>
      <c r="J411" s="142"/>
      <c r="K411" s="128"/>
    </row>
    <row r="412" spans="1:11" ht="15.75" customHeight="1">
      <c r="A412" s="142"/>
      <c r="B412" s="142"/>
      <c r="C412" s="142"/>
      <c r="D412" s="142"/>
      <c r="E412" s="142"/>
      <c r="F412" s="142"/>
      <c r="G412" s="142"/>
      <c r="H412" s="142"/>
      <c r="I412" s="143"/>
      <c r="J412" s="142"/>
      <c r="K412" s="128"/>
    </row>
    <row r="413" spans="1:11" ht="15.75" customHeight="1">
      <c r="A413" s="142"/>
      <c r="B413" s="142"/>
      <c r="C413" s="142"/>
      <c r="D413" s="142"/>
      <c r="E413" s="142"/>
      <c r="F413" s="142"/>
      <c r="G413" s="142"/>
      <c r="H413" s="142"/>
      <c r="I413" s="143"/>
      <c r="J413" s="142"/>
      <c r="K413" s="128"/>
    </row>
    <row r="414" spans="1:11" ht="15.75" customHeight="1">
      <c r="A414" s="142"/>
      <c r="B414" s="142"/>
      <c r="C414" s="142"/>
      <c r="D414" s="142"/>
      <c r="E414" s="142"/>
      <c r="F414" s="142"/>
      <c r="G414" s="142"/>
      <c r="H414" s="142"/>
      <c r="I414" s="143"/>
      <c r="J414" s="142"/>
      <c r="K414" s="128"/>
    </row>
    <row r="415" spans="1:11" ht="15.75" customHeight="1">
      <c r="A415" s="142"/>
      <c r="B415" s="142"/>
      <c r="C415" s="142"/>
      <c r="D415" s="142"/>
      <c r="E415" s="142"/>
      <c r="F415" s="142"/>
      <c r="G415" s="142"/>
      <c r="H415" s="142"/>
      <c r="I415" s="143"/>
      <c r="J415" s="142"/>
      <c r="K415" s="128"/>
    </row>
    <row r="416" spans="1:11" ht="15.75" customHeight="1">
      <c r="A416" s="142"/>
      <c r="B416" s="142"/>
      <c r="C416" s="142"/>
      <c r="D416" s="142"/>
      <c r="E416" s="142"/>
      <c r="F416" s="142"/>
      <c r="G416" s="142"/>
      <c r="H416" s="142"/>
      <c r="I416" s="143"/>
      <c r="J416" s="142"/>
      <c r="K416" s="128"/>
    </row>
    <row r="417" spans="1:11" ht="15.75" customHeight="1">
      <c r="A417" s="142"/>
      <c r="B417" s="142"/>
      <c r="C417" s="142"/>
      <c r="D417" s="142"/>
      <c r="E417" s="142"/>
      <c r="F417" s="142"/>
      <c r="G417" s="142"/>
      <c r="H417" s="142"/>
      <c r="I417" s="143"/>
      <c r="J417" s="142"/>
      <c r="K417" s="128"/>
    </row>
    <row r="418" spans="1:11" ht="15.75" customHeight="1">
      <c r="A418" s="142"/>
      <c r="B418" s="142"/>
      <c r="C418" s="142"/>
      <c r="D418" s="142"/>
      <c r="E418" s="142"/>
      <c r="F418" s="142"/>
      <c r="G418" s="142"/>
      <c r="H418" s="142"/>
      <c r="I418" s="143"/>
      <c r="J418" s="142"/>
      <c r="K418" s="128"/>
    </row>
    <row r="419" spans="1:11" ht="15.75" customHeight="1">
      <c r="A419" s="142"/>
      <c r="B419" s="142"/>
      <c r="C419" s="142"/>
      <c r="D419" s="142"/>
      <c r="E419" s="142"/>
      <c r="F419" s="142"/>
      <c r="G419" s="142"/>
      <c r="H419" s="142"/>
      <c r="I419" s="143"/>
      <c r="J419" s="142"/>
      <c r="K419" s="128"/>
    </row>
    <row r="420" spans="1:11" ht="15.75" customHeight="1">
      <c r="A420" s="142"/>
      <c r="B420" s="142"/>
      <c r="C420" s="142"/>
      <c r="D420" s="142"/>
      <c r="E420" s="142"/>
      <c r="F420" s="142"/>
      <c r="G420" s="142"/>
      <c r="H420" s="142"/>
      <c r="I420" s="143"/>
      <c r="J420" s="142"/>
      <c r="K420" s="128"/>
    </row>
    <row r="421" spans="1:11" ht="15.75" customHeight="1">
      <c r="A421" s="142"/>
      <c r="B421" s="142"/>
      <c r="C421" s="142"/>
      <c r="D421" s="142"/>
      <c r="E421" s="142"/>
      <c r="F421" s="142"/>
      <c r="G421" s="142"/>
      <c r="H421" s="142"/>
      <c r="I421" s="143"/>
      <c r="J421" s="142"/>
      <c r="K421" s="128"/>
    </row>
    <row r="422" spans="1:11" ht="15.75" customHeight="1">
      <c r="A422" s="142"/>
      <c r="B422" s="142"/>
      <c r="C422" s="142"/>
      <c r="D422" s="142"/>
      <c r="E422" s="142"/>
      <c r="F422" s="142"/>
      <c r="G422" s="142"/>
      <c r="H422" s="142"/>
      <c r="I422" s="143"/>
      <c r="J422" s="142"/>
      <c r="K422" s="128"/>
    </row>
    <row r="423" spans="1:11" ht="15.75" customHeight="1">
      <c r="A423" s="142"/>
      <c r="B423" s="142"/>
      <c r="C423" s="142"/>
      <c r="D423" s="142"/>
      <c r="E423" s="142"/>
      <c r="F423" s="142"/>
      <c r="G423" s="142"/>
      <c r="H423" s="142"/>
      <c r="I423" s="143"/>
      <c r="J423" s="142"/>
      <c r="K423" s="128"/>
    </row>
    <row r="424" spans="1:11" ht="15.75" customHeight="1">
      <c r="A424" s="142"/>
      <c r="B424" s="142"/>
      <c r="C424" s="142"/>
      <c r="D424" s="142"/>
      <c r="E424" s="142"/>
      <c r="F424" s="142"/>
      <c r="G424" s="142"/>
      <c r="H424" s="142"/>
      <c r="I424" s="143"/>
      <c r="J424" s="142"/>
      <c r="K424" s="128"/>
    </row>
    <row r="425" spans="1:11" ht="15.75" customHeight="1">
      <c r="A425" s="142"/>
      <c r="B425" s="142"/>
      <c r="C425" s="142"/>
      <c r="D425" s="142"/>
      <c r="E425" s="142"/>
      <c r="F425" s="142"/>
      <c r="G425" s="142"/>
      <c r="H425" s="142"/>
      <c r="I425" s="143"/>
      <c r="J425" s="142"/>
      <c r="K425" s="128"/>
    </row>
    <row r="426" spans="1:11" ht="15.75" customHeight="1">
      <c r="A426" s="142"/>
      <c r="B426" s="142"/>
      <c r="C426" s="142"/>
      <c r="D426" s="142"/>
      <c r="E426" s="142"/>
      <c r="F426" s="142"/>
      <c r="G426" s="142"/>
      <c r="H426" s="142"/>
      <c r="I426" s="143"/>
      <c r="J426" s="142"/>
      <c r="K426" s="128"/>
    </row>
    <row r="427" spans="1:11" ht="15.75" customHeight="1">
      <c r="A427" s="142"/>
      <c r="B427" s="142"/>
      <c r="C427" s="142"/>
      <c r="D427" s="142"/>
      <c r="E427" s="142"/>
      <c r="F427" s="142"/>
      <c r="G427" s="142"/>
      <c r="H427" s="142"/>
      <c r="I427" s="143"/>
      <c r="J427" s="142"/>
      <c r="K427" s="128"/>
    </row>
    <row r="428" spans="1:11" ht="15.75" customHeight="1">
      <c r="A428" s="142"/>
      <c r="B428" s="142"/>
      <c r="C428" s="142"/>
      <c r="D428" s="142"/>
      <c r="E428" s="142"/>
      <c r="F428" s="142"/>
      <c r="G428" s="142"/>
      <c r="H428" s="142"/>
      <c r="I428" s="143"/>
      <c r="J428" s="142"/>
      <c r="K428" s="128"/>
    </row>
    <row r="429" spans="1:11" ht="15.75" customHeight="1">
      <c r="A429" s="142"/>
      <c r="B429" s="142"/>
      <c r="C429" s="142"/>
      <c r="D429" s="142"/>
      <c r="E429" s="142"/>
      <c r="F429" s="142"/>
      <c r="G429" s="142"/>
      <c r="H429" s="142"/>
      <c r="I429" s="143"/>
      <c r="J429" s="142"/>
      <c r="K429" s="128"/>
    </row>
    <row r="430" spans="1:11" ht="15.75" customHeight="1">
      <c r="A430" s="142"/>
      <c r="B430" s="142"/>
      <c r="C430" s="142"/>
      <c r="D430" s="142"/>
      <c r="E430" s="142"/>
      <c r="F430" s="142"/>
      <c r="G430" s="142"/>
      <c r="H430" s="142"/>
      <c r="I430" s="143"/>
      <c r="J430" s="142"/>
      <c r="K430" s="128"/>
    </row>
    <row r="431" spans="1:11" ht="15.75" customHeight="1">
      <c r="A431" s="142"/>
      <c r="B431" s="142"/>
      <c r="C431" s="142"/>
      <c r="D431" s="142"/>
      <c r="E431" s="142"/>
      <c r="F431" s="142"/>
      <c r="G431" s="142"/>
      <c r="H431" s="142"/>
      <c r="I431" s="143"/>
      <c r="J431" s="142"/>
      <c r="K431" s="128"/>
    </row>
    <row r="432" spans="1:11" ht="15.75" customHeight="1">
      <c r="A432" s="142"/>
      <c r="B432" s="142"/>
      <c r="C432" s="142"/>
      <c r="D432" s="142"/>
      <c r="E432" s="142"/>
      <c r="F432" s="142"/>
      <c r="G432" s="142"/>
      <c r="H432" s="142"/>
      <c r="I432" s="143"/>
      <c r="J432" s="142"/>
      <c r="K432" s="128"/>
    </row>
    <row r="433" spans="1:11" ht="15.75" customHeight="1">
      <c r="A433" s="142"/>
      <c r="B433" s="142"/>
      <c r="C433" s="142"/>
      <c r="D433" s="142"/>
      <c r="E433" s="142"/>
      <c r="F433" s="142"/>
      <c r="G433" s="142"/>
      <c r="H433" s="142"/>
      <c r="I433" s="143"/>
      <c r="J433" s="142"/>
      <c r="K433" s="128"/>
    </row>
    <row r="434" spans="1:11" ht="15.75" customHeight="1">
      <c r="A434" s="142"/>
      <c r="B434" s="142"/>
      <c r="C434" s="142"/>
      <c r="D434" s="142"/>
      <c r="E434" s="142"/>
      <c r="F434" s="142"/>
      <c r="G434" s="142"/>
      <c r="H434" s="142"/>
      <c r="I434" s="143"/>
      <c r="J434" s="142"/>
      <c r="K434" s="128"/>
    </row>
    <row r="435" spans="1:11" ht="15.75" customHeight="1">
      <c r="A435" s="142"/>
      <c r="B435" s="142"/>
      <c r="C435" s="142"/>
      <c r="D435" s="142"/>
      <c r="E435" s="142"/>
      <c r="F435" s="142"/>
      <c r="G435" s="142"/>
      <c r="H435" s="142"/>
      <c r="I435" s="143"/>
      <c r="J435" s="142"/>
      <c r="K435" s="128"/>
    </row>
    <row r="436" spans="1:11" ht="15.75" customHeight="1">
      <c r="A436" s="142"/>
      <c r="B436" s="142"/>
      <c r="C436" s="142"/>
      <c r="D436" s="142"/>
      <c r="E436" s="142"/>
      <c r="F436" s="142"/>
      <c r="G436" s="142"/>
      <c r="H436" s="142"/>
      <c r="I436" s="143"/>
      <c r="J436" s="142"/>
      <c r="K436" s="128"/>
    </row>
    <row r="437" spans="1:11" ht="15.75" customHeight="1">
      <c r="A437" s="142"/>
      <c r="B437" s="142"/>
      <c r="C437" s="142"/>
      <c r="D437" s="142"/>
      <c r="E437" s="142"/>
      <c r="F437" s="142"/>
      <c r="G437" s="142"/>
      <c r="H437" s="142"/>
      <c r="I437" s="143"/>
      <c r="J437" s="142"/>
      <c r="K437" s="128"/>
    </row>
    <row r="438" spans="1:11" ht="15.75" customHeight="1">
      <c r="A438" s="142"/>
      <c r="B438" s="142"/>
      <c r="C438" s="142"/>
      <c r="D438" s="142"/>
      <c r="E438" s="142"/>
      <c r="F438" s="142"/>
      <c r="G438" s="142"/>
      <c r="H438" s="142"/>
      <c r="I438" s="143"/>
      <c r="J438" s="142"/>
      <c r="K438" s="128"/>
    </row>
    <row r="439" spans="1:11" ht="15.75" customHeight="1">
      <c r="A439" s="142"/>
      <c r="B439" s="142"/>
      <c r="C439" s="142"/>
      <c r="D439" s="142"/>
      <c r="E439" s="142"/>
      <c r="F439" s="142"/>
      <c r="G439" s="142"/>
      <c r="H439" s="142"/>
      <c r="I439" s="143"/>
      <c r="J439" s="142"/>
      <c r="K439" s="128"/>
    </row>
    <row r="440" spans="1:11" ht="15.75" customHeight="1">
      <c r="A440" s="142"/>
      <c r="B440" s="142"/>
      <c r="C440" s="142"/>
      <c r="D440" s="142"/>
      <c r="E440" s="142"/>
      <c r="F440" s="142"/>
      <c r="G440" s="142"/>
      <c r="H440" s="142"/>
      <c r="I440" s="143"/>
      <c r="J440" s="142"/>
      <c r="K440" s="128"/>
    </row>
    <row r="441" spans="1:11" ht="15.75" customHeight="1">
      <c r="A441" s="142"/>
      <c r="B441" s="142"/>
      <c r="C441" s="142"/>
      <c r="D441" s="142"/>
      <c r="E441" s="142"/>
      <c r="F441" s="142"/>
      <c r="G441" s="142"/>
      <c r="H441" s="142"/>
      <c r="I441" s="143"/>
      <c r="J441" s="142"/>
      <c r="K441" s="128"/>
    </row>
    <row r="442" spans="1:11" ht="15.75" customHeight="1">
      <c r="A442" s="142"/>
      <c r="B442" s="142"/>
      <c r="C442" s="142"/>
      <c r="D442" s="142"/>
      <c r="E442" s="142"/>
      <c r="F442" s="142"/>
      <c r="G442" s="142"/>
      <c r="H442" s="142"/>
      <c r="I442" s="143"/>
      <c r="J442" s="142"/>
      <c r="K442" s="128"/>
    </row>
    <row r="443" spans="1:11" ht="15.75" customHeight="1">
      <c r="A443" s="142"/>
      <c r="B443" s="142"/>
      <c r="C443" s="142"/>
      <c r="D443" s="142"/>
      <c r="E443" s="142"/>
      <c r="F443" s="142"/>
      <c r="G443" s="142"/>
      <c r="H443" s="142"/>
      <c r="I443" s="143"/>
      <c r="J443" s="142"/>
      <c r="K443" s="128"/>
    </row>
    <row r="444" spans="1:11" ht="15.75" customHeight="1">
      <c r="A444" s="142"/>
      <c r="B444" s="142"/>
      <c r="C444" s="142"/>
      <c r="D444" s="142"/>
      <c r="E444" s="142"/>
      <c r="F444" s="142"/>
      <c r="G444" s="142"/>
      <c r="H444" s="142"/>
      <c r="I444" s="143"/>
      <c r="J444" s="142"/>
      <c r="K444" s="128"/>
    </row>
    <row r="445" spans="1:11" ht="15.75" customHeight="1">
      <c r="A445" s="142"/>
      <c r="B445" s="142"/>
      <c r="C445" s="142"/>
      <c r="D445" s="142"/>
      <c r="E445" s="142"/>
      <c r="F445" s="142"/>
      <c r="G445" s="142"/>
      <c r="H445" s="142"/>
      <c r="I445" s="143"/>
      <c r="J445" s="142"/>
      <c r="K445" s="128"/>
    </row>
    <row r="446" spans="1:11" ht="15.75" customHeight="1">
      <c r="A446" s="142"/>
      <c r="B446" s="142"/>
      <c r="C446" s="142"/>
      <c r="D446" s="142"/>
      <c r="E446" s="142"/>
      <c r="F446" s="142"/>
      <c r="G446" s="142"/>
      <c r="H446" s="142"/>
      <c r="I446" s="143"/>
      <c r="J446" s="142"/>
      <c r="K446" s="128"/>
    </row>
    <row r="447" spans="1:11" ht="15.75" customHeight="1">
      <c r="A447" s="142"/>
      <c r="B447" s="142"/>
      <c r="C447" s="142"/>
      <c r="D447" s="142"/>
      <c r="E447" s="142"/>
      <c r="F447" s="142"/>
      <c r="G447" s="142"/>
      <c r="H447" s="142"/>
      <c r="I447" s="143"/>
      <c r="J447" s="142"/>
      <c r="K447" s="128"/>
    </row>
    <row r="448" spans="1:11" ht="15.75" customHeight="1">
      <c r="A448" s="142"/>
      <c r="B448" s="142"/>
      <c r="C448" s="142"/>
      <c r="D448" s="142"/>
      <c r="E448" s="142"/>
      <c r="F448" s="142"/>
      <c r="G448" s="142"/>
      <c r="H448" s="142"/>
      <c r="I448" s="143"/>
      <c r="J448" s="142"/>
      <c r="K448" s="128"/>
    </row>
    <row r="449" spans="1:11" ht="15.75" customHeight="1">
      <c r="A449" s="142"/>
      <c r="B449" s="142"/>
      <c r="C449" s="142"/>
      <c r="D449" s="142"/>
      <c r="E449" s="142"/>
      <c r="F449" s="142"/>
      <c r="G449" s="142"/>
      <c r="H449" s="142"/>
      <c r="I449" s="143"/>
      <c r="J449" s="142"/>
      <c r="K449" s="128"/>
    </row>
    <row r="450" spans="1:11" ht="15.75" customHeight="1">
      <c r="A450" s="142"/>
      <c r="B450" s="142"/>
      <c r="C450" s="142"/>
      <c r="D450" s="142"/>
      <c r="E450" s="142"/>
      <c r="F450" s="142"/>
      <c r="G450" s="142"/>
      <c r="H450" s="142"/>
      <c r="I450" s="143"/>
      <c r="J450" s="142"/>
      <c r="K450" s="128"/>
    </row>
    <row r="451" spans="1:11" ht="15.75" customHeight="1">
      <c r="A451" s="142"/>
      <c r="B451" s="142"/>
      <c r="C451" s="142"/>
      <c r="D451" s="142"/>
      <c r="E451" s="142"/>
      <c r="F451" s="142"/>
      <c r="G451" s="142"/>
      <c r="H451" s="142"/>
      <c r="I451" s="143"/>
      <c r="J451" s="142"/>
      <c r="K451" s="128"/>
    </row>
    <row r="452" spans="1:11" ht="15.75" customHeight="1">
      <c r="A452" s="142"/>
      <c r="B452" s="142"/>
      <c r="C452" s="142"/>
      <c r="D452" s="142"/>
      <c r="E452" s="142"/>
      <c r="F452" s="142"/>
      <c r="G452" s="142"/>
      <c r="H452" s="142"/>
      <c r="I452" s="143"/>
      <c r="J452" s="142"/>
      <c r="K452" s="128"/>
    </row>
    <row r="453" spans="1:11" ht="15.75" customHeight="1">
      <c r="A453" s="142"/>
      <c r="B453" s="142"/>
      <c r="C453" s="142"/>
      <c r="D453" s="142"/>
      <c r="E453" s="142"/>
      <c r="F453" s="142"/>
      <c r="G453" s="142"/>
      <c r="H453" s="142"/>
      <c r="I453" s="143"/>
      <c r="J453" s="142"/>
      <c r="K453" s="128"/>
    </row>
    <row r="454" spans="1:11" ht="15.75" customHeight="1">
      <c r="A454" s="142"/>
      <c r="B454" s="142"/>
      <c r="C454" s="142"/>
      <c r="D454" s="142"/>
      <c r="E454" s="142"/>
      <c r="F454" s="142"/>
      <c r="G454" s="142"/>
      <c r="H454" s="142"/>
      <c r="I454" s="143"/>
      <c r="J454" s="142"/>
      <c r="K454" s="128"/>
    </row>
    <row r="455" spans="1:11" ht="15.75" customHeight="1">
      <c r="A455" s="142"/>
      <c r="B455" s="142"/>
      <c r="C455" s="142"/>
      <c r="D455" s="142"/>
      <c r="E455" s="142"/>
      <c r="F455" s="142"/>
      <c r="G455" s="142"/>
      <c r="H455" s="142"/>
      <c r="I455" s="143"/>
      <c r="J455" s="142"/>
      <c r="K455" s="128"/>
    </row>
    <row r="456" spans="1:11" ht="15.75" customHeight="1">
      <c r="A456" s="142"/>
      <c r="B456" s="142"/>
      <c r="C456" s="142"/>
      <c r="D456" s="142"/>
      <c r="E456" s="142"/>
      <c r="F456" s="142"/>
      <c r="G456" s="142"/>
      <c r="H456" s="142"/>
      <c r="I456" s="143"/>
      <c r="J456" s="142"/>
      <c r="K456" s="128"/>
    </row>
    <row r="457" spans="1:11" ht="15.75" customHeight="1">
      <c r="A457" s="142"/>
      <c r="B457" s="142"/>
      <c r="C457" s="142"/>
      <c r="D457" s="142"/>
      <c r="E457" s="142"/>
      <c r="F457" s="142"/>
      <c r="G457" s="142"/>
      <c r="H457" s="142"/>
      <c r="I457" s="143"/>
      <c r="J457" s="142"/>
      <c r="K457" s="128"/>
    </row>
    <row r="458" spans="1:11" ht="15.75" customHeight="1">
      <c r="A458" s="142"/>
      <c r="B458" s="142"/>
      <c r="C458" s="142"/>
      <c r="D458" s="142"/>
      <c r="E458" s="142"/>
      <c r="F458" s="142"/>
      <c r="G458" s="142"/>
      <c r="H458" s="142"/>
      <c r="I458" s="143"/>
      <c r="J458" s="142"/>
      <c r="K458" s="128"/>
    </row>
    <row r="459" spans="1:11" ht="15.75" customHeight="1">
      <c r="A459" s="142"/>
      <c r="B459" s="142"/>
      <c r="C459" s="142"/>
      <c r="D459" s="142"/>
      <c r="E459" s="142"/>
      <c r="F459" s="142"/>
      <c r="G459" s="142"/>
      <c r="H459" s="142"/>
      <c r="I459" s="143"/>
      <c r="J459" s="142"/>
      <c r="K459" s="128"/>
    </row>
    <row r="460" spans="1:11" ht="15.75" customHeight="1">
      <c r="A460" s="142"/>
      <c r="B460" s="142"/>
      <c r="C460" s="142"/>
      <c r="D460" s="142"/>
      <c r="E460" s="142"/>
      <c r="F460" s="142"/>
      <c r="G460" s="142"/>
      <c r="H460" s="142"/>
      <c r="I460" s="143"/>
      <c r="J460" s="142"/>
      <c r="K460" s="128"/>
    </row>
    <row r="461" spans="1:11" ht="15.75" customHeight="1">
      <c r="A461" s="142"/>
      <c r="B461" s="142"/>
      <c r="C461" s="142"/>
      <c r="D461" s="142"/>
      <c r="E461" s="142"/>
      <c r="F461" s="142"/>
      <c r="G461" s="142"/>
      <c r="H461" s="142"/>
      <c r="I461" s="143"/>
      <c r="J461" s="142"/>
      <c r="K461" s="128"/>
    </row>
    <row r="462" spans="1:11" ht="15.75" customHeight="1">
      <c r="A462" s="142"/>
      <c r="B462" s="142"/>
      <c r="C462" s="142"/>
      <c r="D462" s="142"/>
      <c r="E462" s="142"/>
      <c r="F462" s="142"/>
      <c r="G462" s="142"/>
      <c r="H462" s="142"/>
      <c r="I462" s="143"/>
      <c r="J462" s="142"/>
      <c r="K462" s="128"/>
    </row>
    <row r="463" spans="1:11" ht="15.75" customHeight="1">
      <c r="A463" s="142"/>
      <c r="B463" s="142"/>
      <c r="C463" s="142"/>
      <c r="D463" s="142"/>
      <c r="E463" s="142"/>
      <c r="F463" s="142"/>
      <c r="G463" s="142"/>
      <c r="H463" s="142"/>
      <c r="I463" s="143"/>
      <c r="J463" s="142"/>
      <c r="K463" s="128"/>
    </row>
    <row r="464" spans="1:11" ht="15.75" customHeight="1">
      <c r="A464" s="142"/>
      <c r="B464" s="142"/>
      <c r="C464" s="142"/>
      <c r="D464" s="142"/>
      <c r="E464" s="142"/>
      <c r="F464" s="142"/>
      <c r="G464" s="142"/>
      <c r="H464" s="142"/>
      <c r="I464" s="143"/>
      <c r="J464" s="142"/>
      <c r="K464" s="128"/>
    </row>
    <row r="465" spans="1:11" ht="15.75" customHeight="1">
      <c r="A465" s="142"/>
      <c r="B465" s="142"/>
      <c r="C465" s="142"/>
      <c r="D465" s="142"/>
      <c r="E465" s="142"/>
      <c r="F465" s="142"/>
      <c r="G465" s="142"/>
      <c r="H465" s="142"/>
      <c r="I465" s="143"/>
      <c r="J465" s="142"/>
      <c r="K465" s="128"/>
    </row>
    <row r="466" spans="1:11" ht="15.75" customHeight="1">
      <c r="A466" s="142"/>
      <c r="B466" s="142"/>
      <c r="C466" s="142"/>
      <c r="D466" s="142"/>
      <c r="E466" s="142"/>
      <c r="F466" s="142"/>
      <c r="G466" s="142"/>
      <c r="H466" s="142"/>
      <c r="I466" s="143"/>
      <c r="J466" s="142"/>
      <c r="K466" s="128"/>
    </row>
    <row r="467" spans="1:11" ht="15.75" customHeight="1">
      <c r="A467" s="142"/>
      <c r="B467" s="142"/>
      <c r="C467" s="142"/>
      <c r="D467" s="142"/>
      <c r="E467" s="142"/>
      <c r="F467" s="142"/>
      <c r="G467" s="142"/>
      <c r="H467" s="142"/>
      <c r="I467" s="143"/>
      <c r="J467" s="142"/>
      <c r="K467" s="128"/>
    </row>
    <row r="468" spans="1:11" ht="15.75" customHeight="1">
      <c r="A468" s="142"/>
      <c r="B468" s="142"/>
      <c r="C468" s="142"/>
      <c r="D468" s="142"/>
      <c r="E468" s="142"/>
      <c r="F468" s="142"/>
      <c r="G468" s="142"/>
      <c r="H468" s="142"/>
      <c r="I468" s="143"/>
      <c r="J468" s="142"/>
      <c r="K468" s="128"/>
    </row>
    <row r="469" spans="1:11" ht="15.75" customHeight="1">
      <c r="A469" s="142"/>
      <c r="B469" s="142"/>
      <c r="C469" s="142"/>
      <c r="D469" s="142"/>
      <c r="E469" s="142"/>
      <c r="F469" s="142"/>
      <c r="G469" s="142"/>
      <c r="H469" s="142"/>
      <c r="I469" s="143"/>
      <c r="J469" s="142"/>
      <c r="K469" s="128"/>
    </row>
    <row r="470" spans="1:11" ht="15.75" customHeight="1">
      <c r="A470" s="142"/>
      <c r="B470" s="142"/>
      <c r="C470" s="142"/>
      <c r="D470" s="142"/>
      <c r="E470" s="142"/>
      <c r="F470" s="142"/>
      <c r="G470" s="142"/>
      <c r="H470" s="142"/>
      <c r="I470" s="143"/>
      <c r="J470" s="142"/>
      <c r="K470" s="128"/>
    </row>
    <row r="471" spans="1:11" ht="15.75" customHeight="1">
      <c r="A471" s="142"/>
      <c r="B471" s="142"/>
      <c r="C471" s="142"/>
      <c r="D471" s="142"/>
      <c r="E471" s="142"/>
      <c r="F471" s="142"/>
      <c r="G471" s="142"/>
      <c r="H471" s="142"/>
      <c r="I471" s="143"/>
      <c r="J471" s="142"/>
      <c r="K471" s="128"/>
    </row>
    <row r="472" spans="1:11" ht="15.75" customHeight="1">
      <c r="A472" s="142"/>
      <c r="B472" s="142"/>
      <c r="C472" s="142"/>
      <c r="D472" s="142"/>
      <c r="E472" s="142"/>
      <c r="F472" s="142"/>
      <c r="G472" s="142"/>
      <c r="H472" s="142"/>
      <c r="I472" s="143"/>
      <c r="J472" s="142"/>
      <c r="K472" s="128"/>
    </row>
    <row r="473" spans="1:11" ht="15.75" customHeight="1">
      <c r="A473" s="142"/>
      <c r="B473" s="142"/>
      <c r="C473" s="142"/>
      <c r="D473" s="142"/>
      <c r="E473" s="142"/>
      <c r="F473" s="142"/>
      <c r="G473" s="142"/>
      <c r="H473" s="142"/>
      <c r="I473" s="143"/>
      <c r="J473" s="142"/>
      <c r="K473" s="128"/>
    </row>
    <row r="474" spans="1:11" ht="15.75" customHeight="1">
      <c r="A474" s="142"/>
      <c r="B474" s="142"/>
      <c r="C474" s="142"/>
      <c r="D474" s="142"/>
      <c r="E474" s="142"/>
      <c r="F474" s="142"/>
      <c r="G474" s="142"/>
      <c r="H474" s="142"/>
      <c r="I474" s="143"/>
      <c r="J474" s="142"/>
      <c r="K474" s="128"/>
    </row>
    <row r="475" spans="1:11" ht="15.75" customHeight="1">
      <c r="A475" s="142"/>
      <c r="B475" s="142"/>
      <c r="C475" s="142"/>
      <c r="D475" s="142"/>
      <c r="E475" s="142"/>
      <c r="F475" s="142"/>
      <c r="G475" s="142"/>
      <c r="H475" s="142"/>
      <c r="I475" s="143"/>
      <c r="J475" s="142"/>
      <c r="K475" s="128"/>
    </row>
    <row r="476" spans="1:11" ht="15.75" customHeight="1">
      <c r="A476" s="142"/>
      <c r="B476" s="142"/>
      <c r="C476" s="142"/>
      <c r="D476" s="142"/>
      <c r="E476" s="142"/>
      <c r="F476" s="142"/>
      <c r="G476" s="142"/>
      <c r="H476" s="142"/>
      <c r="I476" s="143"/>
      <c r="J476" s="142"/>
      <c r="K476" s="128"/>
    </row>
    <row r="477" spans="1:11" ht="15.75" customHeight="1">
      <c r="A477" s="142"/>
      <c r="B477" s="142"/>
      <c r="C477" s="142"/>
      <c r="D477" s="142"/>
      <c r="E477" s="142"/>
      <c r="F477" s="142"/>
      <c r="G477" s="142"/>
      <c r="H477" s="142"/>
      <c r="I477" s="143"/>
      <c r="J477" s="142"/>
      <c r="K477" s="128"/>
    </row>
    <row r="478" spans="1:11" ht="15.75" customHeight="1">
      <c r="A478" s="142"/>
      <c r="B478" s="142"/>
      <c r="C478" s="142"/>
      <c r="D478" s="142"/>
      <c r="E478" s="142"/>
      <c r="F478" s="142"/>
      <c r="G478" s="142"/>
      <c r="H478" s="142"/>
      <c r="I478" s="143"/>
      <c r="J478" s="142"/>
      <c r="K478" s="128"/>
    </row>
    <row r="479" spans="1:11" ht="15.75" customHeight="1">
      <c r="A479" s="142"/>
      <c r="B479" s="142"/>
      <c r="C479" s="142"/>
      <c r="D479" s="142"/>
      <c r="E479" s="142"/>
      <c r="F479" s="142"/>
      <c r="G479" s="142"/>
      <c r="H479" s="142"/>
      <c r="I479" s="143"/>
      <c r="J479" s="142"/>
      <c r="K479" s="128"/>
    </row>
    <row r="480" spans="1:11" ht="15.75" customHeight="1">
      <c r="A480" s="142"/>
      <c r="B480" s="142"/>
      <c r="C480" s="142"/>
      <c r="D480" s="142"/>
      <c r="E480" s="142"/>
      <c r="F480" s="142"/>
      <c r="G480" s="142"/>
      <c r="H480" s="142"/>
      <c r="I480" s="143"/>
      <c r="J480" s="142"/>
      <c r="K480" s="128"/>
    </row>
    <row r="481" spans="1:11" ht="15.75" customHeight="1">
      <c r="A481" s="142"/>
      <c r="B481" s="142"/>
      <c r="C481" s="142"/>
      <c r="D481" s="142"/>
      <c r="E481" s="142"/>
      <c r="F481" s="142"/>
      <c r="G481" s="142"/>
      <c r="H481" s="142"/>
      <c r="I481" s="143"/>
      <c r="J481" s="142"/>
      <c r="K481" s="128"/>
    </row>
    <row r="482" spans="1:11" ht="15.75" customHeight="1">
      <c r="A482" s="142"/>
      <c r="B482" s="142"/>
      <c r="C482" s="142"/>
      <c r="D482" s="142"/>
      <c r="E482" s="142"/>
      <c r="F482" s="142"/>
      <c r="G482" s="142"/>
      <c r="H482" s="142"/>
      <c r="I482" s="143"/>
      <c r="J482" s="142"/>
      <c r="K482" s="128"/>
    </row>
    <row r="483" spans="1:11" ht="15.75" customHeight="1">
      <c r="A483" s="142"/>
      <c r="B483" s="142"/>
      <c r="C483" s="142"/>
      <c r="D483" s="142"/>
      <c r="E483" s="142"/>
      <c r="F483" s="142"/>
      <c r="G483" s="142"/>
      <c r="H483" s="142"/>
      <c r="I483" s="143"/>
      <c r="J483" s="142"/>
      <c r="K483" s="128"/>
    </row>
    <row r="484" spans="1:11" ht="15.75" customHeight="1">
      <c r="A484" s="142"/>
      <c r="B484" s="142"/>
      <c r="C484" s="142"/>
      <c r="D484" s="142"/>
      <c r="E484" s="142"/>
      <c r="F484" s="142"/>
      <c r="G484" s="142"/>
      <c r="H484" s="142"/>
      <c r="I484" s="143"/>
      <c r="J484" s="142"/>
      <c r="K484" s="128"/>
    </row>
    <row r="485" spans="1:11" ht="15.75" customHeight="1">
      <c r="A485" s="142"/>
      <c r="B485" s="142"/>
      <c r="C485" s="142"/>
      <c r="D485" s="142"/>
      <c r="E485" s="142"/>
      <c r="F485" s="142"/>
      <c r="G485" s="142"/>
      <c r="H485" s="142"/>
      <c r="I485" s="143"/>
      <c r="J485" s="142"/>
      <c r="K485" s="128"/>
    </row>
    <row r="486" spans="1:11" ht="15.75" customHeight="1">
      <c r="A486" s="142"/>
      <c r="B486" s="142"/>
      <c r="C486" s="142"/>
      <c r="D486" s="142"/>
      <c r="E486" s="142"/>
      <c r="F486" s="142"/>
      <c r="G486" s="142"/>
      <c r="H486" s="142"/>
      <c r="I486" s="143"/>
      <c r="J486" s="142"/>
      <c r="K486" s="128"/>
    </row>
    <row r="487" spans="1:11" ht="15.75" customHeight="1">
      <c r="A487" s="142"/>
      <c r="B487" s="142"/>
      <c r="C487" s="142"/>
      <c r="D487" s="142"/>
      <c r="E487" s="142"/>
      <c r="F487" s="142"/>
      <c r="G487" s="142"/>
      <c r="H487" s="142"/>
      <c r="I487" s="143"/>
      <c r="J487" s="142"/>
      <c r="K487" s="128"/>
    </row>
    <row r="488" spans="1:11" ht="15.75" customHeight="1">
      <c r="A488" s="142"/>
      <c r="B488" s="142"/>
      <c r="C488" s="142"/>
      <c r="D488" s="142"/>
      <c r="E488" s="142"/>
      <c r="F488" s="142"/>
      <c r="G488" s="142"/>
      <c r="H488" s="142"/>
      <c r="I488" s="143"/>
      <c r="J488" s="142"/>
      <c r="K488" s="128"/>
    </row>
    <row r="489" spans="1:11" ht="15.75" customHeight="1">
      <c r="A489" s="142"/>
      <c r="B489" s="142"/>
      <c r="C489" s="142"/>
      <c r="D489" s="142"/>
      <c r="E489" s="142"/>
      <c r="F489" s="142"/>
      <c r="G489" s="142"/>
      <c r="H489" s="142"/>
      <c r="I489" s="143"/>
      <c r="J489" s="142"/>
      <c r="K489" s="128"/>
    </row>
    <row r="490" spans="1:11" ht="15.75" customHeight="1">
      <c r="A490" s="142"/>
      <c r="B490" s="142"/>
      <c r="C490" s="142"/>
      <c r="D490" s="142"/>
      <c r="E490" s="142"/>
      <c r="F490" s="142"/>
      <c r="G490" s="142"/>
      <c r="H490" s="142"/>
      <c r="I490" s="143"/>
      <c r="J490" s="142"/>
      <c r="K490" s="128"/>
    </row>
    <row r="491" spans="1:11" ht="15.75" customHeight="1">
      <c r="A491" s="142"/>
      <c r="B491" s="142"/>
      <c r="C491" s="142"/>
      <c r="D491" s="142"/>
      <c r="E491" s="142"/>
      <c r="F491" s="142"/>
      <c r="G491" s="142"/>
      <c r="H491" s="142"/>
      <c r="I491" s="143"/>
      <c r="J491" s="142"/>
      <c r="K491" s="128"/>
    </row>
    <row r="492" spans="1:11" ht="15.75" customHeight="1">
      <c r="A492" s="142"/>
      <c r="B492" s="142"/>
      <c r="C492" s="142"/>
      <c r="D492" s="142"/>
      <c r="E492" s="142"/>
      <c r="F492" s="142"/>
      <c r="G492" s="142"/>
      <c r="H492" s="142"/>
      <c r="I492" s="143"/>
      <c r="J492" s="142"/>
      <c r="K492" s="128"/>
    </row>
    <row r="493" spans="1:11" ht="15.75" customHeight="1">
      <c r="A493" s="142"/>
      <c r="B493" s="142"/>
      <c r="C493" s="142"/>
      <c r="D493" s="142"/>
      <c r="E493" s="142"/>
      <c r="F493" s="142"/>
      <c r="G493" s="142"/>
      <c r="H493" s="142"/>
      <c r="I493" s="143"/>
      <c r="J493" s="142"/>
      <c r="K493" s="128"/>
    </row>
    <row r="494" spans="1:11" ht="15.75" customHeight="1">
      <c r="A494" s="142"/>
      <c r="B494" s="142"/>
      <c r="C494" s="142"/>
      <c r="D494" s="142"/>
      <c r="E494" s="142"/>
      <c r="F494" s="142"/>
      <c r="G494" s="142"/>
      <c r="H494" s="142"/>
      <c r="I494" s="143"/>
      <c r="J494" s="142"/>
      <c r="K494" s="128"/>
    </row>
    <row r="495" spans="1:11" ht="15.75" customHeight="1">
      <c r="A495" s="142"/>
      <c r="B495" s="142"/>
      <c r="C495" s="142"/>
      <c r="D495" s="142"/>
      <c r="E495" s="142"/>
      <c r="F495" s="142"/>
      <c r="G495" s="142"/>
      <c r="H495" s="142"/>
      <c r="I495" s="143"/>
      <c r="J495" s="142"/>
      <c r="K495" s="128"/>
    </row>
    <row r="496" spans="1:11" ht="15.75" customHeight="1">
      <c r="A496" s="142"/>
      <c r="B496" s="142"/>
      <c r="C496" s="142"/>
      <c r="D496" s="142"/>
      <c r="E496" s="142"/>
      <c r="F496" s="142"/>
      <c r="G496" s="142"/>
      <c r="H496" s="142"/>
      <c r="I496" s="143"/>
      <c r="J496" s="142"/>
      <c r="K496" s="128"/>
    </row>
    <row r="497" spans="1:11" ht="15.75" customHeight="1">
      <c r="A497" s="142"/>
      <c r="B497" s="142"/>
      <c r="C497" s="142"/>
      <c r="D497" s="142"/>
      <c r="E497" s="142"/>
      <c r="F497" s="142"/>
      <c r="G497" s="142"/>
      <c r="H497" s="142"/>
      <c r="I497" s="143"/>
      <c r="J497" s="142"/>
      <c r="K497" s="128"/>
    </row>
    <row r="498" spans="1:11" ht="15.75" customHeight="1">
      <c r="A498" s="142"/>
      <c r="B498" s="142"/>
      <c r="C498" s="142"/>
      <c r="D498" s="142"/>
      <c r="E498" s="142"/>
      <c r="F498" s="142"/>
      <c r="G498" s="142"/>
      <c r="H498" s="142"/>
      <c r="I498" s="143"/>
      <c r="J498" s="142"/>
      <c r="K498" s="128"/>
    </row>
    <row r="499" spans="1:11" ht="15.75" customHeight="1">
      <c r="A499" s="142"/>
      <c r="B499" s="142"/>
      <c r="C499" s="142"/>
      <c r="D499" s="142"/>
      <c r="E499" s="142"/>
      <c r="F499" s="142"/>
      <c r="G499" s="142"/>
      <c r="H499" s="142"/>
      <c r="I499" s="143"/>
      <c r="J499" s="142"/>
      <c r="K499" s="128"/>
    </row>
    <row r="500" spans="1:11" ht="15.75" customHeight="1">
      <c r="A500" s="142"/>
      <c r="B500" s="142"/>
      <c r="C500" s="142"/>
      <c r="D500" s="142"/>
      <c r="E500" s="142"/>
      <c r="F500" s="142"/>
      <c r="G500" s="142"/>
      <c r="H500" s="142"/>
      <c r="I500" s="143"/>
      <c r="J500" s="142"/>
      <c r="K500" s="128"/>
    </row>
    <row r="501" spans="1:11" ht="15.75" customHeight="1">
      <c r="A501" s="142"/>
      <c r="B501" s="142"/>
      <c r="C501" s="142"/>
      <c r="D501" s="142"/>
      <c r="E501" s="142"/>
      <c r="F501" s="142"/>
      <c r="G501" s="142"/>
      <c r="H501" s="142"/>
      <c r="I501" s="143"/>
      <c r="J501" s="142"/>
      <c r="K501" s="128"/>
    </row>
    <row r="502" spans="1:11" ht="15.75" customHeight="1">
      <c r="A502" s="142"/>
      <c r="B502" s="142"/>
      <c r="C502" s="142"/>
      <c r="D502" s="142"/>
      <c r="E502" s="142"/>
      <c r="F502" s="142"/>
      <c r="G502" s="142"/>
      <c r="H502" s="142"/>
      <c r="I502" s="143"/>
      <c r="J502" s="142"/>
      <c r="K502" s="128"/>
    </row>
    <row r="503" spans="1:11" ht="15.75" customHeight="1">
      <c r="A503" s="142"/>
      <c r="B503" s="142"/>
      <c r="C503" s="142"/>
      <c r="D503" s="142"/>
      <c r="E503" s="142"/>
      <c r="F503" s="142"/>
      <c r="G503" s="142"/>
      <c r="H503" s="142"/>
      <c r="I503" s="143"/>
      <c r="J503" s="142"/>
      <c r="K503" s="128"/>
    </row>
    <row r="504" spans="1:11" ht="15.75" customHeight="1">
      <c r="A504" s="142"/>
      <c r="B504" s="142"/>
      <c r="C504" s="142"/>
      <c r="D504" s="142"/>
      <c r="E504" s="142"/>
      <c r="F504" s="142"/>
      <c r="G504" s="142"/>
      <c r="H504" s="142"/>
      <c r="I504" s="143"/>
      <c r="J504" s="142"/>
      <c r="K504" s="128"/>
    </row>
    <row r="505" spans="1:11" ht="15.75" customHeight="1">
      <c r="A505" s="142"/>
      <c r="B505" s="142"/>
      <c r="C505" s="142"/>
      <c r="D505" s="142"/>
      <c r="E505" s="142"/>
      <c r="F505" s="142"/>
      <c r="G505" s="142"/>
      <c r="H505" s="142"/>
      <c r="I505" s="143"/>
      <c r="J505" s="142"/>
      <c r="K505" s="128"/>
    </row>
    <row r="506" spans="1:11" ht="15.75" customHeight="1">
      <c r="A506" s="142"/>
      <c r="B506" s="142"/>
      <c r="C506" s="142"/>
      <c r="D506" s="142"/>
      <c r="E506" s="142"/>
      <c r="F506" s="142"/>
      <c r="G506" s="142"/>
      <c r="H506" s="142"/>
      <c r="I506" s="143"/>
      <c r="J506" s="142"/>
      <c r="K506" s="128"/>
    </row>
    <row r="507" spans="1:11" ht="15.75" customHeight="1">
      <c r="A507" s="142"/>
      <c r="B507" s="142"/>
      <c r="C507" s="142"/>
      <c r="D507" s="142"/>
      <c r="E507" s="142"/>
      <c r="F507" s="142"/>
      <c r="G507" s="142"/>
      <c r="H507" s="142"/>
      <c r="I507" s="143"/>
      <c r="J507" s="142"/>
      <c r="K507" s="128"/>
    </row>
    <row r="508" spans="1:11" ht="15.75" customHeight="1">
      <c r="A508" s="142"/>
      <c r="B508" s="142"/>
      <c r="C508" s="142"/>
      <c r="D508" s="142"/>
      <c r="E508" s="142"/>
      <c r="F508" s="142"/>
      <c r="G508" s="142"/>
      <c r="H508" s="142"/>
      <c r="I508" s="143"/>
      <c r="J508" s="142"/>
      <c r="K508" s="128"/>
    </row>
    <row r="509" spans="1:11" ht="15.75" customHeight="1">
      <c r="A509" s="142"/>
      <c r="B509" s="142"/>
      <c r="C509" s="142"/>
      <c r="D509" s="142"/>
      <c r="E509" s="142"/>
      <c r="F509" s="142"/>
      <c r="G509" s="142"/>
      <c r="H509" s="142"/>
      <c r="I509" s="143"/>
      <c r="J509" s="142"/>
      <c r="K509" s="128"/>
    </row>
    <row r="510" spans="1:11" ht="15.75" customHeight="1">
      <c r="A510" s="142"/>
      <c r="B510" s="142"/>
      <c r="C510" s="142"/>
      <c r="D510" s="142"/>
      <c r="E510" s="142"/>
      <c r="F510" s="142"/>
      <c r="G510" s="142"/>
      <c r="H510" s="142"/>
      <c r="I510" s="143"/>
      <c r="J510" s="142"/>
      <c r="K510" s="128"/>
    </row>
    <row r="511" spans="1:11" ht="15.75" customHeight="1">
      <c r="A511" s="142"/>
      <c r="B511" s="142"/>
      <c r="C511" s="142"/>
      <c r="D511" s="142"/>
      <c r="E511" s="142"/>
      <c r="F511" s="142"/>
      <c r="G511" s="142"/>
      <c r="H511" s="142"/>
      <c r="I511" s="143"/>
      <c r="J511" s="142"/>
      <c r="K511" s="128"/>
    </row>
    <row r="512" spans="1:11" ht="15.75" customHeight="1">
      <c r="A512" s="142"/>
      <c r="B512" s="142"/>
      <c r="C512" s="142"/>
      <c r="D512" s="142"/>
      <c r="E512" s="142"/>
      <c r="F512" s="142"/>
      <c r="G512" s="142"/>
      <c r="H512" s="142"/>
      <c r="I512" s="143"/>
      <c r="J512" s="142"/>
      <c r="K512" s="128"/>
    </row>
    <row r="513" spans="1:11" ht="15.75" customHeight="1">
      <c r="A513" s="142"/>
      <c r="B513" s="142"/>
      <c r="C513" s="142"/>
      <c r="D513" s="142"/>
      <c r="E513" s="142"/>
      <c r="F513" s="142"/>
      <c r="G513" s="142"/>
      <c r="H513" s="142"/>
      <c r="I513" s="143"/>
      <c r="J513" s="142"/>
      <c r="K513" s="128"/>
    </row>
    <row r="514" spans="1:11" ht="15.75" customHeight="1">
      <c r="A514" s="142"/>
      <c r="B514" s="142"/>
      <c r="C514" s="142"/>
      <c r="D514" s="142"/>
      <c r="E514" s="142"/>
      <c r="F514" s="142"/>
      <c r="G514" s="142"/>
      <c r="H514" s="142"/>
      <c r="I514" s="143"/>
      <c r="J514" s="142"/>
      <c r="K514" s="128"/>
    </row>
    <row r="515" spans="1:11" ht="15.75" customHeight="1">
      <c r="A515" s="142"/>
      <c r="B515" s="142"/>
      <c r="C515" s="142"/>
      <c r="D515" s="142"/>
      <c r="E515" s="142"/>
      <c r="F515" s="142"/>
      <c r="G515" s="142"/>
      <c r="H515" s="142"/>
      <c r="I515" s="143"/>
      <c r="J515" s="142"/>
      <c r="K515" s="128"/>
    </row>
    <row r="516" spans="1:11" ht="15.75" customHeight="1">
      <c r="A516" s="142"/>
      <c r="B516" s="142"/>
      <c r="C516" s="142"/>
      <c r="D516" s="142"/>
      <c r="E516" s="142"/>
      <c r="F516" s="142"/>
      <c r="G516" s="142"/>
      <c r="H516" s="142"/>
      <c r="I516" s="143"/>
      <c r="J516" s="142"/>
      <c r="K516" s="128"/>
    </row>
    <row r="517" spans="1:11" ht="15.75" customHeight="1">
      <c r="A517" s="142"/>
      <c r="B517" s="142"/>
      <c r="C517" s="142"/>
      <c r="D517" s="142"/>
      <c r="E517" s="142"/>
      <c r="F517" s="142"/>
      <c r="G517" s="142"/>
      <c r="H517" s="142"/>
      <c r="I517" s="143"/>
      <c r="J517" s="142"/>
      <c r="K517" s="128"/>
    </row>
    <row r="518" spans="1:11" ht="15.75" customHeight="1">
      <c r="A518" s="142"/>
      <c r="B518" s="142"/>
      <c r="C518" s="142"/>
      <c r="D518" s="142"/>
      <c r="E518" s="142"/>
      <c r="F518" s="142"/>
      <c r="G518" s="142"/>
      <c r="H518" s="142"/>
      <c r="I518" s="143"/>
      <c r="J518" s="142"/>
      <c r="K518" s="128"/>
    </row>
    <row r="519" spans="1:11" ht="15.75" customHeight="1">
      <c r="A519" s="142"/>
      <c r="B519" s="142"/>
      <c r="C519" s="142"/>
      <c r="D519" s="142"/>
      <c r="E519" s="142"/>
      <c r="F519" s="142"/>
      <c r="G519" s="142"/>
      <c r="H519" s="142"/>
      <c r="I519" s="143"/>
      <c r="J519" s="142"/>
      <c r="K519" s="128"/>
    </row>
    <row r="520" spans="1:11" ht="15.75" customHeight="1">
      <c r="A520" s="142"/>
      <c r="B520" s="142"/>
      <c r="C520" s="142"/>
      <c r="D520" s="142"/>
      <c r="E520" s="142"/>
      <c r="F520" s="142"/>
      <c r="G520" s="142"/>
      <c r="H520" s="142"/>
      <c r="I520" s="143"/>
      <c r="J520" s="142"/>
      <c r="K520" s="128"/>
    </row>
    <row r="521" spans="1:11" ht="15.75" customHeight="1">
      <c r="A521" s="142"/>
      <c r="B521" s="142"/>
      <c r="C521" s="142"/>
      <c r="D521" s="142"/>
      <c r="E521" s="142"/>
      <c r="F521" s="142"/>
      <c r="G521" s="142"/>
      <c r="H521" s="142"/>
      <c r="I521" s="143"/>
      <c r="J521" s="142"/>
      <c r="K521" s="128"/>
    </row>
    <row r="522" spans="1:11" ht="15.75" customHeight="1">
      <c r="A522" s="142"/>
      <c r="B522" s="142"/>
      <c r="C522" s="142"/>
      <c r="D522" s="142"/>
      <c r="E522" s="142"/>
      <c r="F522" s="142"/>
      <c r="G522" s="142"/>
      <c r="H522" s="142"/>
      <c r="I522" s="143"/>
      <c r="J522" s="142"/>
      <c r="K522" s="128"/>
    </row>
    <row r="523" spans="1:11" ht="15.75" customHeight="1">
      <c r="A523" s="142"/>
      <c r="B523" s="142"/>
      <c r="C523" s="142"/>
      <c r="D523" s="142"/>
      <c r="E523" s="142"/>
      <c r="F523" s="142"/>
      <c r="G523" s="142"/>
      <c r="H523" s="142"/>
      <c r="I523" s="143"/>
      <c r="J523" s="142"/>
      <c r="K523" s="128"/>
    </row>
    <row r="524" spans="1:11" ht="15.75" customHeight="1">
      <c r="A524" s="142"/>
      <c r="B524" s="142"/>
      <c r="C524" s="142"/>
      <c r="D524" s="142"/>
      <c r="E524" s="142"/>
      <c r="F524" s="142"/>
      <c r="G524" s="142"/>
      <c r="H524" s="142"/>
      <c r="I524" s="143"/>
      <c r="J524" s="142"/>
      <c r="K524" s="128"/>
    </row>
    <row r="525" spans="1:11" ht="15.75" customHeight="1">
      <c r="A525" s="142"/>
      <c r="B525" s="142"/>
      <c r="C525" s="142"/>
      <c r="D525" s="142"/>
      <c r="E525" s="142"/>
      <c r="F525" s="142"/>
      <c r="G525" s="142"/>
      <c r="H525" s="142"/>
      <c r="I525" s="143"/>
      <c r="J525" s="142"/>
      <c r="K525" s="128"/>
    </row>
    <row r="526" spans="1:11" ht="15.75" customHeight="1">
      <c r="A526" s="142"/>
      <c r="B526" s="142"/>
      <c r="C526" s="142"/>
      <c r="D526" s="142"/>
      <c r="E526" s="142"/>
      <c r="F526" s="142"/>
      <c r="G526" s="142"/>
      <c r="H526" s="142"/>
      <c r="I526" s="143"/>
      <c r="J526" s="142"/>
      <c r="K526" s="128"/>
    </row>
    <row r="527" spans="1:11" ht="15.75" customHeight="1">
      <c r="A527" s="142"/>
      <c r="B527" s="142"/>
      <c r="C527" s="142"/>
      <c r="D527" s="142"/>
      <c r="E527" s="142"/>
      <c r="F527" s="142"/>
      <c r="G527" s="142"/>
      <c r="H527" s="142"/>
      <c r="I527" s="143"/>
      <c r="J527" s="142"/>
      <c r="K527" s="128"/>
    </row>
    <row r="528" spans="1:11" ht="15.75" customHeight="1">
      <c r="A528" s="142"/>
      <c r="B528" s="142"/>
      <c r="C528" s="142"/>
      <c r="D528" s="142"/>
      <c r="E528" s="142"/>
      <c r="F528" s="142"/>
      <c r="G528" s="142"/>
      <c r="H528" s="142"/>
      <c r="I528" s="143"/>
      <c r="J528" s="142"/>
      <c r="K528" s="128"/>
    </row>
    <row r="529" spans="1:11" ht="15.75" customHeight="1">
      <c r="A529" s="142"/>
      <c r="B529" s="142"/>
      <c r="C529" s="142"/>
      <c r="D529" s="142"/>
      <c r="E529" s="142"/>
      <c r="F529" s="142"/>
      <c r="G529" s="142"/>
      <c r="H529" s="142"/>
      <c r="I529" s="143"/>
      <c r="J529" s="142"/>
      <c r="K529" s="128"/>
    </row>
    <row r="530" spans="1:11" ht="15.75" customHeight="1">
      <c r="A530" s="142"/>
      <c r="B530" s="142"/>
      <c r="C530" s="142"/>
      <c r="D530" s="142"/>
      <c r="E530" s="142"/>
      <c r="F530" s="142"/>
      <c r="G530" s="142"/>
      <c r="H530" s="142"/>
      <c r="I530" s="143"/>
      <c r="J530" s="142"/>
      <c r="K530" s="128"/>
    </row>
    <row r="531" spans="1:11" ht="15.75" customHeight="1">
      <c r="A531" s="142"/>
      <c r="B531" s="142"/>
      <c r="C531" s="142"/>
      <c r="D531" s="142"/>
      <c r="E531" s="142"/>
      <c r="F531" s="142"/>
      <c r="G531" s="142"/>
      <c r="H531" s="142"/>
      <c r="I531" s="143"/>
      <c r="J531" s="142"/>
      <c r="K531" s="128"/>
    </row>
    <row r="532" spans="1:11" ht="15.75" customHeight="1">
      <c r="A532" s="142"/>
      <c r="B532" s="142"/>
      <c r="C532" s="142"/>
      <c r="D532" s="142"/>
      <c r="E532" s="142"/>
      <c r="F532" s="142"/>
      <c r="G532" s="142"/>
      <c r="H532" s="142"/>
      <c r="I532" s="143"/>
      <c r="J532" s="142"/>
      <c r="K532" s="128"/>
    </row>
    <row r="533" spans="1:11" ht="15.75" customHeight="1">
      <c r="A533" s="142"/>
      <c r="B533" s="142"/>
      <c r="C533" s="142"/>
      <c r="D533" s="142"/>
      <c r="E533" s="142"/>
      <c r="F533" s="142"/>
      <c r="G533" s="142"/>
      <c r="H533" s="142"/>
      <c r="I533" s="143"/>
      <c r="J533" s="142"/>
      <c r="K533" s="128"/>
    </row>
    <row r="534" spans="1:11" ht="15.75" customHeight="1">
      <c r="A534" s="142"/>
      <c r="B534" s="142"/>
      <c r="C534" s="142"/>
      <c r="D534" s="142"/>
      <c r="E534" s="142"/>
      <c r="F534" s="142"/>
      <c r="G534" s="142"/>
      <c r="H534" s="142"/>
      <c r="I534" s="143"/>
      <c r="J534" s="142"/>
      <c r="K534" s="128"/>
    </row>
    <row r="535" spans="1:11" ht="15.75" customHeight="1">
      <c r="A535" s="142"/>
      <c r="B535" s="142"/>
      <c r="C535" s="142"/>
      <c r="D535" s="142"/>
      <c r="E535" s="142"/>
      <c r="F535" s="142"/>
      <c r="G535" s="142"/>
      <c r="H535" s="142"/>
      <c r="I535" s="143"/>
      <c r="J535" s="142"/>
      <c r="K535" s="128"/>
    </row>
    <row r="536" spans="1:11" ht="15.75" customHeight="1">
      <c r="A536" s="142"/>
      <c r="B536" s="142"/>
      <c r="C536" s="142"/>
      <c r="D536" s="142"/>
      <c r="E536" s="142"/>
      <c r="F536" s="142"/>
      <c r="G536" s="142"/>
      <c r="H536" s="142"/>
      <c r="I536" s="143"/>
      <c r="J536" s="142"/>
      <c r="K536" s="128"/>
    </row>
    <row r="537" spans="1:11" ht="15.75" customHeight="1">
      <c r="A537" s="142"/>
      <c r="B537" s="142"/>
      <c r="C537" s="142"/>
      <c r="D537" s="142"/>
      <c r="E537" s="142"/>
      <c r="F537" s="142"/>
      <c r="G537" s="142"/>
      <c r="H537" s="142"/>
      <c r="I537" s="143"/>
      <c r="J537" s="142"/>
      <c r="K537" s="128"/>
    </row>
    <row r="538" spans="1:11" ht="15.75" customHeight="1">
      <c r="A538" s="142"/>
      <c r="B538" s="142"/>
      <c r="C538" s="142"/>
      <c r="D538" s="142"/>
      <c r="E538" s="142"/>
      <c r="F538" s="142"/>
      <c r="G538" s="142"/>
      <c r="H538" s="142"/>
      <c r="I538" s="143"/>
      <c r="J538" s="142"/>
      <c r="K538" s="128"/>
    </row>
    <row r="539" spans="1:11" ht="15.75" customHeight="1">
      <c r="A539" s="142"/>
      <c r="B539" s="142"/>
      <c r="C539" s="142"/>
      <c r="D539" s="142"/>
      <c r="E539" s="142"/>
      <c r="F539" s="142"/>
      <c r="G539" s="142"/>
      <c r="H539" s="142"/>
      <c r="I539" s="143"/>
      <c r="J539" s="142"/>
      <c r="K539" s="128"/>
    </row>
    <row r="540" spans="1:11" ht="15.75" customHeight="1">
      <c r="A540" s="142"/>
      <c r="B540" s="142"/>
      <c r="C540" s="142"/>
      <c r="D540" s="142"/>
      <c r="E540" s="142"/>
      <c r="F540" s="142"/>
      <c r="G540" s="142"/>
      <c r="H540" s="142"/>
      <c r="I540" s="143"/>
      <c r="J540" s="142"/>
      <c r="K540" s="128"/>
    </row>
    <row r="541" spans="1:11" ht="15.75" customHeight="1">
      <c r="A541" s="142"/>
      <c r="B541" s="142"/>
      <c r="C541" s="142"/>
      <c r="D541" s="142"/>
      <c r="E541" s="142"/>
      <c r="F541" s="142"/>
      <c r="G541" s="142"/>
      <c r="H541" s="142"/>
      <c r="I541" s="143"/>
      <c r="J541" s="142"/>
      <c r="K541" s="128"/>
    </row>
    <row r="542" spans="1:11" ht="15.75" customHeight="1">
      <c r="A542" s="142"/>
      <c r="B542" s="142"/>
      <c r="C542" s="142"/>
      <c r="D542" s="142"/>
      <c r="E542" s="142"/>
      <c r="F542" s="142"/>
      <c r="G542" s="142"/>
      <c r="H542" s="142"/>
      <c r="I542" s="143"/>
      <c r="J542" s="142"/>
      <c r="K542" s="128"/>
    </row>
    <row r="543" spans="1:11" ht="15.75" customHeight="1">
      <c r="A543" s="142"/>
      <c r="B543" s="142"/>
      <c r="C543" s="142"/>
      <c r="D543" s="142"/>
      <c r="E543" s="142"/>
      <c r="F543" s="142"/>
      <c r="G543" s="142"/>
      <c r="H543" s="142"/>
      <c r="I543" s="143"/>
      <c r="J543" s="142"/>
      <c r="K543" s="128"/>
    </row>
    <row r="544" spans="1:11" ht="15.75" customHeight="1">
      <c r="A544" s="142"/>
      <c r="B544" s="142"/>
      <c r="C544" s="142"/>
      <c r="D544" s="142"/>
      <c r="E544" s="142"/>
      <c r="F544" s="142"/>
      <c r="G544" s="142"/>
      <c r="H544" s="142"/>
      <c r="I544" s="143"/>
      <c r="J544" s="142"/>
      <c r="K544" s="128"/>
    </row>
    <row r="545" spans="1:11" ht="15.75" customHeight="1">
      <c r="A545" s="142"/>
      <c r="B545" s="142"/>
      <c r="C545" s="142"/>
      <c r="D545" s="142"/>
      <c r="E545" s="142"/>
      <c r="F545" s="142"/>
      <c r="G545" s="142"/>
      <c r="H545" s="142"/>
      <c r="I545" s="143"/>
      <c r="J545" s="142"/>
      <c r="K545" s="128"/>
    </row>
    <row r="546" spans="1:11" ht="15.75" customHeight="1">
      <c r="A546" s="142"/>
      <c r="B546" s="142"/>
      <c r="C546" s="142"/>
      <c r="D546" s="142"/>
      <c r="E546" s="142"/>
      <c r="F546" s="142"/>
      <c r="G546" s="142"/>
      <c r="H546" s="142"/>
      <c r="I546" s="143"/>
      <c r="J546" s="142"/>
      <c r="K546" s="128"/>
    </row>
    <row r="547" spans="1:11" ht="15.75" customHeight="1">
      <c r="A547" s="142"/>
      <c r="B547" s="142"/>
      <c r="C547" s="142"/>
      <c r="D547" s="142"/>
      <c r="E547" s="142"/>
      <c r="F547" s="142"/>
      <c r="G547" s="142"/>
      <c r="H547" s="142"/>
      <c r="I547" s="143"/>
      <c r="J547" s="142"/>
      <c r="K547" s="128"/>
    </row>
    <row r="548" spans="1:11" ht="15.75" customHeight="1">
      <c r="A548" s="142"/>
      <c r="B548" s="142"/>
      <c r="C548" s="142"/>
      <c r="D548" s="142"/>
      <c r="E548" s="142"/>
      <c r="F548" s="142"/>
      <c r="G548" s="142"/>
      <c r="H548" s="142"/>
      <c r="I548" s="143"/>
      <c r="J548" s="142"/>
      <c r="K548" s="128"/>
    </row>
    <row r="549" spans="1:11" ht="15.75" customHeight="1">
      <c r="A549" s="142"/>
      <c r="B549" s="142"/>
      <c r="C549" s="142"/>
      <c r="D549" s="142"/>
      <c r="E549" s="142"/>
      <c r="F549" s="142"/>
      <c r="G549" s="142"/>
      <c r="H549" s="142"/>
      <c r="I549" s="143"/>
      <c r="J549" s="142"/>
      <c r="K549" s="128"/>
    </row>
    <row r="550" spans="1:11" ht="15.75" customHeight="1">
      <c r="A550" s="142"/>
      <c r="B550" s="142"/>
      <c r="C550" s="142"/>
      <c r="D550" s="142"/>
      <c r="E550" s="142"/>
      <c r="F550" s="142"/>
      <c r="G550" s="142"/>
      <c r="H550" s="142"/>
      <c r="I550" s="143"/>
      <c r="J550" s="142"/>
      <c r="K550" s="128"/>
    </row>
    <row r="551" spans="1:11" ht="15.75" customHeight="1">
      <c r="A551" s="142"/>
      <c r="B551" s="142"/>
      <c r="C551" s="142"/>
      <c r="D551" s="142"/>
      <c r="E551" s="142"/>
      <c r="F551" s="142"/>
      <c r="G551" s="142"/>
      <c r="H551" s="142"/>
      <c r="I551" s="143"/>
      <c r="J551" s="142"/>
      <c r="K551" s="128"/>
    </row>
    <row r="552" spans="1:11" ht="15.75" customHeight="1">
      <c r="A552" s="142"/>
      <c r="B552" s="142"/>
      <c r="C552" s="142"/>
      <c r="D552" s="142"/>
      <c r="E552" s="142"/>
      <c r="F552" s="142"/>
      <c r="G552" s="142"/>
      <c r="H552" s="142"/>
      <c r="I552" s="143"/>
      <c r="J552" s="142"/>
      <c r="K552" s="128"/>
    </row>
    <row r="553" spans="1:11" ht="15.75" customHeight="1">
      <c r="A553" s="142"/>
      <c r="B553" s="142"/>
      <c r="C553" s="142"/>
      <c r="D553" s="142"/>
      <c r="E553" s="142"/>
      <c r="F553" s="142"/>
      <c r="G553" s="142"/>
      <c r="H553" s="142"/>
      <c r="I553" s="143"/>
      <c r="J553" s="142"/>
      <c r="K553" s="128"/>
    </row>
    <row r="554" spans="1:11" ht="15.75" customHeight="1">
      <c r="A554" s="142"/>
      <c r="B554" s="142"/>
      <c r="C554" s="142"/>
      <c r="D554" s="142"/>
      <c r="E554" s="142"/>
      <c r="F554" s="142"/>
      <c r="G554" s="142"/>
      <c r="H554" s="142"/>
      <c r="I554" s="143"/>
      <c r="J554" s="142"/>
      <c r="K554" s="128"/>
    </row>
    <row r="555" spans="1:11" ht="15.75" customHeight="1">
      <c r="A555" s="142"/>
      <c r="B555" s="142"/>
      <c r="C555" s="142"/>
      <c r="D555" s="142"/>
      <c r="E555" s="142"/>
      <c r="F555" s="142"/>
      <c r="G555" s="142"/>
      <c r="H555" s="142"/>
      <c r="I555" s="143"/>
      <c r="J555" s="142"/>
      <c r="K555" s="128"/>
    </row>
    <row r="556" spans="1:11" ht="15.75" customHeight="1">
      <c r="A556" s="142"/>
      <c r="B556" s="142"/>
      <c r="C556" s="142"/>
      <c r="D556" s="142"/>
      <c r="E556" s="142"/>
      <c r="F556" s="142"/>
      <c r="G556" s="142"/>
      <c r="H556" s="142"/>
      <c r="I556" s="143"/>
      <c r="J556" s="142"/>
      <c r="K556" s="128"/>
    </row>
    <row r="557" spans="1:11" ht="15.75" customHeight="1">
      <c r="A557" s="142"/>
      <c r="B557" s="142"/>
      <c r="C557" s="142"/>
      <c r="D557" s="142"/>
      <c r="E557" s="142"/>
      <c r="F557" s="142"/>
      <c r="G557" s="142"/>
      <c r="H557" s="142"/>
      <c r="I557" s="143"/>
      <c r="J557" s="142"/>
      <c r="K557" s="128"/>
    </row>
    <row r="558" spans="1:11" ht="15.75" customHeight="1">
      <c r="A558" s="142"/>
      <c r="B558" s="142"/>
      <c r="C558" s="142"/>
      <c r="D558" s="142"/>
      <c r="E558" s="142"/>
      <c r="F558" s="142"/>
      <c r="G558" s="142"/>
      <c r="H558" s="142"/>
      <c r="I558" s="143"/>
      <c r="J558" s="142"/>
      <c r="K558" s="128"/>
    </row>
    <row r="559" spans="1:11" ht="15.75" customHeight="1">
      <c r="A559" s="142"/>
      <c r="B559" s="142"/>
      <c r="C559" s="142"/>
      <c r="D559" s="142"/>
      <c r="E559" s="142"/>
      <c r="F559" s="142"/>
      <c r="G559" s="142"/>
      <c r="H559" s="142"/>
      <c r="I559" s="143"/>
      <c r="J559" s="142"/>
      <c r="K559" s="128"/>
    </row>
    <row r="560" spans="1:11" ht="15.75" customHeight="1">
      <c r="A560" s="142"/>
      <c r="B560" s="142"/>
      <c r="C560" s="142"/>
      <c r="D560" s="142"/>
      <c r="E560" s="142"/>
      <c r="F560" s="142"/>
      <c r="G560" s="142"/>
      <c r="H560" s="142"/>
      <c r="I560" s="143"/>
      <c r="J560" s="142"/>
      <c r="K560" s="128"/>
    </row>
    <row r="561" spans="1:11" ht="15.75" customHeight="1">
      <c r="A561" s="142"/>
      <c r="B561" s="142"/>
      <c r="C561" s="142"/>
      <c r="D561" s="142"/>
      <c r="E561" s="142"/>
      <c r="F561" s="142"/>
      <c r="G561" s="142"/>
      <c r="H561" s="142"/>
      <c r="I561" s="143"/>
      <c r="J561" s="142"/>
      <c r="K561" s="128"/>
    </row>
    <row r="562" spans="1:11" ht="15.75" customHeight="1">
      <c r="A562" s="142"/>
      <c r="B562" s="142"/>
      <c r="C562" s="142"/>
      <c r="D562" s="142"/>
      <c r="E562" s="142"/>
      <c r="F562" s="142"/>
      <c r="G562" s="142"/>
      <c r="H562" s="142"/>
      <c r="I562" s="143"/>
      <c r="J562" s="142"/>
      <c r="K562" s="128"/>
    </row>
    <row r="563" spans="1:11" ht="15.75" customHeight="1">
      <c r="A563" s="142"/>
      <c r="B563" s="142"/>
      <c r="C563" s="142"/>
      <c r="D563" s="142"/>
      <c r="E563" s="142"/>
      <c r="F563" s="142"/>
      <c r="G563" s="142"/>
      <c r="H563" s="142"/>
      <c r="I563" s="143"/>
      <c r="J563" s="142"/>
      <c r="K563" s="128"/>
    </row>
    <row r="564" spans="1:11" ht="15.75" customHeight="1">
      <c r="A564" s="142"/>
      <c r="B564" s="142"/>
      <c r="C564" s="142"/>
      <c r="D564" s="142"/>
      <c r="E564" s="142"/>
      <c r="F564" s="142"/>
      <c r="G564" s="142"/>
      <c r="H564" s="142"/>
      <c r="I564" s="143"/>
      <c r="J564" s="142"/>
      <c r="K564" s="128"/>
    </row>
    <row r="565" spans="1:11" ht="15.75" customHeight="1">
      <c r="A565" s="142"/>
      <c r="B565" s="142"/>
      <c r="C565" s="142"/>
      <c r="D565" s="142"/>
      <c r="E565" s="142"/>
      <c r="F565" s="142"/>
      <c r="G565" s="142"/>
      <c r="H565" s="142"/>
      <c r="I565" s="143"/>
      <c r="J565" s="142"/>
      <c r="K565" s="128"/>
    </row>
    <row r="566" spans="1:11" ht="15.75" customHeight="1">
      <c r="A566" s="142"/>
      <c r="B566" s="142"/>
      <c r="C566" s="142"/>
      <c r="D566" s="142"/>
      <c r="E566" s="142"/>
      <c r="F566" s="142"/>
      <c r="G566" s="142"/>
      <c r="H566" s="142"/>
      <c r="I566" s="143"/>
      <c r="J566" s="142"/>
      <c r="K566" s="128"/>
    </row>
    <row r="567" spans="1:11" ht="15.75" customHeight="1">
      <c r="A567" s="142"/>
      <c r="B567" s="142"/>
      <c r="C567" s="142"/>
      <c r="D567" s="142"/>
      <c r="E567" s="142"/>
      <c r="F567" s="142"/>
      <c r="G567" s="142"/>
      <c r="H567" s="142"/>
      <c r="I567" s="143"/>
      <c r="J567" s="142"/>
      <c r="K567" s="128"/>
    </row>
    <row r="568" spans="1:11" ht="15.75" customHeight="1">
      <c r="A568" s="142"/>
      <c r="B568" s="142"/>
      <c r="C568" s="142"/>
      <c r="D568" s="142"/>
      <c r="E568" s="142"/>
      <c r="F568" s="142"/>
      <c r="G568" s="142"/>
      <c r="H568" s="142"/>
      <c r="I568" s="143"/>
      <c r="J568" s="142"/>
      <c r="K568" s="128"/>
    </row>
    <row r="569" spans="1:11" ht="15.75" customHeight="1">
      <c r="A569" s="142"/>
      <c r="B569" s="142"/>
      <c r="C569" s="142"/>
      <c r="D569" s="142"/>
      <c r="E569" s="142"/>
      <c r="F569" s="142"/>
      <c r="G569" s="142"/>
      <c r="H569" s="142"/>
      <c r="I569" s="143"/>
      <c r="J569" s="142"/>
      <c r="K569" s="128"/>
    </row>
    <row r="570" spans="1:11" ht="15.75" customHeight="1">
      <c r="A570" s="142"/>
      <c r="B570" s="142"/>
      <c r="C570" s="142"/>
      <c r="D570" s="142"/>
      <c r="E570" s="142"/>
      <c r="F570" s="142"/>
      <c r="G570" s="142"/>
      <c r="H570" s="142"/>
      <c r="I570" s="143"/>
      <c r="J570" s="142"/>
      <c r="K570" s="128"/>
    </row>
    <row r="571" spans="1:11" ht="15.75" customHeight="1">
      <c r="A571" s="142"/>
      <c r="B571" s="142"/>
      <c r="C571" s="142"/>
      <c r="D571" s="142"/>
      <c r="E571" s="142"/>
      <c r="F571" s="142"/>
      <c r="G571" s="142"/>
      <c r="H571" s="142"/>
      <c r="I571" s="143"/>
      <c r="J571" s="142"/>
      <c r="K571" s="128"/>
    </row>
    <row r="572" spans="1:11" ht="15.75" customHeight="1">
      <c r="A572" s="142"/>
      <c r="B572" s="142"/>
      <c r="C572" s="142"/>
      <c r="D572" s="142"/>
      <c r="E572" s="142"/>
      <c r="F572" s="142"/>
      <c r="G572" s="142"/>
      <c r="H572" s="142"/>
      <c r="I572" s="143"/>
      <c r="J572" s="142"/>
      <c r="K572" s="128"/>
    </row>
    <row r="573" spans="1:11" ht="15.75" customHeight="1">
      <c r="A573" s="142"/>
      <c r="B573" s="142"/>
      <c r="C573" s="142"/>
      <c r="D573" s="142"/>
      <c r="E573" s="142"/>
      <c r="F573" s="142"/>
      <c r="G573" s="142"/>
      <c r="H573" s="142"/>
      <c r="I573" s="143"/>
      <c r="J573" s="142"/>
      <c r="K573" s="128"/>
    </row>
    <row r="574" spans="1:11" ht="15.75" customHeight="1">
      <c r="A574" s="142"/>
      <c r="B574" s="142"/>
      <c r="C574" s="142"/>
      <c r="D574" s="142"/>
      <c r="E574" s="142"/>
      <c r="F574" s="142"/>
      <c r="G574" s="142"/>
      <c r="H574" s="142"/>
      <c r="I574" s="143"/>
      <c r="J574" s="142"/>
      <c r="K574" s="128"/>
    </row>
    <row r="575" spans="1:11" ht="15.75" customHeight="1">
      <c r="A575" s="142"/>
      <c r="B575" s="142"/>
      <c r="C575" s="142"/>
      <c r="D575" s="142"/>
      <c r="E575" s="142"/>
      <c r="F575" s="142"/>
      <c r="G575" s="142"/>
      <c r="H575" s="142"/>
      <c r="I575" s="143"/>
      <c r="J575" s="142"/>
      <c r="K575" s="128"/>
    </row>
    <row r="576" spans="1:11" ht="15.75" customHeight="1">
      <c r="A576" s="142"/>
      <c r="B576" s="142"/>
      <c r="C576" s="142"/>
      <c r="D576" s="142"/>
      <c r="E576" s="142"/>
      <c r="F576" s="142"/>
      <c r="G576" s="142"/>
      <c r="H576" s="142"/>
      <c r="I576" s="143"/>
      <c r="J576" s="142"/>
      <c r="K576" s="128"/>
    </row>
    <row r="577" spans="1:11" ht="15.75" customHeight="1">
      <c r="A577" s="142"/>
      <c r="B577" s="142"/>
      <c r="C577" s="142"/>
      <c r="D577" s="142"/>
      <c r="E577" s="142"/>
      <c r="F577" s="142"/>
      <c r="G577" s="142"/>
      <c r="H577" s="142"/>
      <c r="I577" s="143"/>
      <c r="J577" s="142"/>
      <c r="K577" s="128"/>
    </row>
    <row r="578" spans="1:11" ht="15.75" customHeight="1">
      <c r="A578" s="142"/>
      <c r="B578" s="142"/>
      <c r="C578" s="142"/>
      <c r="D578" s="142"/>
      <c r="E578" s="142"/>
      <c r="F578" s="142"/>
      <c r="G578" s="142"/>
      <c r="H578" s="142"/>
      <c r="I578" s="143"/>
      <c r="J578" s="142"/>
      <c r="K578" s="128"/>
    </row>
    <row r="579" spans="1:11" ht="15.75" customHeight="1">
      <c r="A579" s="142"/>
      <c r="B579" s="142"/>
      <c r="C579" s="142"/>
      <c r="D579" s="142"/>
      <c r="E579" s="142"/>
      <c r="F579" s="142"/>
      <c r="G579" s="142"/>
      <c r="H579" s="142"/>
      <c r="I579" s="143"/>
      <c r="J579" s="142"/>
      <c r="K579" s="128"/>
    </row>
    <row r="580" spans="1:11" ht="15.75" customHeight="1">
      <c r="A580" s="142"/>
      <c r="B580" s="142"/>
      <c r="C580" s="142"/>
      <c r="D580" s="142"/>
      <c r="E580" s="142"/>
      <c r="F580" s="142"/>
      <c r="G580" s="142"/>
      <c r="H580" s="142"/>
      <c r="I580" s="143"/>
      <c r="J580" s="142"/>
      <c r="K580" s="128"/>
    </row>
    <row r="581" spans="1:11" ht="15.75" customHeight="1">
      <c r="A581" s="142"/>
      <c r="B581" s="142"/>
      <c r="C581" s="142"/>
      <c r="D581" s="142"/>
      <c r="E581" s="142"/>
      <c r="F581" s="142"/>
      <c r="G581" s="142"/>
      <c r="H581" s="142"/>
      <c r="I581" s="143"/>
      <c r="J581" s="142"/>
      <c r="K581" s="128"/>
    </row>
    <row r="582" spans="1:11" ht="15.75" customHeight="1">
      <c r="A582" s="142"/>
      <c r="B582" s="142"/>
      <c r="C582" s="142"/>
      <c r="D582" s="142"/>
      <c r="E582" s="142"/>
      <c r="F582" s="142"/>
      <c r="G582" s="142"/>
      <c r="H582" s="142"/>
      <c r="I582" s="143"/>
      <c r="J582" s="142"/>
      <c r="K582" s="128"/>
    </row>
    <row r="583" spans="1:11" ht="15.75" customHeight="1">
      <c r="A583" s="142"/>
      <c r="B583" s="142"/>
      <c r="C583" s="142"/>
      <c r="D583" s="142"/>
      <c r="E583" s="142"/>
      <c r="F583" s="142"/>
      <c r="G583" s="142"/>
      <c r="H583" s="142"/>
      <c r="I583" s="143"/>
      <c r="J583" s="142"/>
      <c r="K583" s="128"/>
    </row>
    <row r="584" spans="1:11" ht="15.75" customHeight="1">
      <c r="A584" s="142"/>
      <c r="B584" s="142"/>
      <c r="C584" s="142"/>
      <c r="D584" s="142"/>
      <c r="E584" s="142"/>
      <c r="F584" s="142"/>
      <c r="G584" s="142"/>
      <c r="H584" s="142"/>
      <c r="I584" s="143"/>
      <c r="J584" s="142"/>
      <c r="K584" s="128"/>
    </row>
    <row r="585" spans="1:11" ht="15.75" customHeight="1">
      <c r="A585" s="142"/>
      <c r="B585" s="142"/>
      <c r="C585" s="142"/>
      <c r="D585" s="142"/>
      <c r="E585" s="142"/>
      <c r="F585" s="142"/>
      <c r="G585" s="142"/>
      <c r="H585" s="142"/>
      <c r="I585" s="143"/>
      <c r="J585" s="142"/>
      <c r="K585" s="128"/>
    </row>
    <row r="586" spans="1:11" ht="15.75" customHeight="1">
      <c r="A586" s="142"/>
      <c r="B586" s="142"/>
      <c r="C586" s="142"/>
      <c r="D586" s="142"/>
      <c r="E586" s="142"/>
      <c r="F586" s="142"/>
      <c r="G586" s="142"/>
      <c r="H586" s="142"/>
      <c r="I586" s="143"/>
      <c r="J586" s="142"/>
      <c r="K586" s="128"/>
    </row>
    <row r="587" spans="1:11" ht="15.75" customHeight="1">
      <c r="A587" s="142"/>
      <c r="B587" s="142"/>
      <c r="C587" s="142"/>
      <c r="D587" s="142"/>
      <c r="E587" s="142"/>
      <c r="F587" s="142"/>
      <c r="G587" s="142"/>
      <c r="H587" s="142"/>
      <c r="I587" s="143"/>
      <c r="J587" s="142"/>
      <c r="K587" s="128"/>
    </row>
    <row r="588" spans="1:11" ht="15.75" customHeight="1">
      <c r="A588" s="142"/>
      <c r="B588" s="142"/>
      <c r="C588" s="142"/>
      <c r="D588" s="142"/>
      <c r="E588" s="142"/>
      <c r="F588" s="142"/>
      <c r="G588" s="142"/>
      <c r="H588" s="142"/>
      <c r="I588" s="143"/>
      <c r="J588" s="142"/>
      <c r="K588" s="128"/>
    </row>
    <row r="589" spans="1:11" ht="15.75" customHeight="1">
      <c r="A589" s="142"/>
      <c r="B589" s="142"/>
      <c r="C589" s="142"/>
      <c r="D589" s="142"/>
      <c r="E589" s="142"/>
      <c r="F589" s="142"/>
      <c r="G589" s="142"/>
      <c r="H589" s="142"/>
      <c r="I589" s="143"/>
      <c r="J589" s="142"/>
      <c r="K589" s="128"/>
    </row>
    <row r="590" spans="1:11" ht="15.75" customHeight="1">
      <c r="A590" s="142"/>
      <c r="B590" s="142"/>
      <c r="C590" s="142"/>
      <c r="D590" s="142"/>
      <c r="E590" s="142"/>
      <c r="F590" s="142"/>
      <c r="G590" s="142"/>
      <c r="H590" s="142"/>
      <c r="I590" s="143"/>
      <c r="J590" s="142"/>
      <c r="K590" s="128"/>
    </row>
    <row r="591" spans="1:11" ht="15.75" customHeight="1">
      <c r="A591" s="142"/>
      <c r="B591" s="142"/>
      <c r="C591" s="142"/>
      <c r="D591" s="142"/>
      <c r="E591" s="142"/>
      <c r="F591" s="142"/>
      <c r="G591" s="142"/>
      <c r="H591" s="142"/>
      <c r="I591" s="143"/>
      <c r="J591" s="142"/>
      <c r="K591" s="128"/>
    </row>
    <row r="592" spans="1:11" ht="15.75" customHeight="1">
      <c r="A592" s="142"/>
      <c r="B592" s="142"/>
      <c r="C592" s="142"/>
      <c r="D592" s="142"/>
      <c r="E592" s="142"/>
      <c r="F592" s="142"/>
      <c r="G592" s="142"/>
      <c r="H592" s="142"/>
      <c r="I592" s="143"/>
      <c r="J592" s="142"/>
      <c r="K592" s="128"/>
    </row>
    <row r="593" spans="1:11" ht="15.75" customHeight="1">
      <c r="A593" s="142"/>
      <c r="B593" s="142"/>
      <c r="C593" s="142"/>
      <c r="D593" s="142"/>
      <c r="E593" s="142"/>
      <c r="F593" s="142"/>
      <c r="G593" s="142"/>
      <c r="H593" s="142"/>
      <c r="I593" s="143"/>
      <c r="J593" s="142"/>
      <c r="K593" s="128"/>
    </row>
    <row r="594" spans="1:11" ht="15.75" customHeight="1">
      <c r="A594" s="142"/>
      <c r="B594" s="142"/>
      <c r="C594" s="142"/>
      <c r="D594" s="142"/>
      <c r="E594" s="142"/>
      <c r="F594" s="142"/>
      <c r="G594" s="142"/>
      <c r="H594" s="142"/>
      <c r="I594" s="143"/>
      <c r="J594" s="142"/>
      <c r="K594" s="128"/>
    </row>
    <row r="595" spans="1:11" ht="15.75" customHeight="1">
      <c r="A595" s="142"/>
      <c r="B595" s="142"/>
      <c r="C595" s="142"/>
      <c r="D595" s="142"/>
      <c r="E595" s="142"/>
      <c r="F595" s="142"/>
      <c r="G595" s="142"/>
      <c r="H595" s="142"/>
      <c r="I595" s="143"/>
      <c r="J595" s="142"/>
      <c r="K595" s="128"/>
    </row>
    <row r="596" spans="1:11" ht="15.75" customHeight="1">
      <c r="A596" s="142"/>
      <c r="B596" s="142"/>
      <c r="C596" s="142"/>
      <c r="D596" s="142"/>
      <c r="E596" s="142"/>
      <c r="F596" s="142"/>
      <c r="G596" s="142"/>
      <c r="H596" s="142"/>
      <c r="I596" s="143"/>
      <c r="J596" s="142"/>
      <c r="K596" s="128"/>
    </row>
    <row r="597" spans="1:11" ht="15.75" customHeight="1">
      <c r="A597" s="142"/>
      <c r="B597" s="142"/>
      <c r="C597" s="142"/>
      <c r="D597" s="142"/>
      <c r="E597" s="142"/>
      <c r="F597" s="142"/>
      <c r="G597" s="142"/>
      <c r="H597" s="142"/>
      <c r="I597" s="143"/>
      <c r="J597" s="142"/>
      <c r="K597" s="128"/>
    </row>
    <row r="598" spans="1:11" ht="15.75" customHeight="1">
      <c r="A598" s="142"/>
      <c r="B598" s="142"/>
      <c r="C598" s="142"/>
      <c r="D598" s="142"/>
      <c r="E598" s="142"/>
      <c r="F598" s="142"/>
      <c r="G598" s="142"/>
      <c r="H598" s="142"/>
      <c r="I598" s="143"/>
      <c r="J598" s="142"/>
      <c r="K598" s="128"/>
    </row>
    <row r="599" spans="1:11" ht="15.75" customHeight="1">
      <c r="A599" s="142"/>
      <c r="B599" s="142"/>
      <c r="C599" s="142"/>
      <c r="D599" s="142"/>
      <c r="E599" s="142"/>
      <c r="F599" s="142"/>
      <c r="G599" s="142"/>
      <c r="H599" s="142"/>
      <c r="I599" s="143"/>
      <c r="J599" s="142"/>
      <c r="K599" s="128"/>
    </row>
    <row r="600" spans="1:11" ht="15.75" customHeight="1">
      <c r="A600" s="142"/>
      <c r="B600" s="142"/>
      <c r="C600" s="142"/>
      <c r="D600" s="142"/>
      <c r="E600" s="142"/>
      <c r="F600" s="142"/>
      <c r="G600" s="142"/>
      <c r="H600" s="142"/>
      <c r="I600" s="143"/>
      <c r="J600" s="142"/>
      <c r="K600" s="128"/>
    </row>
    <row r="601" spans="1:11" ht="15.75" customHeight="1">
      <c r="A601" s="142"/>
      <c r="B601" s="142"/>
      <c r="C601" s="142"/>
      <c r="D601" s="142"/>
      <c r="E601" s="142"/>
      <c r="F601" s="142"/>
      <c r="G601" s="142"/>
      <c r="H601" s="142"/>
      <c r="I601" s="143"/>
      <c r="J601" s="142"/>
      <c r="K601" s="128"/>
    </row>
    <row r="602" spans="1:11" ht="15.75" customHeight="1">
      <c r="A602" s="142"/>
      <c r="B602" s="142"/>
      <c r="C602" s="142"/>
      <c r="D602" s="142"/>
      <c r="E602" s="142"/>
      <c r="F602" s="142"/>
      <c r="G602" s="142"/>
      <c r="H602" s="142"/>
      <c r="I602" s="143"/>
      <c r="J602" s="142"/>
      <c r="K602" s="128"/>
    </row>
    <row r="603" spans="1:11" ht="15.75" customHeight="1">
      <c r="A603" s="142"/>
      <c r="B603" s="142"/>
      <c r="C603" s="142"/>
      <c r="D603" s="142"/>
      <c r="E603" s="142"/>
      <c r="F603" s="142"/>
      <c r="G603" s="142"/>
      <c r="H603" s="142"/>
      <c r="I603" s="143"/>
      <c r="J603" s="142"/>
      <c r="K603" s="128"/>
    </row>
    <row r="604" spans="1:11" ht="15.75" customHeight="1">
      <c r="A604" s="142"/>
      <c r="B604" s="142"/>
      <c r="C604" s="142"/>
      <c r="D604" s="142"/>
      <c r="E604" s="142"/>
      <c r="F604" s="142"/>
      <c r="G604" s="142"/>
      <c r="H604" s="142"/>
      <c r="I604" s="143"/>
      <c r="J604" s="142"/>
      <c r="K604" s="128"/>
    </row>
    <row r="605" spans="1:11" ht="15.75" customHeight="1">
      <c r="A605" s="142"/>
      <c r="B605" s="142"/>
      <c r="C605" s="142"/>
      <c r="D605" s="142"/>
      <c r="E605" s="142"/>
      <c r="F605" s="142"/>
      <c r="G605" s="142"/>
      <c r="H605" s="142"/>
      <c r="I605" s="143"/>
      <c r="J605" s="142"/>
      <c r="K605" s="128"/>
    </row>
    <row r="606" spans="1:11" ht="15.75" customHeight="1">
      <c r="A606" s="142"/>
      <c r="B606" s="142"/>
      <c r="C606" s="142"/>
      <c r="D606" s="142"/>
      <c r="E606" s="142"/>
      <c r="F606" s="142"/>
      <c r="G606" s="142"/>
      <c r="H606" s="142"/>
      <c r="I606" s="143"/>
      <c r="J606" s="142"/>
      <c r="K606" s="128"/>
    </row>
    <row r="607" spans="1:11" ht="15.75" customHeight="1">
      <c r="A607" s="142"/>
      <c r="B607" s="142"/>
      <c r="C607" s="142"/>
      <c r="D607" s="142"/>
      <c r="E607" s="142"/>
      <c r="F607" s="142"/>
      <c r="G607" s="142"/>
      <c r="H607" s="142"/>
      <c r="I607" s="143"/>
      <c r="J607" s="142"/>
      <c r="K607" s="128"/>
    </row>
    <row r="608" spans="1:11" ht="15.75" customHeight="1">
      <c r="A608" s="142"/>
      <c r="B608" s="142"/>
      <c r="C608" s="142"/>
      <c r="D608" s="142"/>
      <c r="E608" s="142"/>
      <c r="F608" s="142"/>
      <c r="G608" s="142"/>
      <c r="H608" s="142"/>
      <c r="I608" s="143"/>
      <c r="J608" s="142"/>
      <c r="K608" s="128"/>
    </row>
    <row r="609" spans="1:11" ht="15.75" customHeight="1">
      <c r="A609" s="142"/>
      <c r="B609" s="142"/>
      <c r="C609" s="142"/>
      <c r="D609" s="142"/>
      <c r="E609" s="142"/>
      <c r="F609" s="142"/>
      <c r="G609" s="142"/>
      <c r="H609" s="142"/>
      <c r="I609" s="143"/>
      <c r="J609" s="142"/>
      <c r="K609" s="128"/>
    </row>
    <row r="610" spans="1:11" ht="15.75" customHeight="1">
      <c r="A610" s="142"/>
      <c r="B610" s="142"/>
      <c r="C610" s="142"/>
      <c r="D610" s="142"/>
      <c r="E610" s="142"/>
      <c r="F610" s="142"/>
      <c r="G610" s="142"/>
      <c r="H610" s="142"/>
      <c r="I610" s="143"/>
      <c r="J610" s="142"/>
      <c r="K610" s="128"/>
    </row>
    <row r="611" spans="1:11" ht="15.75" customHeight="1">
      <c r="A611" s="142"/>
      <c r="B611" s="142"/>
      <c r="C611" s="142"/>
      <c r="D611" s="142"/>
      <c r="E611" s="142"/>
      <c r="F611" s="142"/>
      <c r="G611" s="142"/>
      <c r="H611" s="142"/>
      <c r="I611" s="143"/>
      <c r="J611" s="142"/>
      <c r="K611" s="128"/>
    </row>
    <row r="612" spans="1:11" ht="15.75" customHeight="1">
      <c r="A612" s="142"/>
      <c r="B612" s="142"/>
      <c r="C612" s="142"/>
      <c r="D612" s="142"/>
      <c r="E612" s="142"/>
      <c r="F612" s="142"/>
      <c r="G612" s="142"/>
      <c r="H612" s="142"/>
      <c r="I612" s="143"/>
      <c r="J612" s="142"/>
      <c r="K612" s="128"/>
    </row>
    <row r="613" spans="1:11" ht="15.75" customHeight="1">
      <c r="A613" s="142"/>
      <c r="B613" s="142"/>
      <c r="C613" s="142"/>
      <c r="D613" s="142"/>
      <c r="E613" s="142"/>
      <c r="F613" s="142"/>
      <c r="G613" s="142"/>
      <c r="H613" s="142"/>
      <c r="I613" s="143"/>
      <c r="J613" s="142"/>
      <c r="K613" s="128"/>
    </row>
    <row r="614" spans="1:11" ht="15.75" customHeight="1">
      <c r="A614" s="142"/>
      <c r="B614" s="142"/>
      <c r="C614" s="142"/>
      <c r="D614" s="142"/>
      <c r="E614" s="142"/>
      <c r="F614" s="142"/>
      <c r="G614" s="142"/>
      <c r="H614" s="142"/>
      <c r="I614" s="143"/>
      <c r="J614" s="142"/>
      <c r="K614" s="128"/>
    </row>
    <row r="615" spans="1:11" ht="15.75" customHeight="1">
      <c r="A615" s="142"/>
      <c r="B615" s="142"/>
      <c r="C615" s="142"/>
      <c r="D615" s="142"/>
      <c r="E615" s="142"/>
      <c r="F615" s="142"/>
      <c r="G615" s="142"/>
      <c r="H615" s="142"/>
      <c r="I615" s="143"/>
      <c r="J615" s="142"/>
      <c r="K615" s="128"/>
    </row>
    <row r="616" spans="1:11" ht="15.75" customHeight="1">
      <c r="A616" s="142"/>
      <c r="B616" s="142"/>
      <c r="C616" s="142"/>
      <c r="D616" s="142"/>
      <c r="E616" s="142"/>
      <c r="F616" s="142"/>
      <c r="G616" s="142"/>
      <c r="H616" s="142"/>
      <c r="I616" s="143"/>
      <c r="J616" s="142"/>
      <c r="K616" s="128"/>
    </row>
    <row r="617" spans="1:11" ht="15.75" customHeight="1">
      <c r="A617" s="142"/>
      <c r="B617" s="142"/>
      <c r="C617" s="142"/>
      <c r="D617" s="142"/>
      <c r="E617" s="142"/>
      <c r="F617" s="142"/>
      <c r="G617" s="142"/>
      <c r="H617" s="142"/>
      <c r="I617" s="143"/>
      <c r="J617" s="142"/>
      <c r="K617" s="128"/>
    </row>
    <row r="618" spans="1:11" ht="15.75" customHeight="1">
      <c r="A618" s="142"/>
      <c r="B618" s="142"/>
      <c r="C618" s="142"/>
      <c r="D618" s="142"/>
      <c r="E618" s="142"/>
      <c r="F618" s="142"/>
      <c r="G618" s="142"/>
      <c r="H618" s="142"/>
      <c r="I618" s="143"/>
      <c r="J618" s="142"/>
      <c r="K618" s="128"/>
    </row>
    <row r="619" spans="1:11" ht="15.75" customHeight="1">
      <c r="A619" s="142"/>
      <c r="B619" s="142"/>
      <c r="C619" s="142"/>
      <c r="D619" s="142"/>
      <c r="E619" s="142"/>
      <c r="F619" s="142"/>
      <c r="G619" s="142"/>
      <c r="H619" s="142"/>
      <c r="I619" s="143"/>
      <c r="J619" s="142"/>
      <c r="K619" s="128"/>
    </row>
    <row r="620" spans="1:11" ht="15.75" customHeight="1">
      <c r="A620" s="142"/>
      <c r="B620" s="142"/>
      <c r="C620" s="142"/>
      <c r="D620" s="142"/>
      <c r="E620" s="142"/>
      <c r="F620" s="142"/>
      <c r="G620" s="142"/>
      <c r="H620" s="142"/>
      <c r="I620" s="143"/>
      <c r="J620" s="142"/>
      <c r="K620" s="128"/>
    </row>
    <row r="621" spans="1:11" ht="15.75" customHeight="1">
      <c r="A621" s="142"/>
      <c r="B621" s="142"/>
      <c r="C621" s="142"/>
      <c r="D621" s="142"/>
      <c r="E621" s="142"/>
      <c r="F621" s="142"/>
      <c r="G621" s="142"/>
      <c r="H621" s="142"/>
      <c r="I621" s="143"/>
      <c r="J621" s="142"/>
      <c r="K621" s="128"/>
    </row>
    <row r="622" spans="1:11" ht="15.75" customHeight="1">
      <c r="A622" s="142"/>
      <c r="B622" s="142"/>
      <c r="C622" s="142"/>
      <c r="D622" s="142"/>
      <c r="E622" s="142"/>
      <c r="F622" s="142"/>
      <c r="G622" s="142"/>
      <c r="H622" s="142"/>
      <c r="I622" s="143"/>
      <c r="J622" s="142"/>
      <c r="K622" s="128"/>
    </row>
    <row r="623" spans="1:11" ht="15.75" customHeight="1">
      <c r="A623" s="142"/>
      <c r="B623" s="142"/>
      <c r="C623" s="142"/>
      <c r="D623" s="142"/>
      <c r="E623" s="142"/>
      <c r="F623" s="142"/>
      <c r="G623" s="142"/>
      <c r="H623" s="142"/>
      <c r="I623" s="143"/>
      <c r="J623" s="142"/>
      <c r="K623" s="128"/>
    </row>
    <row r="624" spans="1:11" ht="15.75" customHeight="1">
      <c r="A624" s="142"/>
      <c r="B624" s="142"/>
      <c r="C624" s="142"/>
      <c r="D624" s="142"/>
      <c r="E624" s="142"/>
      <c r="F624" s="142"/>
      <c r="G624" s="142"/>
      <c r="H624" s="142"/>
      <c r="I624" s="143"/>
      <c r="J624" s="142"/>
      <c r="K624" s="128"/>
    </row>
    <row r="625" spans="1:11" ht="15.75" customHeight="1">
      <c r="A625" s="142"/>
      <c r="B625" s="142"/>
      <c r="C625" s="142"/>
      <c r="D625" s="142"/>
      <c r="E625" s="142"/>
      <c r="F625" s="142"/>
      <c r="G625" s="142"/>
      <c r="H625" s="142"/>
      <c r="I625" s="143"/>
      <c r="J625" s="142"/>
      <c r="K625" s="128"/>
    </row>
    <row r="626" spans="1:11" ht="15.75" customHeight="1">
      <c r="A626" s="142"/>
      <c r="B626" s="142"/>
      <c r="C626" s="142"/>
      <c r="D626" s="142"/>
      <c r="E626" s="142"/>
      <c r="F626" s="142"/>
      <c r="G626" s="142"/>
      <c r="H626" s="142"/>
      <c r="I626" s="143"/>
      <c r="J626" s="142"/>
      <c r="K626" s="128"/>
    </row>
    <row r="627" spans="1:11" ht="15.75" customHeight="1">
      <c r="A627" s="142"/>
      <c r="B627" s="142"/>
      <c r="C627" s="142"/>
      <c r="D627" s="142"/>
      <c r="E627" s="142"/>
      <c r="F627" s="142"/>
      <c r="G627" s="142"/>
      <c r="H627" s="142"/>
      <c r="I627" s="143"/>
      <c r="J627" s="142"/>
      <c r="K627" s="128"/>
    </row>
    <row r="628" spans="1:11" ht="15.75" customHeight="1">
      <c r="A628" s="142"/>
      <c r="B628" s="142"/>
      <c r="C628" s="142"/>
      <c r="D628" s="142"/>
      <c r="E628" s="142"/>
      <c r="F628" s="142"/>
      <c r="G628" s="142"/>
      <c r="H628" s="142"/>
      <c r="I628" s="143"/>
      <c r="J628" s="142"/>
      <c r="K628" s="128"/>
    </row>
    <row r="629" spans="1:11" ht="15.75" customHeight="1">
      <c r="A629" s="142"/>
      <c r="B629" s="142"/>
      <c r="C629" s="142"/>
      <c r="D629" s="142"/>
      <c r="E629" s="142"/>
      <c r="F629" s="142"/>
      <c r="G629" s="142"/>
      <c r="H629" s="142"/>
      <c r="I629" s="143"/>
      <c r="J629" s="142"/>
      <c r="K629" s="128"/>
    </row>
    <row r="630" spans="1:11" ht="15.75" customHeight="1">
      <c r="A630" s="142"/>
      <c r="B630" s="142"/>
      <c r="C630" s="142"/>
      <c r="D630" s="142"/>
      <c r="E630" s="142"/>
      <c r="F630" s="142"/>
      <c r="G630" s="142"/>
      <c r="H630" s="142"/>
      <c r="I630" s="143"/>
      <c r="J630" s="142"/>
      <c r="K630" s="128"/>
    </row>
    <row r="631" spans="1:11" ht="15.75" customHeight="1">
      <c r="A631" s="142"/>
      <c r="B631" s="142"/>
      <c r="C631" s="142"/>
      <c r="D631" s="142"/>
      <c r="E631" s="142"/>
      <c r="F631" s="142"/>
      <c r="G631" s="142"/>
      <c r="H631" s="142"/>
      <c r="I631" s="143"/>
      <c r="J631" s="142"/>
      <c r="K631" s="128"/>
    </row>
    <row r="632" spans="1:11" ht="15.75" customHeight="1">
      <c r="A632" s="142"/>
      <c r="B632" s="142"/>
      <c r="C632" s="142"/>
      <c r="D632" s="142"/>
      <c r="E632" s="142"/>
      <c r="F632" s="142"/>
      <c r="G632" s="142"/>
      <c r="H632" s="142"/>
      <c r="I632" s="143"/>
      <c r="J632" s="142"/>
      <c r="K632" s="128"/>
    </row>
    <row r="633" spans="1:11" ht="15.75" customHeight="1">
      <c r="A633" s="142"/>
      <c r="B633" s="142"/>
      <c r="C633" s="142"/>
      <c r="D633" s="142"/>
      <c r="E633" s="142"/>
      <c r="F633" s="142"/>
      <c r="G633" s="142"/>
      <c r="H633" s="142"/>
      <c r="I633" s="143"/>
      <c r="J633" s="142"/>
      <c r="K633" s="128"/>
    </row>
    <row r="634" spans="1:11" ht="15.75" customHeight="1">
      <c r="A634" s="142"/>
      <c r="B634" s="142"/>
      <c r="C634" s="142"/>
      <c r="D634" s="142"/>
      <c r="E634" s="142"/>
      <c r="F634" s="142"/>
      <c r="G634" s="142"/>
      <c r="H634" s="142"/>
      <c r="I634" s="143"/>
      <c r="J634" s="142"/>
      <c r="K634" s="128"/>
    </row>
    <row r="635" spans="1:11" ht="15.75" customHeight="1">
      <c r="A635" s="142"/>
      <c r="B635" s="142"/>
      <c r="C635" s="142"/>
      <c r="D635" s="142"/>
      <c r="E635" s="142"/>
      <c r="F635" s="142"/>
      <c r="G635" s="142"/>
      <c r="H635" s="142"/>
      <c r="I635" s="143"/>
      <c r="J635" s="142"/>
      <c r="K635" s="128"/>
    </row>
    <row r="636" spans="1:11" ht="15.75" customHeight="1">
      <c r="A636" s="142"/>
      <c r="B636" s="142"/>
      <c r="C636" s="142"/>
      <c r="D636" s="142"/>
      <c r="E636" s="142"/>
      <c r="F636" s="142"/>
      <c r="G636" s="142"/>
      <c r="H636" s="142"/>
      <c r="I636" s="143"/>
      <c r="J636" s="142"/>
      <c r="K636" s="128"/>
    </row>
    <row r="637" spans="1:11" ht="15.75" customHeight="1">
      <c r="A637" s="142"/>
      <c r="B637" s="142"/>
      <c r="C637" s="142"/>
      <c r="D637" s="142"/>
      <c r="E637" s="142"/>
      <c r="F637" s="142"/>
      <c r="G637" s="142"/>
      <c r="H637" s="142"/>
      <c r="I637" s="143"/>
      <c r="J637" s="142"/>
      <c r="K637" s="128"/>
    </row>
    <row r="638" spans="1:11" ht="15.75" customHeight="1">
      <c r="A638" s="142"/>
      <c r="B638" s="142"/>
      <c r="C638" s="142"/>
      <c r="D638" s="142"/>
      <c r="E638" s="142"/>
      <c r="F638" s="142"/>
      <c r="G638" s="142"/>
      <c r="H638" s="142"/>
      <c r="I638" s="143"/>
      <c r="J638" s="142"/>
      <c r="K638" s="128"/>
    </row>
    <row r="639" spans="1:11" ht="15.75" customHeight="1">
      <c r="A639" s="142"/>
      <c r="B639" s="142"/>
      <c r="C639" s="142"/>
      <c r="D639" s="142"/>
      <c r="E639" s="142"/>
      <c r="F639" s="142"/>
      <c r="G639" s="142"/>
      <c r="H639" s="142"/>
      <c r="I639" s="143"/>
      <c r="J639" s="142"/>
      <c r="K639" s="128"/>
    </row>
    <row r="640" spans="1:11" ht="15.75" customHeight="1">
      <c r="A640" s="142"/>
      <c r="B640" s="142"/>
      <c r="C640" s="142"/>
      <c r="D640" s="142"/>
      <c r="E640" s="142"/>
      <c r="F640" s="142"/>
      <c r="G640" s="142"/>
      <c r="H640" s="142"/>
      <c r="I640" s="143"/>
      <c r="J640" s="142"/>
      <c r="K640" s="128"/>
    </row>
    <row r="641" spans="1:11" ht="15.75" customHeight="1">
      <c r="A641" s="142"/>
      <c r="B641" s="142"/>
      <c r="C641" s="142"/>
      <c r="D641" s="142"/>
      <c r="E641" s="142"/>
      <c r="F641" s="142"/>
      <c r="G641" s="142"/>
      <c r="H641" s="142"/>
      <c r="I641" s="143"/>
      <c r="J641" s="142"/>
      <c r="K641" s="128"/>
    </row>
    <row r="642" spans="1:11" ht="15.75" customHeight="1">
      <c r="A642" s="142"/>
      <c r="B642" s="142"/>
      <c r="C642" s="142"/>
      <c r="D642" s="142"/>
      <c r="E642" s="142"/>
      <c r="F642" s="142"/>
      <c r="G642" s="142"/>
      <c r="H642" s="142"/>
      <c r="I642" s="143"/>
      <c r="J642" s="142"/>
      <c r="K642" s="128"/>
    </row>
    <row r="643" spans="1:11" ht="15.75" customHeight="1">
      <c r="A643" s="142"/>
      <c r="B643" s="142"/>
      <c r="C643" s="142"/>
      <c r="D643" s="142"/>
      <c r="E643" s="142"/>
      <c r="F643" s="142"/>
      <c r="G643" s="142"/>
      <c r="H643" s="142"/>
      <c r="I643" s="143"/>
      <c r="J643" s="142"/>
      <c r="K643" s="128"/>
    </row>
    <row r="644" spans="1:11" ht="15.75" customHeight="1">
      <c r="A644" s="142"/>
      <c r="B644" s="142"/>
      <c r="C644" s="142"/>
      <c r="D644" s="142"/>
      <c r="E644" s="142"/>
      <c r="F644" s="142"/>
      <c r="G644" s="142"/>
      <c r="H644" s="142"/>
      <c r="I644" s="143"/>
      <c r="J644" s="142"/>
      <c r="K644" s="128"/>
    </row>
    <row r="645" spans="1:11" ht="15.75" customHeight="1">
      <c r="A645" s="142"/>
      <c r="B645" s="142"/>
      <c r="C645" s="142"/>
      <c r="D645" s="142"/>
      <c r="E645" s="142"/>
      <c r="F645" s="142"/>
      <c r="G645" s="142"/>
      <c r="H645" s="142"/>
      <c r="I645" s="143"/>
      <c r="J645" s="142"/>
      <c r="K645" s="128"/>
    </row>
    <row r="646" spans="1:11" ht="15.75" customHeight="1">
      <c r="A646" s="142"/>
      <c r="B646" s="142"/>
      <c r="C646" s="142"/>
      <c r="D646" s="142"/>
      <c r="E646" s="142"/>
      <c r="F646" s="142"/>
      <c r="G646" s="142"/>
      <c r="H646" s="142"/>
      <c r="I646" s="143"/>
      <c r="J646" s="142"/>
      <c r="K646" s="128"/>
    </row>
    <row r="647" spans="1:11" ht="15.75" customHeight="1">
      <c r="A647" s="142"/>
      <c r="B647" s="142"/>
      <c r="C647" s="142"/>
      <c r="D647" s="142"/>
      <c r="E647" s="142"/>
      <c r="F647" s="142"/>
      <c r="G647" s="142"/>
      <c r="H647" s="142"/>
      <c r="I647" s="143"/>
      <c r="J647" s="142"/>
      <c r="K647" s="128"/>
    </row>
    <row r="648" spans="1:11" ht="15.75" customHeight="1">
      <c r="A648" s="142"/>
      <c r="B648" s="142"/>
      <c r="C648" s="142"/>
      <c r="D648" s="142"/>
      <c r="E648" s="142"/>
      <c r="F648" s="142"/>
      <c r="G648" s="142"/>
      <c r="H648" s="142"/>
      <c r="I648" s="143"/>
      <c r="J648" s="142"/>
      <c r="K648" s="128"/>
    </row>
    <row r="649" spans="1:11" ht="15.75" customHeight="1">
      <c r="A649" s="142"/>
      <c r="B649" s="142"/>
      <c r="C649" s="142"/>
      <c r="D649" s="142"/>
      <c r="E649" s="142"/>
      <c r="F649" s="142"/>
      <c r="G649" s="142"/>
      <c r="H649" s="142"/>
      <c r="I649" s="143"/>
      <c r="J649" s="142"/>
      <c r="K649" s="128"/>
    </row>
    <row r="650" spans="1:11" ht="15.75" customHeight="1">
      <c r="A650" s="142"/>
      <c r="B650" s="142"/>
      <c r="C650" s="142"/>
      <c r="D650" s="142"/>
      <c r="E650" s="142"/>
      <c r="F650" s="142"/>
      <c r="G650" s="142"/>
      <c r="H650" s="142"/>
      <c r="I650" s="143"/>
      <c r="J650" s="142"/>
      <c r="K650" s="128"/>
    </row>
    <row r="651" spans="1:11" ht="15.75" customHeight="1">
      <c r="A651" s="142"/>
      <c r="B651" s="142"/>
      <c r="C651" s="142"/>
      <c r="D651" s="142"/>
      <c r="E651" s="142"/>
      <c r="F651" s="142"/>
      <c r="G651" s="142"/>
      <c r="H651" s="142"/>
      <c r="I651" s="143"/>
      <c r="J651" s="142"/>
      <c r="K651" s="128"/>
    </row>
    <row r="652" spans="1:11" ht="15.75" customHeight="1">
      <c r="A652" s="142"/>
      <c r="B652" s="142"/>
      <c r="C652" s="142"/>
      <c r="D652" s="142"/>
      <c r="E652" s="142"/>
      <c r="F652" s="142"/>
      <c r="G652" s="142"/>
      <c r="H652" s="142"/>
      <c r="I652" s="143"/>
      <c r="J652" s="142"/>
      <c r="K652" s="128"/>
    </row>
    <row r="653" spans="1:11" ht="15.75" customHeight="1">
      <c r="A653" s="142"/>
      <c r="B653" s="142"/>
      <c r="C653" s="142"/>
      <c r="D653" s="142"/>
      <c r="E653" s="142"/>
      <c r="F653" s="142"/>
      <c r="G653" s="142"/>
      <c r="H653" s="142"/>
      <c r="I653" s="143"/>
      <c r="J653" s="142"/>
      <c r="K653" s="128"/>
    </row>
    <row r="654" spans="1:11" ht="15.75" customHeight="1">
      <c r="A654" s="142"/>
      <c r="B654" s="142"/>
      <c r="C654" s="142"/>
      <c r="D654" s="142"/>
      <c r="E654" s="142"/>
      <c r="F654" s="142"/>
      <c r="G654" s="142"/>
      <c r="H654" s="142"/>
      <c r="I654" s="143"/>
      <c r="J654" s="142"/>
      <c r="K654" s="128"/>
    </row>
    <row r="655" spans="1:11" ht="15.75" customHeight="1">
      <c r="A655" s="142"/>
      <c r="B655" s="142"/>
      <c r="C655" s="142"/>
      <c r="D655" s="142"/>
      <c r="E655" s="142"/>
      <c r="F655" s="142"/>
      <c r="G655" s="142"/>
      <c r="H655" s="142"/>
      <c r="I655" s="143"/>
      <c r="J655" s="142"/>
      <c r="K655" s="128"/>
    </row>
    <row r="656" spans="1:11" ht="15.75" customHeight="1">
      <c r="A656" s="142"/>
      <c r="B656" s="142"/>
      <c r="C656" s="142"/>
      <c r="D656" s="142"/>
      <c r="E656" s="142"/>
      <c r="F656" s="142"/>
      <c r="G656" s="142"/>
      <c r="H656" s="142"/>
      <c r="I656" s="143"/>
      <c r="J656" s="142"/>
      <c r="K656" s="128"/>
    </row>
    <row r="657" spans="1:11" ht="15.75" customHeight="1">
      <c r="A657" s="142"/>
      <c r="B657" s="142"/>
      <c r="C657" s="142"/>
      <c r="D657" s="142"/>
      <c r="E657" s="142"/>
      <c r="F657" s="142"/>
      <c r="G657" s="142"/>
      <c r="H657" s="142"/>
      <c r="I657" s="143"/>
      <c r="J657" s="142"/>
      <c r="K657" s="128"/>
    </row>
    <row r="658" spans="1:11" ht="15.75" customHeight="1">
      <c r="A658" s="142"/>
      <c r="B658" s="142"/>
      <c r="C658" s="142"/>
      <c r="D658" s="142"/>
      <c r="E658" s="142"/>
      <c r="F658" s="142"/>
      <c r="G658" s="142"/>
      <c r="H658" s="142"/>
      <c r="I658" s="143"/>
      <c r="J658" s="142"/>
      <c r="K658" s="128"/>
    </row>
    <row r="659" spans="1:11" ht="15.75" customHeight="1">
      <c r="A659" s="142"/>
      <c r="B659" s="142"/>
      <c r="C659" s="142"/>
      <c r="D659" s="142"/>
      <c r="E659" s="142"/>
      <c r="F659" s="142"/>
      <c r="G659" s="142"/>
      <c r="H659" s="142"/>
      <c r="I659" s="143"/>
      <c r="J659" s="142"/>
      <c r="K659" s="128"/>
    </row>
    <row r="660" spans="1:11" ht="15.75" customHeight="1">
      <c r="A660" s="142"/>
      <c r="B660" s="142"/>
      <c r="C660" s="142"/>
      <c r="D660" s="142"/>
      <c r="E660" s="142"/>
      <c r="F660" s="142"/>
      <c r="G660" s="142"/>
      <c r="H660" s="142"/>
      <c r="I660" s="143"/>
      <c r="J660" s="142"/>
      <c r="K660" s="128"/>
    </row>
    <row r="661" spans="1:11" ht="15.75" customHeight="1">
      <c r="A661" s="142"/>
      <c r="B661" s="142"/>
      <c r="C661" s="142"/>
      <c r="D661" s="142"/>
      <c r="E661" s="142"/>
      <c r="F661" s="142"/>
      <c r="G661" s="142"/>
      <c r="H661" s="142"/>
      <c r="I661" s="143"/>
      <c r="J661" s="142"/>
      <c r="K661" s="128"/>
    </row>
    <row r="662" spans="1:11" ht="15.75" customHeight="1">
      <c r="A662" s="142"/>
      <c r="B662" s="142"/>
      <c r="C662" s="142"/>
      <c r="D662" s="142"/>
      <c r="E662" s="142"/>
      <c r="F662" s="142"/>
      <c r="G662" s="142"/>
      <c r="H662" s="142"/>
      <c r="I662" s="143"/>
      <c r="J662" s="142"/>
      <c r="K662" s="128"/>
    </row>
    <row r="663" spans="1:11" ht="15.75" customHeight="1">
      <c r="A663" s="142"/>
      <c r="B663" s="142"/>
      <c r="C663" s="142"/>
      <c r="D663" s="142"/>
      <c r="E663" s="142"/>
      <c r="F663" s="142"/>
      <c r="G663" s="142"/>
      <c r="H663" s="142"/>
      <c r="I663" s="143"/>
      <c r="J663" s="142"/>
      <c r="K663" s="128"/>
    </row>
    <row r="664" spans="1:11" ht="15.75" customHeight="1">
      <c r="A664" s="142"/>
      <c r="B664" s="142"/>
      <c r="C664" s="142"/>
      <c r="D664" s="142"/>
      <c r="E664" s="142"/>
      <c r="F664" s="142"/>
      <c r="G664" s="142"/>
      <c r="H664" s="142"/>
      <c r="I664" s="143"/>
      <c r="J664" s="142"/>
      <c r="K664" s="128"/>
    </row>
    <row r="665" spans="1:11" ht="15.75" customHeight="1">
      <c r="A665" s="142"/>
      <c r="B665" s="142"/>
      <c r="C665" s="142"/>
      <c r="D665" s="142"/>
      <c r="E665" s="142"/>
      <c r="F665" s="142"/>
      <c r="G665" s="142"/>
      <c r="H665" s="142"/>
      <c r="I665" s="143"/>
      <c r="J665" s="142"/>
      <c r="K665" s="128"/>
    </row>
    <row r="666" spans="1:11" ht="15.75" customHeight="1">
      <c r="A666" s="142"/>
      <c r="B666" s="142"/>
      <c r="C666" s="142"/>
      <c r="D666" s="142"/>
      <c r="E666" s="142"/>
      <c r="F666" s="142"/>
      <c r="G666" s="142"/>
      <c r="H666" s="142"/>
      <c r="I666" s="143"/>
      <c r="J666" s="142"/>
      <c r="K666" s="128"/>
    </row>
    <row r="667" spans="1:11" ht="15.75" customHeight="1">
      <c r="A667" s="142"/>
      <c r="B667" s="142"/>
      <c r="C667" s="142"/>
      <c r="D667" s="142"/>
      <c r="E667" s="142"/>
      <c r="F667" s="142"/>
      <c r="G667" s="142"/>
      <c r="H667" s="142"/>
      <c r="I667" s="143"/>
      <c r="J667" s="142"/>
      <c r="K667" s="128"/>
    </row>
    <row r="668" spans="1:11" ht="15.75" customHeight="1">
      <c r="A668" s="142"/>
      <c r="B668" s="142"/>
      <c r="C668" s="142"/>
      <c r="D668" s="142"/>
      <c r="E668" s="142"/>
      <c r="F668" s="142"/>
      <c r="G668" s="142"/>
      <c r="H668" s="142"/>
      <c r="I668" s="143"/>
      <c r="J668" s="142"/>
      <c r="K668" s="128"/>
    </row>
    <row r="669" spans="1:11" ht="15.75" customHeight="1">
      <c r="A669" s="142"/>
      <c r="B669" s="142"/>
      <c r="C669" s="142"/>
      <c r="D669" s="142"/>
      <c r="E669" s="142"/>
      <c r="F669" s="142"/>
      <c r="G669" s="142"/>
      <c r="H669" s="142"/>
      <c r="I669" s="143"/>
      <c r="J669" s="142"/>
      <c r="K669" s="128"/>
    </row>
    <row r="670" spans="1:11" ht="15.75" customHeight="1">
      <c r="A670" s="142"/>
      <c r="B670" s="142"/>
      <c r="C670" s="142"/>
      <c r="D670" s="142"/>
      <c r="E670" s="142"/>
      <c r="F670" s="142"/>
      <c r="G670" s="142"/>
      <c r="H670" s="142"/>
      <c r="I670" s="143"/>
      <c r="J670" s="142"/>
      <c r="K670" s="128"/>
    </row>
    <row r="671" spans="1:11" ht="15.75" customHeight="1">
      <c r="A671" s="142"/>
      <c r="B671" s="142"/>
      <c r="C671" s="142"/>
      <c r="D671" s="142"/>
      <c r="E671" s="142"/>
      <c r="F671" s="142"/>
      <c r="G671" s="142"/>
      <c r="H671" s="142"/>
      <c r="I671" s="143"/>
      <c r="J671" s="142"/>
      <c r="K671" s="128"/>
    </row>
    <row r="672" spans="1:11" ht="15.75" customHeight="1">
      <c r="A672" s="142"/>
      <c r="B672" s="142"/>
      <c r="C672" s="142"/>
      <c r="D672" s="142"/>
      <c r="E672" s="142"/>
      <c r="F672" s="142"/>
      <c r="G672" s="142"/>
      <c r="H672" s="142"/>
      <c r="I672" s="143"/>
      <c r="J672" s="142"/>
      <c r="K672" s="128"/>
    </row>
    <row r="673" spans="1:11" ht="15.75" customHeight="1">
      <c r="A673" s="142"/>
      <c r="B673" s="142"/>
      <c r="C673" s="142"/>
      <c r="D673" s="142"/>
      <c r="E673" s="142"/>
      <c r="F673" s="142"/>
      <c r="G673" s="142"/>
      <c r="H673" s="142"/>
      <c r="I673" s="143"/>
      <c r="J673" s="142"/>
      <c r="K673" s="128"/>
    </row>
    <row r="674" spans="1:11" ht="15.75" customHeight="1">
      <c r="A674" s="142"/>
      <c r="B674" s="142"/>
      <c r="C674" s="142"/>
      <c r="D674" s="142"/>
      <c r="E674" s="142"/>
      <c r="F674" s="142"/>
      <c r="G674" s="142"/>
      <c r="H674" s="142"/>
      <c r="I674" s="143"/>
      <c r="J674" s="142"/>
      <c r="K674" s="128"/>
    </row>
    <row r="675" spans="1:11" ht="15.75" customHeight="1">
      <c r="A675" s="142"/>
      <c r="B675" s="142"/>
      <c r="C675" s="142"/>
      <c r="D675" s="142"/>
      <c r="E675" s="142"/>
      <c r="F675" s="142"/>
      <c r="G675" s="142"/>
      <c r="H675" s="142"/>
      <c r="I675" s="143"/>
      <c r="J675" s="142"/>
      <c r="K675" s="128"/>
    </row>
    <row r="676" spans="1:11" ht="15.75" customHeight="1">
      <c r="A676" s="142"/>
      <c r="B676" s="142"/>
      <c r="C676" s="142"/>
      <c r="D676" s="142"/>
      <c r="E676" s="142"/>
      <c r="F676" s="142"/>
      <c r="G676" s="142"/>
      <c r="H676" s="142"/>
      <c r="I676" s="143"/>
      <c r="J676" s="142"/>
      <c r="K676" s="128"/>
    </row>
    <row r="677" spans="1:11" ht="15.75" customHeight="1">
      <c r="A677" s="142"/>
      <c r="B677" s="142"/>
      <c r="C677" s="142"/>
      <c r="D677" s="142"/>
      <c r="E677" s="142"/>
      <c r="F677" s="142"/>
      <c r="G677" s="142"/>
      <c r="H677" s="142"/>
      <c r="I677" s="143"/>
      <c r="J677" s="142"/>
      <c r="K677" s="128"/>
    </row>
    <row r="678" spans="1:11" ht="15.75" customHeight="1">
      <c r="A678" s="142"/>
      <c r="B678" s="142"/>
      <c r="C678" s="142"/>
      <c r="D678" s="142"/>
      <c r="E678" s="142"/>
      <c r="F678" s="142"/>
      <c r="G678" s="142"/>
      <c r="H678" s="142"/>
      <c r="I678" s="143"/>
      <c r="J678" s="142"/>
      <c r="K678" s="128"/>
    </row>
    <row r="679" spans="1:11" ht="15.75" customHeight="1">
      <c r="A679" s="142"/>
      <c r="B679" s="142"/>
      <c r="C679" s="142"/>
      <c r="D679" s="142"/>
      <c r="E679" s="142"/>
      <c r="F679" s="142"/>
      <c r="G679" s="142"/>
      <c r="H679" s="142"/>
      <c r="I679" s="143"/>
      <c r="J679" s="142"/>
      <c r="K679" s="128"/>
    </row>
    <row r="680" spans="1:11" ht="15.75" customHeight="1">
      <c r="A680" s="142"/>
      <c r="B680" s="142"/>
      <c r="C680" s="142"/>
      <c r="D680" s="142"/>
      <c r="E680" s="142"/>
      <c r="F680" s="142"/>
      <c r="G680" s="142"/>
      <c r="H680" s="142"/>
      <c r="I680" s="143"/>
      <c r="J680" s="142"/>
      <c r="K680" s="128"/>
    </row>
    <row r="681" spans="1:11" ht="15.75" customHeight="1">
      <c r="A681" s="142"/>
      <c r="B681" s="142"/>
      <c r="C681" s="142"/>
      <c r="D681" s="142"/>
      <c r="E681" s="142"/>
      <c r="F681" s="142"/>
      <c r="G681" s="142"/>
      <c r="H681" s="142"/>
      <c r="I681" s="143"/>
      <c r="J681" s="142"/>
      <c r="K681" s="128"/>
    </row>
    <row r="682" spans="1:11" ht="15.75" customHeight="1">
      <c r="A682" s="142"/>
      <c r="B682" s="142"/>
      <c r="C682" s="142"/>
      <c r="D682" s="142"/>
      <c r="E682" s="142"/>
      <c r="F682" s="142"/>
      <c r="G682" s="142"/>
      <c r="H682" s="142"/>
      <c r="I682" s="143"/>
      <c r="J682" s="142"/>
      <c r="K682" s="128"/>
    </row>
    <row r="683" spans="1:11" ht="15.75" customHeight="1">
      <c r="A683" s="142"/>
      <c r="B683" s="142"/>
      <c r="C683" s="142"/>
      <c r="D683" s="142"/>
      <c r="E683" s="142"/>
      <c r="F683" s="142"/>
      <c r="G683" s="142"/>
      <c r="H683" s="142"/>
      <c r="I683" s="143"/>
      <c r="J683" s="142"/>
      <c r="K683" s="128"/>
    </row>
    <row r="684" spans="1:11" ht="15.75" customHeight="1">
      <c r="A684" s="142"/>
      <c r="B684" s="142"/>
      <c r="C684" s="142"/>
      <c r="D684" s="142"/>
      <c r="E684" s="142"/>
      <c r="F684" s="142"/>
      <c r="G684" s="142"/>
      <c r="H684" s="142"/>
      <c r="I684" s="143"/>
      <c r="J684" s="142"/>
      <c r="K684" s="128"/>
    </row>
    <row r="685" spans="1:11" ht="15.75" customHeight="1">
      <c r="A685" s="142"/>
      <c r="B685" s="142"/>
      <c r="C685" s="142"/>
      <c r="D685" s="142"/>
      <c r="E685" s="142"/>
      <c r="F685" s="142"/>
      <c r="G685" s="142"/>
      <c r="H685" s="142"/>
      <c r="I685" s="143"/>
      <c r="J685" s="142"/>
      <c r="K685" s="128"/>
    </row>
    <row r="686" spans="1:11" ht="15.75" customHeight="1">
      <c r="A686" s="142"/>
      <c r="B686" s="142"/>
      <c r="C686" s="142"/>
      <c r="D686" s="142"/>
      <c r="E686" s="142"/>
      <c r="F686" s="142"/>
      <c r="G686" s="142"/>
      <c r="H686" s="142"/>
      <c r="I686" s="143"/>
      <c r="J686" s="142"/>
      <c r="K686" s="128"/>
    </row>
    <row r="687" spans="1:11" ht="15.75" customHeight="1">
      <c r="A687" s="142"/>
      <c r="B687" s="142"/>
      <c r="C687" s="142"/>
      <c r="D687" s="142"/>
      <c r="E687" s="142"/>
      <c r="F687" s="142"/>
      <c r="G687" s="142"/>
      <c r="H687" s="142"/>
      <c r="I687" s="143"/>
      <c r="J687" s="142"/>
      <c r="K687" s="128"/>
    </row>
    <row r="688" spans="1:11" ht="15.75" customHeight="1">
      <c r="A688" s="142"/>
      <c r="B688" s="142"/>
      <c r="C688" s="142"/>
      <c r="D688" s="142"/>
      <c r="E688" s="142"/>
      <c r="F688" s="142"/>
      <c r="G688" s="142"/>
      <c r="H688" s="142"/>
      <c r="I688" s="143"/>
      <c r="J688" s="142"/>
      <c r="K688" s="128"/>
    </row>
    <row r="689" spans="1:11" ht="15.75" customHeight="1">
      <c r="A689" s="142"/>
      <c r="B689" s="142"/>
      <c r="C689" s="142"/>
      <c r="D689" s="142"/>
      <c r="E689" s="142"/>
      <c r="F689" s="142"/>
      <c r="G689" s="142"/>
      <c r="H689" s="142"/>
      <c r="I689" s="143"/>
      <c r="J689" s="142"/>
      <c r="K689" s="128"/>
    </row>
    <row r="690" spans="1:11" ht="15.75" customHeight="1">
      <c r="A690" s="142"/>
      <c r="B690" s="142"/>
      <c r="C690" s="142"/>
      <c r="D690" s="142"/>
      <c r="E690" s="142"/>
      <c r="F690" s="142"/>
      <c r="G690" s="142"/>
      <c r="H690" s="142"/>
      <c r="I690" s="143"/>
      <c r="J690" s="142"/>
      <c r="K690" s="128"/>
    </row>
    <row r="691" spans="1:11" ht="15.75" customHeight="1">
      <c r="A691" s="142"/>
      <c r="B691" s="142"/>
      <c r="C691" s="142"/>
      <c r="D691" s="142"/>
      <c r="E691" s="142"/>
      <c r="F691" s="142"/>
      <c r="G691" s="142"/>
      <c r="H691" s="142"/>
      <c r="I691" s="143"/>
      <c r="J691" s="142"/>
      <c r="K691" s="128"/>
    </row>
    <row r="692" spans="1:11" ht="15.75" customHeight="1">
      <c r="A692" s="142"/>
      <c r="B692" s="142"/>
      <c r="C692" s="142"/>
      <c r="D692" s="142"/>
      <c r="E692" s="142"/>
      <c r="F692" s="142"/>
      <c r="G692" s="142"/>
      <c r="H692" s="142"/>
      <c r="I692" s="143"/>
      <c r="J692" s="142"/>
      <c r="K692" s="128"/>
    </row>
    <row r="693" spans="1:11" ht="15.75" customHeight="1">
      <c r="A693" s="142"/>
      <c r="B693" s="142"/>
      <c r="C693" s="142"/>
      <c r="D693" s="142"/>
      <c r="E693" s="142"/>
      <c r="F693" s="142"/>
      <c r="G693" s="142"/>
      <c r="H693" s="142"/>
      <c r="I693" s="143"/>
      <c r="J693" s="142"/>
      <c r="K693" s="128"/>
    </row>
    <row r="694" spans="1:11" ht="15.75" customHeight="1">
      <c r="A694" s="142"/>
      <c r="B694" s="142"/>
      <c r="C694" s="142"/>
      <c r="D694" s="142"/>
      <c r="E694" s="142"/>
      <c r="F694" s="142"/>
      <c r="G694" s="142"/>
      <c r="H694" s="142"/>
      <c r="I694" s="143"/>
      <c r="J694" s="142"/>
      <c r="K694" s="128"/>
    </row>
    <row r="695" spans="1:11" ht="15.75" customHeight="1">
      <c r="A695" s="142"/>
      <c r="B695" s="142"/>
      <c r="C695" s="142"/>
      <c r="D695" s="142"/>
      <c r="E695" s="142"/>
      <c r="F695" s="142"/>
      <c r="G695" s="142"/>
      <c r="H695" s="142"/>
      <c r="I695" s="143"/>
      <c r="J695" s="142"/>
      <c r="K695" s="128"/>
    </row>
    <row r="696" spans="1:11" ht="15.75" customHeight="1">
      <c r="A696" s="142"/>
      <c r="B696" s="142"/>
      <c r="C696" s="142"/>
      <c r="D696" s="142"/>
      <c r="E696" s="142"/>
      <c r="F696" s="142"/>
      <c r="G696" s="142"/>
      <c r="H696" s="142"/>
      <c r="I696" s="143"/>
      <c r="J696" s="142"/>
      <c r="K696" s="128"/>
    </row>
    <row r="697" spans="1:11" ht="15.75" customHeight="1">
      <c r="A697" s="142"/>
      <c r="B697" s="142"/>
      <c r="C697" s="142"/>
      <c r="D697" s="142"/>
      <c r="E697" s="142"/>
      <c r="F697" s="142"/>
      <c r="G697" s="142"/>
      <c r="H697" s="142"/>
      <c r="I697" s="143"/>
      <c r="J697" s="142"/>
      <c r="K697" s="128"/>
    </row>
    <row r="698" spans="1:11" ht="15.75" customHeight="1">
      <c r="A698" s="142"/>
      <c r="B698" s="142"/>
      <c r="C698" s="142"/>
      <c r="D698" s="142"/>
      <c r="E698" s="142"/>
      <c r="F698" s="142"/>
      <c r="G698" s="142"/>
      <c r="H698" s="142"/>
      <c r="I698" s="143"/>
      <c r="J698" s="142"/>
      <c r="K698" s="128"/>
    </row>
    <row r="699" spans="1:11" ht="15.75" customHeight="1">
      <c r="A699" s="142"/>
      <c r="B699" s="142"/>
      <c r="C699" s="142"/>
      <c r="D699" s="142"/>
      <c r="E699" s="142"/>
      <c r="F699" s="142"/>
      <c r="G699" s="142"/>
      <c r="H699" s="142"/>
      <c r="I699" s="143"/>
      <c r="J699" s="142"/>
      <c r="K699" s="128"/>
    </row>
    <row r="700" spans="1:11" ht="15.75" customHeight="1">
      <c r="A700" s="142"/>
      <c r="B700" s="142"/>
      <c r="C700" s="142"/>
      <c r="D700" s="142"/>
      <c r="E700" s="142"/>
      <c r="F700" s="142"/>
      <c r="G700" s="142"/>
      <c r="H700" s="142"/>
      <c r="I700" s="143"/>
      <c r="J700" s="142"/>
      <c r="K700" s="128"/>
    </row>
    <row r="701" spans="1:11" ht="15.75" customHeight="1">
      <c r="A701" s="142"/>
      <c r="B701" s="142"/>
      <c r="C701" s="142"/>
      <c r="D701" s="142"/>
      <c r="E701" s="142"/>
      <c r="F701" s="142"/>
      <c r="G701" s="142"/>
      <c r="H701" s="142"/>
      <c r="I701" s="143"/>
      <c r="J701" s="142"/>
      <c r="K701" s="128"/>
    </row>
    <row r="702" spans="1:11" ht="15.75" customHeight="1">
      <c r="A702" s="142"/>
      <c r="B702" s="142"/>
      <c r="C702" s="142"/>
      <c r="D702" s="142"/>
      <c r="E702" s="142"/>
      <c r="F702" s="142"/>
      <c r="G702" s="142"/>
      <c r="H702" s="142"/>
      <c r="I702" s="143"/>
      <c r="J702" s="142"/>
      <c r="K702" s="128"/>
    </row>
    <row r="703" spans="1:11" ht="15.75" customHeight="1">
      <c r="A703" s="142"/>
      <c r="B703" s="142"/>
      <c r="C703" s="142"/>
      <c r="D703" s="142"/>
      <c r="E703" s="142"/>
      <c r="F703" s="142"/>
      <c r="G703" s="142"/>
      <c r="H703" s="142"/>
      <c r="I703" s="143"/>
      <c r="J703" s="142"/>
      <c r="K703" s="128"/>
    </row>
    <row r="704" spans="1:11" ht="15.75" customHeight="1">
      <c r="A704" s="142"/>
      <c r="B704" s="142"/>
      <c r="C704" s="142"/>
      <c r="D704" s="142"/>
      <c r="E704" s="142"/>
      <c r="F704" s="142"/>
      <c r="G704" s="142"/>
      <c r="H704" s="142"/>
      <c r="I704" s="143"/>
      <c r="J704" s="142"/>
      <c r="K704" s="128"/>
    </row>
    <row r="705" spans="1:11" ht="15.75" customHeight="1">
      <c r="A705" s="142"/>
      <c r="B705" s="142"/>
      <c r="C705" s="142"/>
      <c r="D705" s="142"/>
      <c r="E705" s="142"/>
      <c r="F705" s="142"/>
      <c r="G705" s="142"/>
      <c r="H705" s="142"/>
      <c r="I705" s="143"/>
      <c r="J705" s="142"/>
      <c r="K705" s="128"/>
    </row>
    <row r="706" spans="1:11" ht="15.75" customHeight="1">
      <c r="A706" s="142"/>
      <c r="B706" s="142"/>
      <c r="C706" s="142"/>
      <c r="D706" s="142"/>
      <c r="E706" s="142"/>
      <c r="F706" s="142"/>
      <c r="G706" s="142"/>
      <c r="H706" s="142"/>
      <c r="I706" s="143"/>
      <c r="J706" s="142"/>
      <c r="K706" s="128"/>
    </row>
    <row r="707" spans="1:11" ht="15.75" customHeight="1">
      <c r="A707" s="142"/>
      <c r="B707" s="142"/>
      <c r="C707" s="142"/>
      <c r="D707" s="142"/>
      <c r="E707" s="142"/>
      <c r="F707" s="142"/>
      <c r="G707" s="142"/>
      <c r="H707" s="142"/>
      <c r="I707" s="143"/>
      <c r="J707" s="142"/>
      <c r="K707" s="128"/>
    </row>
    <row r="708" spans="1:11" ht="15.75" customHeight="1">
      <c r="A708" s="142"/>
      <c r="B708" s="142"/>
      <c r="C708" s="142"/>
      <c r="D708" s="142"/>
      <c r="E708" s="142"/>
      <c r="F708" s="142"/>
      <c r="G708" s="142"/>
      <c r="H708" s="142"/>
      <c r="I708" s="143"/>
      <c r="J708" s="142"/>
      <c r="K708" s="128"/>
    </row>
    <row r="709" spans="1:11" ht="15.75" customHeight="1">
      <c r="A709" s="142"/>
      <c r="B709" s="142"/>
      <c r="C709" s="142"/>
      <c r="D709" s="142"/>
      <c r="E709" s="142"/>
      <c r="F709" s="142"/>
      <c r="G709" s="142"/>
      <c r="H709" s="142"/>
      <c r="I709" s="143"/>
      <c r="J709" s="142"/>
      <c r="K709" s="128"/>
    </row>
    <row r="710" spans="1:11" ht="15.75" customHeight="1">
      <c r="A710" s="142"/>
      <c r="B710" s="142"/>
      <c r="C710" s="142"/>
      <c r="D710" s="142"/>
      <c r="E710" s="142"/>
      <c r="F710" s="142"/>
      <c r="G710" s="142"/>
      <c r="H710" s="142"/>
      <c r="I710" s="143"/>
      <c r="J710" s="142"/>
      <c r="K710" s="128"/>
    </row>
    <row r="711" spans="1:11" ht="15.75" customHeight="1">
      <c r="A711" s="142"/>
      <c r="B711" s="142"/>
      <c r="C711" s="142"/>
      <c r="D711" s="142"/>
      <c r="E711" s="142"/>
      <c r="F711" s="142"/>
      <c r="G711" s="142"/>
      <c r="H711" s="142"/>
      <c r="I711" s="143"/>
      <c r="J711" s="142"/>
      <c r="K711" s="128"/>
    </row>
    <row r="712" spans="1:11" ht="15.75" customHeight="1">
      <c r="A712" s="142"/>
      <c r="B712" s="142"/>
      <c r="C712" s="142"/>
      <c r="D712" s="142"/>
      <c r="E712" s="142"/>
      <c r="F712" s="142"/>
      <c r="G712" s="142"/>
      <c r="H712" s="142"/>
      <c r="I712" s="143"/>
      <c r="J712" s="142"/>
      <c r="K712" s="128"/>
    </row>
    <row r="713" spans="1:11" ht="15.75" customHeight="1">
      <c r="A713" s="142"/>
      <c r="B713" s="142"/>
      <c r="C713" s="142"/>
      <c r="D713" s="142"/>
      <c r="E713" s="142"/>
      <c r="F713" s="142"/>
      <c r="G713" s="142"/>
      <c r="H713" s="142"/>
      <c r="I713" s="143"/>
      <c r="J713" s="142"/>
      <c r="K713" s="128"/>
    </row>
    <row r="714" spans="1:11" ht="15.75" customHeight="1">
      <c r="A714" s="142"/>
      <c r="B714" s="142"/>
      <c r="C714" s="142"/>
      <c r="D714" s="142"/>
      <c r="E714" s="142"/>
      <c r="F714" s="142"/>
      <c r="G714" s="142"/>
      <c r="H714" s="142"/>
      <c r="I714" s="143"/>
      <c r="J714" s="142"/>
      <c r="K714" s="128"/>
    </row>
    <row r="715" spans="1:11" ht="15.75" customHeight="1">
      <c r="A715" s="142"/>
      <c r="B715" s="142"/>
      <c r="C715" s="142"/>
      <c r="D715" s="142"/>
      <c r="E715" s="142"/>
      <c r="F715" s="142"/>
      <c r="G715" s="142"/>
      <c r="H715" s="142"/>
      <c r="I715" s="143"/>
      <c r="J715" s="142"/>
      <c r="K715" s="128"/>
    </row>
    <row r="716" spans="1:11" ht="15.75" customHeight="1">
      <c r="A716" s="142"/>
      <c r="B716" s="142"/>
      <c r="C716" s="142"/>
      <c r="D716" s="142"/>
      <c r="E716" s="142"/>
      <c r="F716" s="142"/>
      <c r="G716" s="142"/>
      <c r="H716" s="142"/>
      <c r="I716" s="143"/>
      <c r="J716" s="142"/>
      <c r="K716" s="128"/>
    </row>
    <row r="717" spans="1:11" ht="15.75" customHeight="1">
      <c r="A717" s="142"/>
      <c r="B717" s="142"/>
      <c r="C717" s="142"/>
      <c r="D717" s="142"/>
      <c r="E717" s="142"/>
      <c r="F717" s="142"/>
      <c r="G717" s="142"/>
      <c r="H717" s="142"/>
      <c r="I717" s="143"/>
      <c r="J717" s="142"/>
      <c r="K717" s="128"/>
    </row>
    <row r="718" spans="1:11" ht="15.75" customHeight="1">
      <c r="A718" s="142"/>
      <c r="B718" s="142"/>
      <c r="C718" s="142"/>
      <c r="D718" s="142"/>
      <c r="E718" s="142"/>
      <c r="F718" s="142"/>
      <c r="G718" s="142"/>
      <c r="H718" s="142"/>
      <c r="I718" s="143"/>
      <c r="J718" s="142"/>
      <c r="K718" s="128"/>
    </row>
    <row r="719" spans="1:11" ht="15.75" customHeight="1">
      <c r="A719" s="142"/>
      <c r="B719" s="142"/>
      <c r="C719" s="142"/>
      <c r="D719" s="142"/>
      <c r="E719" s="142"/>
      <c r="F719" s="142"/>
      <c r="G719" s="142"/>
      <c r="H719" s="142"/>
      <c r="I719" s="143"/>
      <c r="J719" s="142"/>
      <c r="K719" s="128"/>
    </row>
    <row r="720" spans="1:11" ht="15.75" customHeight="1">
      <c r="A720" s="142"/>
      <c r="B720" s="142"/>
      <c r="C720" s="142"/>
      <c r="D720" s="142"/>
      <c r="E720" s="142"/>
      <c r="F720" s="142"/>
      <c r="G720" s="142"/>
      <c r="H720" s="142"/>
      <c r="I720" s="143"/>
      <c r="J720" s="142"/>
      <c r="K720" s="128"/>
    </row>
    <row r="721" spans="1:11" ht="15.75" customHeight="1">
      <c r="A721" s="142"/>
      <c r="B721" s="142"/>
      <c r="C721" s="142"/>
      <c r="D721" s="142"/>
      <c r="E721" s="142"/>
      <c r="F721" s="142"/>
      <c r="G721" s="142"/>
      <c r="H721" s="142"/>
      <c r="I721" s="143"/>
      <c r="J721" s="142"/>
      <c r="K721" s="128"/>
    </row>
    <row r="722" spans="1:11" ht="15.75" customHeight="1">
      <c r="A722" s="142"/>
      <c r="B722" s="142"/>
      <c r="C722" s="142"/>
      <c r="D722" s="142"/>
      <c r="E722" s="142"/>
      <c r="F722" s="142"/>
      <c r="G722" s="142"/>
      <c r="H722" s="142"/>
      <c r="I722" s="143"/>
      <c r="J722" s="142"/>
      <c r="K722" s="128"/>
    </row>
    <row r="723" spans="1:11" ht="15.75" customHeight="1">
      <c r="A723" s="142"/>
      <c r="B723" s="142"/>
      <c r="C723" s="142"/>
      <c r="D723" s="142"/>
      <c r="E723" s="142"/>
      <c r="F723" s="142"/>
      <c r="G723" s="142"/>
      <c r="H723" s="142"/>
      <c r="I723" s="143"/>
      <c r="J723" s="142"/>
      <c r="K723" s="128"/>
    </row>
    <row r="724" spans="1:11" ht="15.75" customHeight="1">
      <c r="A724" s="142"/>
      <c r="B724" s="142"/>
      <c r="C724" s="142"/>
      <c r="D724" s="142"/>
      <c r="E724" s="142"/>
      <c r="F724" s="142"/>
      <c r="G724" s="142"/>
      <c r="H724" s="142"/>
      <c r="I724" s="143"/>
      <c r="J724" s="142"/>
      <c r="K724" s="128"/>
    </row>
    <row r="725" spans="1:11" ht="15.75" customHeight="1">
      <c r="A725" s="142"/>
      <c r="B725" s="142"/>
      <c r="C725" s="142"/>
      <c r="D725" s="142"/>
      <c r="E725" s="142"/>
      <c r="F725" s="142"/>
      <c r="G725" s="142"/>
      <c r="H725" s="142"/>
      <c r="I725" s="143"/>
      <c r="J725" s="142"/>
      <c r="K725" s="128"/>
    </row>
    <row r="726" spans="1:11" ht="15.75" customHeight="1">
      <c r="A726" s="142"/>
      <c r="B726" s="142"/>
      <c r="C726" s="142"/>
      <c r="D726" s="142"/>
      <c r="E726" s="142"/>
      <c r="F726" s="142"/>
      <c r="G726" s="142"/>
      <c r="H726" s="142"/>
      <c r="I726" s="143"/>
      <c r="J726" s="142"/>
      <c r="K726" s="128"/>
    </row>
    <row r="727" spans="1:11" ht="15.75" customHeight="1">
      <c r="A727" s="142"/>
      <c r="B727" s="142"/>
      <c r="C727" s="142"/>
      <c r="D727" s="142"/>
      <c r="E727" s="142"/>
      <c r="F727" s="142"/>
      <c r="G727" s="142"/>
      <c r="H727" s="142"/>
      <c r="I727" s="143"/>
      <c r="J727" s="142"/>
      <c r="K727" s="128"/>
    </row>
    <row r="728" spans="1:11" ht="15.75" customHeight="1">
      <c r="A728" s="142"/>
      <c r="B728" s="142"/>
      <c r="C728" s="142"/>
      <c r="D728" s="142"/>
      <c r="E728" s="142"/>
      <c r="F728" s="142"/>
      <c r="G728" s="142"/>
      <c r="H728" s="142"/>
      <c r="I728" s="143"/>
      <c r="J728" s="142"/>
      <c r="K728" s="128"/>
    </row>
    <row r="729" spans="1:11" ht="15.75" customHeight="1">
      <c r="A729" s="142"/>
      <c r="B729" s="142"/>
      <c r="C729" s="142"/>
      <c r="D729" s="142"/>
      <c r="E729" s="142"/>
      <c r="F729" s="142"/>
      <c r="G729" s="142"/>
      <c r="H729" s="142"/>
      <c r="I729" s="143"/>
      <c r="J729" s="142"/>
      <c r="K729" s="128"/>
    </row>
    <row r="730" spans="1:11" ht="15.75" customHeight="1">
      <c r="A730" s="142"/>
      <c r="B730" s="142"/>
      <c r="C730" s="142"/>
      <c r="D730" s="142"/>
      <c r="E730" s="142"/>
      <c r="F730" s="142"/>
      <c r="G730" s="142"/>
      <c r="H730" s="142"/>
      <c r="I730" s="143"/>
      <c r="J730" s="142"/>
      <c r="K730" s="128"/>
    </row>
    <row r="731" spans="1:11" ht="15.75" customHeight="1">
      <c r="A731" s="142"/>
      <c r="B731" s="142"/>
      <c r="C731" s="142"/>
      <c r="D731" s="142"/>
      <c r="E731" s="142"/>
      <c r="F731" s="142"/>
      <c r="G731" s="142"/>
      <c r="H731" s="142"/>
      <c r="I731" s="143"/>
      <c r="J731" s="142"/>
      <c r="K731" s="128"/>
    </row>
    <row r="732" spans="1:11" ht="15.75" customHeight="1">
      <c r="A732" s="142"/>
      <c r="B732" s="142"/>
      <c r="C732" s="142"/>
      <c r="D732" s="142"/>
      <c r="E732" s="142"/>
      <c r="F732" s="142"/>
      <c r="G732" s="142"/>
      <c r="H732" s="142"/>
      <c r="I732" s="143"/>
      <c r="J732" s="142"/>
      <c r="K732" s="128"/>
    </row>
    <row r="733" spans="1:11" ht="15.75" customHeight="1">
      <c r="A733" s="142"/>
      <c r="B733" s="142"/>
      <c r="C733" s="142"/>
      <c r="D733" s="142"/>
      <c r="E733" s="142"/>
      <c r="F733" s="142"/>
      <c r="G733" s="142"/>
      <c r="H733" s="142"/>
      <c r="I733" s="143"/>
      <c r="J733" s="142"/>
      <c r="K733" s="128"/>
    </row>
    <row r="734" spans="1:11" ht="15.75" customHeight="1">
      <c r="A734" s="142"/>
      <c r="B734" s="142"/>
      <c r="C734" s="142"/>
      <c r="D734" s="142"/>
      <c r="E734" s="142"/>
      <c r="F734" s="142"/>
      <c r="G734" s="142"/>
      <c r="H734" s="142"/>
      <c r="I734" s="143"/>
      <c r="J734" s="142"/>
      <c r="K734" s="128"/>
    </row>
    <row r="735" spans="1:11" ht="15.75" customHeight="1">
      <c r="A735" s="142"/>
      <c r="B735" s="142"/>
      <c r="C735" s="142"/>
      <c r="D735" s="142"/>
      <c r="E735" s="142"/>
      <c r="F735" s="142"/>
      <c r="G735" s="142"/>
      <c r="H735" s="142"/>
      <c r="I735" s="143"/>
      <c r="J735" s="142"/>
      <c r="K735" s="128"/>
    </row>
    <row r="736" spans="1:11" ht="15.75" customHeight="1">
      <c r="A736" s="142"/>
      <c r="B736" s="142"/>
      <c r="C736" s="142"/>
      <c r="D736" s="142"/>
      <c r="E736" s="142"/>
      <c r="F736" s="142"/>
      <c r="G736" s="142"/>
      <c r="H736" s="142"/>
      <c r="I736" s="143"/>
      <c r="J736" s="142"/>
      <c r="K736" s="128"/>
    </row>
    <row r="737" spans="1:11" ht="15.75" customHeight="1">
      <c r="A737" s="142"/>
      <c r="B737" s="142"/>
      <c r="C737" s="142"/>
      <c r="D737" s="142"/>
      <c r="E737" s="142"/>
      <c r="F737" s="142"/>
      <c r="G737" s="142"/>
      <c r="H737" s="142"/>
      <c r="I737" s="143"/>
      <c r="J737" s="142"/>
      <c r="K737" s="128"/>
    </row>
    <row r="738" spans="1:11" ht="15.75" customHeight="1">
      <c r="A738" s="142"/>
      <c r="B738" s="142"/>
      <c r="C738" s="142"/>
      <c r="D738" s="142"/>
      <c r="E738" s="142"/>
      <c r="F738" s="142"/>
      <c r="G738" s="142"/>
      <c r="H738" s="142"/>
      <c r="I738" s="143"/>
      <c r="J738" s="142"/>
      <c r="K738" s="128"/>
    </row>
    <row r="739" spans="1:11" ht="15.75" customHeight="1">
      <c r="A739" s="142"/>
      <c r="B739" s="142"/>
      <c r="C739" s="142"/>
      <c r="D739" s="142"/>
      <c r="E739" s="142"/>
      <c r="F739" s="142"/>
      <c r="G739" s="142"/>
      <c r="H739" s="142"/>
      <c r="I739" s="143"/>
      <c r="J739" s="142"/>
      <c r="K739" s="128"/>
    </row>
    <row r="740" spans="1:11" ht="15.75" customHeight="1">
      <c r="A740" s="142"/>
      <c r="B740" s="142"/>
      <c r="C740" s="142"/>
      <c r="D740" s="142"/>
      <c r="E740" s="142"/>
      <c r="F740" s="142"/>
      <c r="G740" s="142"/>
      <c r="H740" s="142"/>
      <c r="I740" s="143"/>
      <c r="J740" s="142"/>
      <c r="K740" s="128"/>
    </row>
    <row r="741" spans="1:11" ht="15.75" customHeight="1">
      <c r="A741" s="142"/>
      <c r="B741" s="142"/>
      <c r="C741" s="142"/>
      <c r="D741" s="142"/>
      <c r="E741" s="142"/>
      <c r="F741" s="142"/>
      <c r="G741" s="142"/>
      <c r="H741" s="142"/>
      <c r="I741" s="143"/>
      <c r="J741" s="142"/>
      <c r="K741" s="128"/>
    </row>
    <row r="742" spans="1:11" ht="15.75" customHeight="1">
      <c r="A742" s="142"/>
      <c r="B742" s="142"/>
      <c r="C742" s="142"/>
      <c r="D742" s="142"/>
      <c r="E742" s="142"/>
      <c r="F742" s="142"/>
      <c r="G742" s="142"/>
      <c r="H742" s="142"/>
      <c r="I742" s="143"/>
      <c r="J742" s="142"/>
      <c r="K742" s="128"/>
    </row>
    <row r="743" spans="1:11" ht="15.75" customHeight="1">
      <c r="A743" s="142"/>
      <c r="B743" s="142"/>
      <c r="C743" s="142"/>
      <c r="D743" s="142"/>
      <c r="E743" s="142"/>
      <c r="F743" s="142"/>
      <c r="G743" s="142"/>
      <c r="H743" s="142"/>
      <c r="I743" s="143"/>
      <c r="J743" s="142"/>
      <c r="K743" s="128"/>
    </row>
    <row r="744" spans="1:11" ht="15.75" customHeight="1">
      <c r="A744" s="142"/>
      <c r="B744" s="142"/>
      <c r="C744" s="142"/>
      <c r="D744" s="142"/>
      <c r="E744" s="142"/>
      <c r="F744" s="142"/>
      <c r="G744" s="142"/>
      <c r="H744" s="142"/>
      <c r="I744" s="143"/>
      <c r="J744" s="142"/>
      <c r="K744" s="128"/>
    </row>
    <row r="745" spans="1:11" ht="15.75" customHeight="1">
      <c r="A745" s="142"/>
      <c r="B745" s="142"/>
      <c r="C745" s="142"/>
      <c r="D745" s="142"/>
      <c r="E745" s="142"/>
      <c r="F745" s="142"/>
      <c r="G745" s="142"/>
      <c r="H745" s="142"/>
      <c r="I745" s="143"/>
      <c r="J745" s="142"/>
      <c r="K745" s="128"/>
    </row>
    <row r="746" spans="1:11" ht="15.75" customHeight="1">
      <c r="A746" s="142"/>
      <c r="B746" s="142"/>
      <c r="C746" s="142"/>
      <c r="D746" s="142"/>
      <c r="E746" s="142"/>
      <c r="F746" s="142"/>
      <c r="G746" s="142"/>
      <c r="H746" s="142"/>
      <c r="I746" s="143"/>
      <c r="J746" s="142"/>
      <c r="K746" s="128"/>
    </row>
    <row r="747" spans="1:11" ht="15.75" customHeight="1">
      <c r="A747" s="142"/>
      <c r="B747" s="142"/>
      <c r="C747" s="142"/>
      <c r="D747" s="142"/>
      <c r="E747" s="142"/>
      <c r="F747" s="142"/>
      <c r="G747" s="142"/>
      <c r="H747" s="142"/>
      <c r="I747" s="143"/>
      <c r="J747" s="142"/>
      <c r="K747" s="128"/>
    </row>
    <row r="748" spans="1:11" ht="15.75" customHeight="1">
      <c r="A748" s="142"/>
      <c r="B748" s="142"/>
      <c r="C748" s="142"/>
      <c r="D748" s="142"/>
      <c r="E748" s="142"/>
      <c r="F748" s="142"/>
      <c r="G748" s="142"/>
      <c r="H748" s="142"/>
      <c r="I748" s="143"/>
      <c r="J748" s="142"/>
      <c r="K748" s="128"/>
    </row>
    <row r="749" spans="1:11" ht="15.75" customHeight="1">
      <c r="A749" s="142"/>
      <c r="B749" s="142"/>
      <c r="C749" s="142"/>
      <c r="D749" s="142"/>
      <c r="E749" s="142"/>
      <c r="F749" s="142"/>
      <c r="G749" s="142"/>
      <c r="H749" s="142"/>
      <c r="I749" s="143"/>
      <c r="J749" s="142"/>
      <c r="K749" s="128"/>
    </row>
    <row r="750" spans="1:11" ht="15.75" customHeight="1">
      <c r="A750" s="142"/>
      <c r="B750" s="142"/>
      <c r="C750" s="142"/>
      <c r="D750" s="142"/>
      <c r="E750" s="142"/>
      <c r="F750" s="142"/>
      <c r="G750" s="142"/>
      <c r="H750" s="142"/>
      <c r="I750" s="143"/>
      <c r="J750" s="142"/>
      <c r="K750" s="128"/>
    </row>
    <row r="751" spans="1:11" ht="15.75" customHeight="1">
      <c r="A751" s="142"/>
      <c r="B751" s="142"/>
      <c r="C751" s="142"/>
      <c r="D751" s="142"/>
      <c r="E751" s="142"/>
      <c r="F751" s="142"/>
      <c r="G751" s="142"/>
      <c r="H751" s="142"/>
      <c r="I751" s="143"/>
      <c r="J751" s="142"/>
      <c r="K751" s="128"/>
    </row>
    <row r="752" spans="1:11" ht="15.75" customHeight="1">
      <c r="A752" s="142"/>
      <c r="B752" s="142"/>
      <c r="C752" s="142"/>
      <c r="D752" s="142"/>
      <c r="E752" s="142"/>
      <c r="F752" s="142"/>
      <c r="G752" s="142"/>
      <c r="H752" s="142"/>
      <c r="I752" s="143"/>
      <c r="J752" s="142"/>
      <c r="K752" s="128"/>
    </row>
    <row r="753" spans="1:11" ht="15.75" customHeight="1">
      <c r="A753" s="142"/>
      <c r="B753" s="142"/>
      <c r="C753" s="142"/>
      <c r="D753" s="142"/>
      <c r="E753" s="142"/>
      <c r="F753" s="142"/>
      <c r="G753" s="142"/>
      <c r="H753" s="142"/>
      <c r="I753" s="143"/>
      <c r="J753" s="142"/>
      <c r="K753" s="128"/>
    </row>
    <row r="754" spans="1:11" ht="15.75" customHeight="1">
      <c r="A754" s="142"/>
      <c r="B754" s="142"/>
      <c r="C754" s="142"/>
      <c r="D754" s="142"/>
      <c r="E754" s="142"/>
      <c r="F754" s="142"/>
      <c r="G754" s="142"/>
      <c r="H754" s="142"/>
      <c r="I754" s="143"/>
      <c r="J754" s="142"/>
      <c r="K754" s="128"/>
    </row>
    <row r="755" spans="1:11" ht="15.75" customHeight="1">
      <c r="A755" s="142"/>
      <c r="B755" s="142"/>
      <c r="C755" s="142"/>
      <c r="D755" s="142"/>
      <c r="E755" s="142"/>
      <c r="F755" s="142"/>
      <c r="G755" s="142"/>
      <c r="H755" s="142"/>
      <c r="I755" s="143"/>
      <c r="J755" s="142"/>
      <c r="K755" s="128"/>
    </row>
    <row r="756" spans="1:11" ht="15.75" customHeight="1">
      <c r="A756" s="142"/>
      <c r="B756" s="142"/>
      <c r="C756" s="142"/>
      <c r="D756" s="142"/>
      <c r="E756" s="142"/>
      <c r="F756" s="142"/>
      <c r="G756" s="142"/>
      <c r="H756" s="142"/>
      <c r="I756" s="143"/>
      <c r="J756" s="142"/>
      <c r="K756" s="128"/>
    </row>
    <row r="757" spans="1:11" ht="15.75" customHeight="1">
      <c r="A757" s="142"/>
      <c r="B757" s="142"/>
      <c r="C757" s="142"/>
      <c r="D757" s="142"/>
      <c r="E757" s="142"/>
      <c r="F757" s="142"/>
      <c r="G757" s="142"/>
      <c r="H757" s="142"/>
      <c r="I757" s="143"/>
      <c r="J757" s="142"/>
      <c r="K757" s="128"/>
    </row>
    <row r="758" spans="1:11" ht="15.75" customHeight="1">
      <c r="A758" s="142"/>
      <c r="B758" s="142"/>
      <c r="C758" s="142"/>
      <c r="D758" s="142"/>
      <c r="E758" s="142"/>
      <c r="F758" s="142"/>
      <c r="G758" s="142"/>
      <c r="H758" s="142"/>
      <c r="I758" s="143"/>
      <c r="J758" s="142"/>
      <c r="K758" s="128"/>
    </row>
    <row r="759" spans="1:11" ht="15.75" customHeight="1">
      <c r="A759" s="142"/>
      <c r="B759" s="142"/>
      <c r="C759" s="142"/>
      <c r="D759" s="142"/>
      <c r="E759" s="142"/>
      <c r="F759" s="142"/>
      <c r="G759" s="142"/>
      <c r="H759" s="142"/>
      <c r="I759" s="143"/>
      <c r="J759" s="142"/>
      <c r="K759" s="128"/>
    </row>
    <row r="760" spans="1:11" ht="15.75" customHeight="1">
      <c r="A760" s="142"/>
      <c r="B760" s="142"/>
      <c r="C760" s="142"/>
      <c r="D760" s="142"/>
      <c r="E760" s="142"/>
      <c r="F760" s="142"/>
      <c r="G760" s="142"/>
      <c r="H760" s="142"/>
      <c r="I760" s="143"/>
      <c r="J760" s="142"/>
      <c r="K760" s="128"/>
    </row>
    <row r="761" spans="1:11" ht="15.75" customHeight="1">
      <c r="A761" s="142"/>
      <c r="B761" s="142"/>
      <c r="C761" s="142"/>
      <c r="D761" s="142"/>
      <c r="E761" s="142"/>
      <c r="F761" s="142"/>
      <c r="G761" s="142"/>
      <c r="H761" s="142"/>
      <c r="I761" s="143"/>
      <c r="J761" s="142"/>
      <c r="K761" s="128"/>
    </row>
    <row r="762" spans="1:11" ht="15.75" customHeight="1">
      <c r="A762" s="142"/>
      <c r="B762" s="142"/>
      <c r="C762" s="142"/>
      <c r="D762" s="142"/>
      <c r="E762" s="142"/>
      <c r="F762" s="142"/>
      <c r="G762" s="142"/>
      <c r="H762" s="142"/>
      <c r="I762" s="143"/>
      <c r="J762" s="142"/>
      <c r="K762" s="128"/>
    </row>
    <row r="763" spans="1:11" ht="15.75" customHeight="1">
      <c r="A763" s="142"/>
      <c r="B763" s="142"/>
      <c r="C763" s="142"/>
      <c r="D763" s="142"/>
      <c r="E763" s="142"/>
      <c r="F763" s="142"/>
      <c r="G763" s="142"/>
      <c r="H763" s="142"/>
      <c r="I763" s="143"/>
      <c r="J763" s="142"/>
      <c r="K763" s="128"/>
    </row>
    <row r="764" spans="1:11" ht="15.75" customHeight="1">
      <c r="A764" s="142"/>
      <c r="B764" s="142"/>
      <c r="C764" s="142"/>
      <c r="D764" s="142"/>
      <c r="E764" s="142"/>
      <c r="F764" s="142"/>
      <c r="G764" s="142"/>
      <c r="H764" s="142"/>
      <c r="I764" s="143"/>
      <c r="J764" s="142"/>
      <c r="K764" s="128"/>
    </row>
    <row r="765" spans="1:11" ht="15.75" customHeight="1">
      <c r="A765" s="142"/>
      <c r="B765" s="142"/>
      <c r="C765" s="142"/>
      <c r="D765" s="142"/>
      <c r="E765" s="142"/>
      <c r="F765" s="142"/>
      <c r="G765" s="142"/>
      <c r="H765" s="142"/>
      <c r="I765" s="143"/>
      <c r="J765" s="142"/>
      <c r="K765" s="128"/>
    </row>
    <row r="766" spans="1:11" ht="15.75" customHeight="1">
      <c r="A766" s="142"/>
      <c r="B766" s="142"/>
      <c r="C766" s="142"/>
      <c r="D766" s="142"/>
      <c r="E766" s="142"/>
      <c r="F766" s="142"/>
      <c r="G766" s="142"/>
      <c r="H766" s="142"/>
      <c r="I766" s="143"/>
      <c r="J766" s="142"/>
      <c r="K766" s="128"/>
    </row>
    <row r="767" spans="1:11" ht="15.75" customHeight="1">
      <c r="A767" s="142"/>
      <c r="B767" s="142"/>
      <c r="C767" s="142"/>
      <c r="D767" s="142"/>
      <c r="E767" s="142"/>
      <c r="F767" s="142"/>
      <c r="G767" s="142"/>
      <c r="H767" s="142"/>
      <c r="I767" s="143"/>
      <c r="J767" s="142"/>
      <c r="K767" s="128"/>
    </row>
    <row r="768" spans="1:11" ht="15.75" customHeight="1">
      <c r="A768" s="142"/>
      <c r="B768" s="142"/>
      <c r="C768" s="142"/>
      <c r="D768" s="142"/>
      <c r="E768" s="142"/>
      <c r="F768" s="142"/>
      <c r="G768" s="142"/>
      <c r="H768" s="142"/>
      <c r="I768" s="143"/>
      <c r="J768" s="142"/>
      <c r="K768" s="128"/>
    </row>
    <row r="769" spans="1:11" ht="15.75" customHeight="1">
      <c r="A769" s="142"/>
      <c r="B769" s="142"/>
      <c r="C769" s="142"/>
      <c r="D769" s="142"/>
      <c r="E769" s="142"/>
      <c r="F769" s="142"/>
      <c r="G769" s="142"/>
      <c r="H769" s="142"/>
      <c r="I769" s="143"/>
      <c r="J769" s="142"/>
      <c r="K769" s="128"/>
    </row>
    <row r="770" spans="1:11" ht="15.75" customHeight="1">
      <c r="A770" s="142"/>
      <c r="B770" s="142"/>
      <c r="C770" s="142"/>
      <c r="D770" s="142"/>
      <c r="E770" s="142"/>
      <c r="F770" s="142"/>
      <c r="G770" s="142"/>
      <c r="H770" s="142"/>
      <c r="I770" s="143"/>
      <c r="J770" s="142"/>
      <c r="K770" s="128"/>
    </row>
    <row r="771" spans="1:11" ht="15.75" customHeight="1">
      <c r="A771" s="142"/>
      <c r="B771" s="142"/>
      <c r="C771" s="142"/>
      <c r="D771" s="142"/>
      <c r="E771" s="142"/>
      <c r="F771" s="142"/>
      <c r="G771" s="142"/>
      <c r="H771" s="142"/>
      <c r="I771" s="143"/>
      <c r="J771" s="142"/>
      <c r="K771" s="128"/>
    </row>
    <row r="772" spans="1:11" ht="15.75" customHeight="1">
      <c r="A772" s="142"/>
      <c r="B772" s="142"/>
      <c r="C772" s="142"/>
      <c r="D772" s="142"/>
      <c r="E772" s="142"/>
      <c r="F772" s="142"/>
      <c r="G772" s="142"/>
      <c r="H772" s="142"/>
      <c r="I772" s="143"/>
      <c r="J772" s="142"/>
      <c r="K772" s="128"/>
    </row>
    <row r="773" spans="1:11" ht="15.75" customHeight="1">
      <c r="A773" s="142"/>
      <c r="B773" s="142"/>
      <c r="C773" s="142"/>
      <c r="D773" s="142"/>
      <c r="E773" s="142"/>
      <c r="F773" s="142"/>
      <c r="G773" s="142"/>
      <c r="H773" s="142"/>
      <c r="I773" s="143"/>
      <c r="J773" s="142"/>
      <c r="K773" s="128"/>
    </row>
    <row r="774" spans="1:11" ht="15.75" customHeight="1">
      <c r="A774" s="142"/>
      <c r="B774" s="142"/>
      <c r="C774" s="142"/>
      <c r="D774" s="142"/>
      <c r="E774" s="142"/>
      <c r="F774" s="142"/>
      <c r="G774" s="142"/>
      <c r="H774" s="142"/>
      <c r="I774" s="143"/>
      <c r="J774" s="142"/>
      <c r="K774" s="128"/>
    </row>
    <row r="775" spans="1:11" ht="15.75" customHeight="1">
      <c r="A775" s="142"/>
      <c r="B775" s="142"/>
      <c r="C775" s="142"/>
      <c r="D775" s="142"/>
      <c r="E775" s="142"/>
      <c r="F775" s="142"/>
      <c r="G775" s="142"/>
      <c r="H775" s="142"/>
      <c r="I775" s="143"/>
      <c r="J775" s="142"/>
      <c r="K775" s="128"/>
    </row>
    <row r="776" spans="1:11" ht="15.75" customHeight="1">
      <c r="A776" s="142"/>
      <c r="B776" s="142"/>
      <c r="C776" s="142"/>
      <c r="D776" s="142"/>
      <c r="E776" s="142"/>
      <c r="F776" s="142"/>
      <c r="G776" s="142"/>
      <c r="H776" s="142"/>
      <c r="I776" s="143"/>
      <c r="J776" s="142"/>
      <c r="K776" s="128"/>
    </row>
    <row r="777" spans="1:11" ht="15.75" customHeight="1">
      <c r="A777" s="142"/>
      <c r="B777" s="142"/>
      <c r="C777" s="142"/>
      <c r="D777" s="142"/>
      <c r="E777" s="142"/>
      <c r="F777" s="142"/>
      <c r="G777" s="142"/>
      <c r="H777" s="142"/>
      <c r="I777" s="143"/>
      <c r="J777" s="142"/>
      <c r="K777" s="128"/>
    </row>
    <row r="778" spans="1:11" ht="15.75" customHeight="1">
      <c r="A778" s="142"/>
      <c r="B778" s="142"/>
      <c r="C778" s="142"/>
      <c r="D778" s="142"/>
      <c r="E778" s="142"/>
      <c r="F778" s="142"/>
      <c r="G778" s="142"/>
      <c r="H778" s="142"/>
      <c r="I778" s="143"/>
      <c r="J778" s="142"/>
      <c r="K778" s="128"/>
    </row>
    <row r="779" spans="1:11" ht="15.75" customHeight="1">
      <c r="A779" s="142"/>
      <c r="B779" s="142"/>
      <c r="C779" s="142"/>
      <c r="D779" s="142"/>
      <c r="E779" s="142"/>
      <c r="F779" s="142"/>
      <c r="G779" s="142"/>
      <c r="H779" s="142"/>
      <c r="I779" s="143"/>
      <c r="J779" s="142"/>
      <c r="K779" s="128"/>
    </row>
    <row r="780" spans="1:11" ht="15.75" customHeight="1">
      <c r="A780" s="142"/>
      <c r="B780" s="142"/>
      <c r="C780" s="142"/>
      <c r="D780" s="142"/>
      <c r="E780" s="142"/>
      <c r="F780" s="142"/>
      <c r="G780" s="142"/>
      <c r="H780" s="142"/>
      <c r="I780" s="143"/>
      <c r="J780" s="142"/>
      <c r="K780" s="128"/>
    </row>
    <row r="781" spans="1:11" ht="15.75" customHeight="1">
      <c r="A781" s="142"/>
      <c r="B781" s="142"/>
      <c r="C781" s="142"/>
      <c r="D781" s="142"/>
      <c r="E781" s="142"/>
      <c r="F781" s="142"/>
      <c r="G781" s="142"/>
      <c r="H781" s="142"/>
      <c r="I781" s="143"/>
      <c r="J781" s="142"/>
      <c r="K781" s="128"/>
    </row>
    <row r="782" spans="1:11" ht="15.75" customHeight="1">
      <c r="A782" s="142"/>
      <c r="B782" s="142"/>
      <c r="C782" s="142"/>
      <c r="D782" s="142"/>
      <c r="E782" s="142"/>
      <c r="F782" s="142"/>
      <c r="G782" s="142"/>
      <c r="H782" s="142"/>
      <c r="I782" s="143"/>
      <c r="J782" s="142"/>
      <c r="K782" s="128"/>
    </row>
    <row r="783" spans="1:11" ht="15.75" customHeight="1">
      <c r="A783" s="142"/>
      <c r="B783" s="142"/>
      <c r="C783" s="142"/>
      <c r="D783" s="142"/>
      <c r="E783" s="142"/>
      <c r="F783" s="142"/>
      <c r="G783" s="142"/>
      <c r="H783" s="142"/>
      <c r="I783" s="143"/>
      <c r="J783" s="142"/>
      <c r="K783" s="128"/>
    </row>
    <row r="784" spans="1:11" ht="15.75" customHeight="1">
      <c r="A784" s="142"/>
      <c r="B784" s="142"/>
      <c r="C784" s="142"/>
      <c r="D784" s="142"/>
      <c r="E784" s="142"/>
      <c r="F784" s="142"/>
      <c r="G784" s="142"/>
      <c r="H784" s="142"/>
      <c r="I784" s="143"/>
      <c r="J784" s="142"/>
      <c r="K784" s="128"/>
    </row>
    <row r="785" spans="1:11" ht="15.75" customHeight="1">
      <c r="A785" s="142"/>
      <c r="B785" s="142"/>
      <c r="C785" s="142"/>
      <c r="D785" s="142"/>
      <c r="E785" s="142"/>
      <c r="F785" s="142"/>
      <c r="G785" s="142"/>
      <c r="H785" s="142"/>
      <c r="I785" s="143"/>
      <c r="J785" s="142"/>
      <c r="K785" s="128"/>
    </row>
    <row r="786" spans="1:11" ht="15.75" customHeight="1">
      <c r="A786" s="142"/>
      <c r="B786" s="142"/>
      <c r="C786" s="142"/>
      <c r="D786" s="142"/>
      <c r="E786" s="142"/>
      <c r="F786" s="142"/>
      <c r="G786" s="142"/>
      <c r="H786" s="142"/>
      <c r="I786" s="143"/>
      <c r="J786" s="142"/>
      <c r="K786" s="128"/>
    </row>
    <row r="787" spans="1:11" ht="15.75" customHeight="1">
      <c r="A787" s="142"/>
      <c r="B787" s="142"/>
      <c r="C787" s="142"/>
      <c r="D787" s="142"/>
      <c r="E787" s="142"/>
      <c r="F787" s="142"/>
      <c r="G787" s="142"/>
      <c r="H787" s="142"/>
      <c r="I787" s="143"/>
      <c r="J787" s="142"/>
      <c r="K787" s="128"/>
    </row>
    <row r="788" spans="1:11" ht="15.75" customHeight="1">
      <c r="A788" s="142"/>
      <c r="B788" s="142"/>
      <c r="C788" s="142"/>
      <c r="D788" s="142"/>
      <c r="E788" s="142"/>
      <c r="F788" s="142"/>
      <c r="G788" s="142"/>
      <c r="H788" s="142"/>
      <c r="I788" s="143"/>
      <c r="J788" s="142"/>
      <c r="K788" s="128"/>
    </row>
    <row r="789" spans="1:11" ht="15.75" customHeight="1">
      <c r="A789" s="142"/>
      <c r="B789" s="142"/>
      <c r="C789" s="142"/>
      <c r="D789" s="142"/>
      <c r="E789" s="142"/>
      <c r="F789" s="142"/>
      <c r="G789" s="142"/>
      <c r="H789" s="142"/>
      <c r="I789" s="143"/>
      <c r="J789" s="142"/>
      <c r="K789" s="128"/>
    </row>
    <row r="790" spans="1:11" ht="15.75" customHeight="1">
      <c r="A790" s="142"/>
      <c r="B790" s="142"/>
      <c r="C790" s="142"/>
      <c r="D790" s="142"/>
      <c r="E790" s="142"/>
      <c r="F790" s="142"/>
      <c r="G790" s="142"/>
      <c r="H790" s="142"/>
      <c r="I790" s="143"/>
      <c r="J790" s="142"/>
      <c r="K790" s="128"/>
    </row>
    <row r="791" spans="1:11" ht="15.75" customHeight="1">
      <c r="A791" s="142"/>
      <c r="B791" s="142"/>
      <c r="C791" s="142"/>
      <c r="D791" s="142"/>
      <c r="E791" s="142"/>
      <c r="F791" s="142"/>
      <c r="G791" s="142"/>
      <c r="H791" s="142"/>
      <c r="I791" s="143"/>
      <c r="J791" s="142"/>
      <c r="K791" s="128"/>
    </row>
    <row r="792" spans="1:11" ht="15.75" customHeight="1">
      <c r="A792" s="142"/>
      <c r="B792" s="142"/>
      <c r="C792" s="142"/>
      <c r="D792" s="142"/>
      <c r="E792" s="142"/>
      <c r="F792" s="142"/>
      <c r="G792" s="142"/>
      <c r="H792" s="142"/>
      <c r="I792" s="143"/>
      <c r="J792" s="142"/>
      <c r="K792" s="128"/>
    </row>
    <row r="793" spans="1:11" ht="15.75" customHeight="1">
      <c r="A793" s="142"/>
      <c r="B793" s="142"/>
      <c r="C793" s="142"/>
      <c r="D793" s="142"/>
      <c r="E793" s="142"/>
      <c r="F793" s="142"/>
      <c r="G793" s="142"/>
      <c r="H793" s="142"/>
      <c r="I793" s="143"/>
      <c r="J793" s="142"/>
      <c r="K793" s="128"/>
    </row>
    <row r="794" spans="1:11" ht="15.75" customHeight="1">
      <c r="A794" s="142"/>
      <c r="B794" s="142"/>
      <c r="C794" s="142"/>
      <c r="D794" s="142"/>
      <c r="E794" s="142"/>
      <c r="F794" s="142"/>
      <c r="G794" s="142"/>
      <c r="H794" s="142"/>
      <c r="I794" s="143"/>
      <c r="J794" s="142"/>
      <c r="K794" s="128"/>
    </row>
    <row r="795" spans="1:11" ht="15.75" customHeight="1">
      <c r="A795" s="142"/>
      <c r="B795" s="142"/>
      <c r="C795" s="142"/>
      <c r="D795" s="142"/>
      <c r="E795" s="142"/>
      <c r="F795" s="142"/>
      <c r="G795" s="142"/>
      <c r="H795" s="142"/>
      <c r="I795" s="143"/>
      <c r="J795" s="142"/>
      <c r="K795" s="128"/>
    </row>
    <row r="796" spans="1:11" ht="15.75" customHeight="1">
      <c r="A796" s="142"/>
      <c r="B796" s="142"/>
      <c r="C796" s="142"/>
      <c r="D796" s="142"/>
      <c r="E796" s="142"/>
      <c r="F796" s="142"/>
      <c r="G796" s="142"/>
      <c r="H796" s="142"/>
      <c r="I796" s="143"/>
      <c r="J796" s="142"/>
      <c r="K796" s="128"/>
    </row>
    <row r="797" spans="1:11" ht="15.75" customHeight="1">
      <c r="A797" s="142"/>
      <c r="B797" s="142"/>
      <c r="C797" s="142"/>
      <c r="D797" s="142"/>
      <c r="E797" s="142"/>
      <c r="F797" s="142"/>
      <c r="G797" s="142"/>
      <c r="H797" s="142"/>
      <c r="I797" s="143"/>
      <c r="J797" s="142"/>
      <c r="K797" s="128"/>
    </row>
    <row r="798" spans="1:11" ht="15.75" customHeight="1">
      <c r="A798" s="142"/>
      <c r="B798" s="142"/>
      <c r="C798" s="142"/>
      <c r="D798" s="142"/>
      <c r="E798" s="142"/>
      <c r="F798" s="142"/>
      <c r="G798" s="142"/>
      <c r="H798" s="142"/>
      <c r="I798" s="143"/>
      <c r="J798" s="142"/>
      <c r="K798" s="128"/>
    </row>
    <row r="799" spans="1:11" ht="15.75" customHeight="1">
      <c r="A799" s="142"/>
      <c r="B799" s="142"/>
      <c r="C799" s="142"/>
      <c r="D799" s="142"/>
      <c r="E799" s="142"/>
      <c r="F799" s="142"/>
      <c r="G799" s="142"/>
      <c r="H799" s="142"/>
      <c r="I799" s="143"/>
      <c r="J799" s="142"/>
      <c r="K799" s="128"/>
    </row>
    <row r="800" spans="1:11" ht="15.75" customHeight="1">
      <c r="A800" s="142"/>
      <c r="B800" s="142"/>
      <c r="C800" s="142"/>
      <c r="D800" s="142"/>
      <c r="E800" s="142"/>
      <c r="F800" s="142"/>
      <c r="G800" s="142"/>
      <c r="H800" s="142"/>
      <c r="I800" s="143"/>
      <c r="J800" s="142"/>
      <c r="K800" s="128"/>
    </row>
    <row r="801" spans="1:11" ht="15.75" customHeight="1">
      <c r="A801" s="142"/>
      <c r="B801" s="142"/>
      <c r="C801" s="142"/>
      <c r="D801" s="142"/>
      <c r="E801" s="142"/>
      <c r="F801" s="142"/>
      <c r="G801" s="142"/>
      <c r="H801" s="142"/>
      <c r="I801" s="143"/>
      <c r="J801" s="142"/>
      <c r="K801" s="128"/>
    </row>
    <row r="802" spans="1:11" ht="15.75" customHeight="1">
      <c r="A802" s="142"/>
      <c r="B802" s="142"/>
      <c r="C802" s="142"/>
      <c r="D802" s="142"/>
      <c r="E802" s="142"/>
      <c r="F802" s="142"/>
      <c r="G802" s="142"/>
      <c r="H802" s="142"/>
      <c r="I802" s="143"/>
      <c r="J802" s="142"/>
      <c r="K802" s="128"/>
    </row>
    <row r="803" spans="1:11" ht="15.75" customHeight="1">
      <c r="A803" s="142"/>
      <c r="B803" s="142"/>
      <c r="C803" s="142"/>
      <c r="D803" s="142"/>
      <c r="E803" s="142"/>
      <c r="F803" s="142"/>
      <c r="G803" s="142"/>
      <c r="H803" s="142"/>
      <c r="I803" s="143"/>
      <c r="J803" s="142"/>
      <c r="K803" s="128"/>
    </row>
    <row r="804" spans="1:11" ht="15.75" customHeight="1">
      <c r="A804" s="142"/>
      <c r="B804" s="142"/>
      <c r="C804" s="142"/>
      <c r="D804" s="142"/>
      <c r="E804" s="142"/>
      <c r="F804" s="142"/>
      <c r="G804" s="142"/>
      <c r="H804" s="142"/>
      <c r="I804" s="143"/>
      <c r="J804" s="142"/>
      <c r="K804" s="128"/>
    </row>
    <row r="805" spans="1:11" ht="15.75" customHeight="1">
      <c r="A805" s="142"/>
      <c r="B805" s="142"/>
      <c r="C805" s="142"/>
      <c r="D805" s="142"/>
      <c r="E805" s="142"/>
      <c r="F805" s="142"/>
      <c r="G805" s="142"/>
      <c r="H805" s="142"/>
      <c r="I805" s="143"/>
      <c r="J805" s="142"/>
      <c r="K805" s="128"/>
    </row>
    <row r="806" spans="1:11" ht="15.75" customHeight="1">
      <c r="A806" s="142"/>
      <c r="B806" s="142"/>
      <c r="C806" s="142"/>
      <c r="D806" s="142"/>
      <c r="E806" s="142"/>
      <c r="F806" s="142"/>
      <c r="G806" s="142"/>
      <c r="H806" s="142"/>
      <c r="I806" s="143"/>
      <c r="J806" s="142"/>
      <c r="K806" s="128"/>
    </row>
    <row r="807" spans="1:11" ht="15.75" customHeight="1">
      <c r="A807" s="142"/>
      <c r="B807" s="142"/>
      <c r="C807" s="142"/>
      <c r="D807" s="142"/>
      <c r="E807" s="142"/>
      <c r="F807" s="142"/>
      <c r="G807" s="142"/>
      <c r="H807" s="142"/>
      <c r="I807" s="143"/>
      <c r="J807" s="142"/>
      <c r="K807" s="128"/>
    </row>
    <row r="808" spans="1:11" ht="15.75" customHeight="1">
      <c r="A808" s="142"/>
      <c r="B808" s="142"/>
      <c r="C808" s="142"/>
      <c r="D808" s="142"/>
      <c r="E808" s="142"/>
      <c r="F808" s="142"/>
      <c r="G808" s="142"/>
      <c r="H808" s="142"/>
      <c r="I808" s="143"/>
      <c r="J808" s="142"/>
      <c r="K808" s="128"/>
    </row>
    <row r="809" spans="1:11" ht="15.75" customHeight="1">
      <c r="A809" s="142"/>
      <c r="B809" s="142"/>
      <c r="C809" s="142"/>
      <c r="D809" s="142"/>
      <c r="E809" s="142"/>
      <c r="F809" s="142"/>
      <c r="G809" s="142"/>
      <c r="H809" s="142"/>
      <c r="I809" s="143"/>
      <c r="J809" s="142"/>
      <c r="K809" s="128"/>
    </row>
    <row r="810" spans="1:11" ht="15.75" customHeight="1">
      <c r="A810" s="142"/>
      <c r="B810" s="142"/>
      <c r="C810" s="142"/>
      <c r="D810" s="142"/>
      <c r="E810" s="142"/>
      <c r="F810" s="142"/>
      <c r="G810" s="142"/>
      <c r="H810" s="142"/>
      <c r="I810" s="143"/>
      <c r="J810" s="142"/>
      <c r="K810" s="128"/>
    </row>
    <row r="811" spans="1:11" ht="15.75" customHeight="1">
      <c r="A811" s="142"/>
      <c r="B811" s="142"/>
      <c r="C811" s="142"/>
      <c r="D811" s="142"/>
      <c r="E811" s="142"/>
      <c r="F811" s="142"/>
      <c r="G811" s="142"/>
      <c r="H811" s="142"/>
      <c r="I811" s="143"/>
      <c r="J811" s="142"/>
      <c r="K811" s="128"/>
    </row>
    <row r="812" spans="1:11" ht="15.75" customHeight="1">
      <c r="A812" s="142"/>
      <c r="B812" s="142"/>
      <c r="C812" s="142"/>
      <c r="D812" s="142"/>
      <c r="E812" s="142"/>
      <c r="F812" s="142"/>
      <c r="G812" s="142"/>
      <c r="H812" s="142"/>
      <c r="I812" s="143"/>
      <c r="J812" s="142"/>
      <c r="K812" s="128"/>
    </row>
    <row r="813" spans="1:11" ht="15.75" customHeight="1">
      <c r="A813" s="142"/>
      <c r="B813" s="142"/>
      <c r="C813" s="142"/>
      <c r="D813" s="142"/>
      <c r="E813" s="142"/>
      <c r="F813" s="142"/>
      <c r="G813" s="142"/>
      <c r="H813" s="142"/>
      <c r="I813" s="143"/>
      <c r="J813" s="142"/>
      <c r="K813" s="128"/>
    </row>
    <row r="814" spans="1:11" ht="15.75" customHeight="1">
      <c r="A814" s="142"/>
      <c r="B814" s="142"/>
      <c r="C814" s="142"/>
      <c r="D814" s="142"/>
      <c r="E814" s="142"/>
      <c r="F814" s="142"/>
      <c r="G814" s="142"/>
      <c r="H814" s="142"/>
      <c r="I814" s="143"/>
      <c r="J814" s="142"/>
      <c r="K814" s="128"/>
    </row>
    <row r="815" spans="1:11" ht="15.75" customHeight="1">
      <c r="A815" s="142"/>
      <c r="B815" s="142"/>
      <c r="C815" s="142"/>
      <c r="D815" s="142"/>
      <c r="E815" s="142"/>
      <c r="F815" s="142"/>
      <c r="G815" s="142"/>
      <c r="H815" s="142"/>
      <c r="I815" s="143"/>
      <c r="J815" s="142"/>
      <c r="K815" s="128"/>
    </row>
    <row r="816" spans="1:11" ht="15.75" customHeight="1">
      <c r="A816" s="142"/>
      <c r="B816" s="142"/>
      <c r="C816" s="142"/>
      <c r="D816" s="142"/>
      <c r="E816" s="142"/>
      <c r="F816" s="142"/>
      <c r="G816" s="142"/>
      <c r="H816" s="142"/>
      <c r="I816" s="143"/>
      <c r="J816" s="142"/>
      <c r="K816" s="128"/>
    </row>
    <row r="817" spans="1:11" ht="15.75" customHeight="1">
      <c r="A817" s="142"/>
      <c r="B817" s="142"/>
      <c r="C817" s="142"/>
      <c r="D817" s="142"/>
      <c r="E817" s="142"/>
      <c r="F817" s="142"/>
      <c r="G817" s="142"/>
      <c r="H817" s="142"/>
      <c r="I817" s="143"/>
      <c r="J817" s="142"/>
      <c r="K817" s="128"/>
    </row>
    <row r="818" spans="1:11" ht="15.75" customHeight="1">
      <c r="A818" s="142"/>
      <c r="B818" s="142"/>
      <c r="C818" s="142"/>
      <c r="D818" s="142"/>
      <c r="E818" s="142"/>
      <c r="F818" s="142"/>
      <c r="G818" s="142"/>
      <c r="H818" s="142"/>
      <c r="I818" s="143"/>
      <c r="J818" s="142"/>
      <c r="K818" s="128"/>
    </row>
    <row r="819" spans="1:11" ht="15.75" customHeight="1">
      <c r="A819" s="142"/>
      <c r="B819" s="142"/>
      <c r="C819" s="142"/>
      <c r="D819" s="142"/>
      <c r="E819" s="142"/>
      <c r="F819" s="142"/>
      <c r="G819" s="142"/>
      <c r="H819" s="142"/>
      <c r="I819" s="143"/>
      <c r="J819" s="142"/>
      <c r="K819" s="128"/>
    </row>
    <row r="820" spans="1:11" ht="15.75" customHeight="1">
      <c r="A820" s="142"/>
      <c r="B820" s="142"/>
      <c r="C820" s="142"/>
      <c r="D820" s="142"/>
      <c r="E820" s="142"/>
      <c r="F820" s="142"/>
      <c r="G820" s="142"/>
      <c r="H820" s="142"/>
      <c r="I820" s="143"/>
      <c r="J820" s="142"/>
      <c r="K820" s="128"/>
    </row>
    <row r="821" spans="1:11" ht="15.75" customHeight="1">
      <c r="A821" s="142"/>
      <c r="B821" s="142"/>
      <c r="C821" s="142"/>
      <c r="D821" s="142"/>
      <c r="E821" s="142"/>
      <c r="F821" s="142"/>
      <c r="G821" s="142"/>
      <c r="H821" s="142"/>
      <c r="I821" s="143"/>
      <c r="J821" s="142"/>
      <c r="K821" s="128"/>
    </row>
    <row r="822" spans="1:11" ht="15.75" customHeight="1">
      <c r="A822" s="142"/>
      <c r="B822" s="142"/>
      <c r="C822" s="142"/>
      <c r="D822" s="142"/>
      <c r="E822" s="142"/>
      <c r="F822" s="142"/>
      <c r="G822" s="142"/>
      <c r="H822" s="142"/>
      <c r="I822" s="143"/>
      <c r="J822" s="142"/>
      <c r="K822" s="128"/>
    </row>
    <row r="823" spans="1:11" ht="15.75" customHeight="1">
      <c r="A823" s="142"/>
      <c r="B823" s="142"/>
      <c r="C823" s="142"/>
      <c r="D823" s="142"/>
      <c r="E823" s="142"/>
      <c r="F823" s="142"/>
      <c r="G823" s="142"/>
      <c r="H823" s="142"/>
      <c r="I823" s="143"/>
      <c r="J823" s="142"/>
      <c r="K823" s="128"/>
    </row>
    <row r="824" spans="1:11" ht="15.75" customHeight="1">
      <c r="A824" s="142"/>
      <c r="B824" s="142"/>
      <c r="C824" s="142"/>
      <c r="D824" s="142"/>
      <c r="E824" s="142"/>
      <c r="F824" s="142"/>
      <c r="G824" s="142"/>
      <c r="H824" s="142"/>
      <c r="I824" s="143"/>
      <c r="J824" s="142"/>
      <c r="K824" s="128"/>
    </row>
    <row r="825" spans="1:11" ht="15.75" customHeight="1">
      <c r="A825" s="142"/>
      <c r="B825" s="142"/>
      <c r="C825" s="142"/>
      <c r="D825" s="142"/>
      <c r="E825" s="142"/>
      <c r="F825" s="142"/>
      <c r="G825" s="142"/>
      <c r="H825" s="142"/>
      <c r="I825" s="143"/>
      <c r="J825" s="142"/>
      <c r="K825" s="128"/>
    </row>
    <row r="826" spans="1:11" ht="15.75" customHeight="1">
      <c r="A826" s="142"/>
      <c r="B826" s="142"/>
      <c r="C826" s="142"/>
      <c r="D826" s="142"/>
      <c r="E826" s="142"/>
      <c r="F826" s="142"/>
      <c r="G826" s="142"/>
      <c r="H826" s="142"/>
      <c r="I826" s="143"/>
      <c r="J826" s="142"/>
      <c r="K826" s="128"/>
    </row>
    <row r="827" spans="1:11" ht="15.75" customHeight="1">
      <c r="A827" s="142"/>
      <c r="B827" s="142"/>
      <c r="C827" s="142"/>
      <c r="D827" s="142"/>
      <c r="E827" s="142"/>
      <c r="F827" s="142"/>
      <c r="G827" s="142"/>
      <c r="H827" s="142"/>
      <c r="I827" s="143"/>
      <c r="J827" s="142"/>
      <c r="K827" s="128"/>
    </row>
    <row r="828" spans="1:11" ht="15.75" customHeight="1">
      <c r="A828" s="142"/>
      <c r="B828" s="142"/>
      <c r="C828" s="142"/>
      <c r="D828" s="142"/>
      <c r="E828" s="142"/>
      <c r="F828" s="142"/>
      <c r="G828" s="142"/>
      <c r="H828" s="142"/>
      <c r="I828" s="143"/>
      <c r="J828" s="142"/>
      <c r="K828" s="128"/>
    </row>
    <row r="829" spans="1:11" ht="15.75" customHeight="1">
      <c r="A829" s="144"/>
      <c r="B829" s="144"/>
      <c r="C829" s="144"/>
      <c r="D829" s="144"/>
      <c r="E829" s="144"/>
      <c r="F829" s="144"/>
      <c r="G829" s="144"/>
      <c r="H829" s="144"/>
      <c r="I829" s="145"/>
      <c r="J829" s="144"/>
      <c r="K829" s="128"/>
    </row>
    <row r="830" spans="1:11" ht="15.75" customHeight="1">
      <c r="A830" s="144"/>
      <c r="B830" s="144"/>
      <c r="C830" s="144"/>
      <c r="D830" s="144"/>
      <c r="E830" s="144"/>
      <c r="F830" s="144"/>
      <c r="G830" s="144"/>
      <c r="H830" s="144"/>
      <c r="I830" s="145"/>
      <c r="J830" s="144"/>
      <c r="K830" s="128"/>
    </row>
    <row r="831" spans="1:11" ht="15.75" customHeight="1">
      <c r="A831" s="144"/>
      <c r="B831" s="144"/>
      <c r="C831" s="144"/>
      <c r="D831" s="144"/>
      <c r="E831" s="144"/>
      <c r="F831" s="144"/>
      <c r="G831" s="144"/>
      <c r="H831" s="144"/>
      <c r="I831" s="145"/>
      <c r="J831" s="144"/>
      <c r="K831" s="128"/>
    </row>
    <row r="832" spans="1:11" ht="15.75" customHeight="1">
      <c r="A832" s="144"/>
      <c r="B832" s="144"/>
      <c r="C832" s="144"/>
      <c r="D832" s="144"/>
      <c r="E832" s="144"/>
      <c r="F832" s="144"/>
      <c r="G832" s="144"/>
      <c r="H832" s="144"/>
      <c r="I832" s="145"/>
      <c r="J832" s="144"/>
      <c r="K832" s="128"/>
    </row>
    <row r="833" spans="1:11" ht="15.75" customHeight="1">
      <c r="A833" s="144"/>
      <c r="B833" s="144"/>
      <c r="C833" s="144"/>
      <c r="D833" s="144"/>
      <c r="E833" s="144"/>
      <c r="F833" s="144"/>
      <c r="G833" s="144"/>
      <c r="H833" s="144"/>
      <c r="I833" s="145"/>
      <c r="J833" s="144"/>
      <c r="K833" s="128"/>
    </row>
    <row r="834" spans="1:11" ht="15.75" customHeight="1">
      <c r="A834" s="144"/>
      <c r="B834" s="144"/>
      <c r="C834" s="144"/>
      <c r="D834" s="144"/>
      <c r="E834" s="144"/>
      <c r="F834" s="144"/>
      <c r="G834" s="144"/>
      <c r="H834" s="144"/>
      <c r="I834" s="145"/>
      <c r="J834" s="144"/>
      <c r="K834" s="128"/>
    </row>
    <row r="835" spans="1:11" ht="15.75" customHeight="1">
      <c r="A835" s="144"/>
      <c r="B835" s="144"/>
      <c r="C835" s="144"/>
      <c r="D835" s="144"/>
      <c r="E835" s="144"/>
      <c r="F835" s="144"/>
      <c r="G835" s="144"/>
      <c r="H835" s="144"/>
      <c r="I835" s="145"/>
      <c r="J835" s="144"/>
      <c r="K835" s="128"/>
    </row>
    <row r="836" spans="1:11" ht="15.75" customHeight="1">
      <c r="A836" s="144"/>
      <c r="B836" s="144"/>
      <c r="C836" s="144"/>
      <c r="D836" s="144"/>
      <c r="E836" s="144"/>
      <c r="F836" s="144"/>
      <c r="G836" s="144"/>
      <c r="H836" s="144"/>
      <c r="I836" s="145"/>
      <c r="J836" s="144"/>
      <c r="K836" s="128"/>
    </row>
    <row r="837" spans="1:11" ht="15.75" customHeight="1">
      <c r="A837" s="144"/>
      <c r="B837" s="144"/>
      <c r="C837" s="144"/>
      <c r="D837" s="144"/>
      <c r="E837" s="144"/>
      <c r="F837" s="144"/>
      <c r="G837" s="144"/>
      <c r="H837" s="144"/>
      <c r="I837" s="145"/>
      <c r="J837" s="144"/>
      <c r="K837" s="128"/>
    </row>
    <row r="838" spans="1:11" ht="15.75" customHeight="1">
      <c r="A838" s="144"/>
      <c r="B838" s="144"/>
      <c r="C838" s="144"/>
      <c r="D838" s="144"/>
      <c r="E838" s="144"/>
      <c r="F838" s="144"/>
      <c r="G838" s="144"/>
      <c r="H838" s="144"/>
      <c r="I838" s="145"/>
      <c r="J838" s="144"/>
      <c r="K838" s="128"/>
    </row>
    <row r="839" spans="1:11" ht="15.75" customHeight="1">
      <c r="A839" s="144"/>
      <c r="B839" s="144"/>
      <c r="C839" s="144"/>
      <c r="D839" s="144"/>
      <c r="E839" s="144"/>
      <c r="F839" s="144"/>
      <c r="G839" s="144"/>
      <c r="H839" s="144"/>
      <c r="I839" s="145"/>
      <c r="J839" s="144"/>
      <c r="K839" s="128"/>
    </row>
    <row r="840" spans="1:11" ht="15.75" customHeight="1">
      <c r="A840" s="144"/>
      <c r="B840" s="144"/>
      <c r="C840" s="144"/>
      <c r="D840" s="144"/>
      <c r="E840" s="144"/>
      <c r="F840" s="144"/>
      <c r="G840" s="144"/>
      <c r="H840" s="144"/>
      <c r="I840" s="145"/>
      <c r="J840" s="144"/>
      <c r="K840" s="128"/>
    </row>
    <row r="841" spans="1:11" ht="14.4">
      <c r="A841" s="144"/>
      <c r="B841" s="144"/>
      <c r="C841" s="144"/>
      <c r="D841" s="144"/>
      <c r="E841" s="144"/>
      <c r="F841" s="144"/>
      <c r="G841" s="144"/>
      <c r="H841" s="144"/>
      <c r="I841" s="145"/>
      <c r="J841" s="144"/>
      <c r="K841" s="128"/>
    </row>
    <row r="842" spans="1:11" ht="14.4">
      <c r="A842" s="144"/>
      <c r="B842" s="144"/>
      <c r="C842" s="144"/>
      <c r="D842" s="144"/>
      <c r="E842" s="144"/>
      <c r="F842" s="144"/>
      <c r="G842" s="144"/>
      <c r="H842" s="144"/>
      <c r="I842" s="145"/>
      <c r="J842" s="144"/>
      <c r="K842" s="128"/>
    </row>
    <row r="843" spans="1:11" ht="14.4">
      <c r="A843" s="144"/>
      <c r="B843" s="144"/>
      <c r="C843" s="144"/>
      <c r="D843" s="144"/>
      <c r="E843" s="144"/>
      <c r="F843" s="144"/>
      <c r="G843" s="144"/>
      <c r="H843" s="144"/>
      <c r="I843" s="145"/>
      <c r="J843" s="144"/>
      <c r="K843" s="128"/>
    </row>
    <row r="844" spans="1:11" ht="14.4">
      <c r="A844" s="144"/>
      <c r="B844" s="144"/>
      <c r="C844" s="144"/>
      <c r="D844" s="144"/>
      <c r="E844" s="144"/>
      <c r="F844" s="144"/>
      <c r="G844" s="144"/>
      <c r="H844" s="144"/>
      <c r="I844" s="145"/>
      <c r="J844" s="144"/>
      <c r="K844" s="128"/>
    </row>
    <row r="845" spans="1:11" ht="14.4">
      <c r="A845" s="144"/>
      <c r="B845" s="144"/>
      <c r="C845" s="144"/>
      <c r="D845" s="144"/>
      <c r="E845" s="144"/>
      <c r="F845" s="144"/>
      <c r="G845" s="144"/>
      <c r="H845" s="144"/>
      <c r="I845" s="145"/>
      <c r="J845" s="144"/>
      <c r="K845" s="128"/>
    </row>
    <row r="846" spans="1:11" ht="14.4">
      <c r="A846" s="144"/>
      <c r="B846" s="144"/>
      <c r="C846" s="144"/>
      <c r="D846" s="144"/>
      <c r="E846" s="144"/>
      <c r="F846" s="144"/>
      <c r="G846" s="144"/>
      <c r="H846" s="144"/>
      <c r="I846" s="145"/>
      <c r="J846" s="144"/>
      <c r="K846" s="128"/>
    </row>
    <row r="847" spans="1:11" ht="14.4">
      <c r="A847" s="144"/>
      <c r="B847" s="144"/>
      <c r="C847" s="144"/>
      <c r="D847" s="144"/>
      <c r="E847" s="144"/>
      <c r="F847" s="144"/>
      <c r="G847" s="144"/>
      <c r="H847" s="144"/>
      <c r="I847" s="145"/>
      <c r="J847" s="144"/>
      <c r="K847" s="128"/>
    </row>
    <row r="848" spans="1:11" ht="14.4">
      <c r="A848" s="144"/>
      <c r="B848" s="144"/>
      <c r="C848" s="144"/>
      <c r="D848" s="144"/>
      <c r="E848" s="144"/>
      <c r="F848" s="144"/>
      <c r="G848" s="144"/>
      <c r="H848" s="144"/>
      <c r="I848" s="145"/>
      <c r="J848" s="144"/>
      <c r="K848" s="128"/>
    </row>
    <row r="849" spans="1:11" ht="14.4">
      <c r="A849" s="144"/>
      <c r="B849" s="144"/>
      <c r="C849" s="144"/>
      <c r="D849" s="144"/>
      <c r="E849" s="144"/>
      <c r="F849" s="144"/>
      <c r="G849" s="144"/>
      <c r="H849" s="144"/>
      <c r="I849" s="145"/>
      <c r="J849" s="144"/>
      <c r="K849" s="128"/>
    </row>
    <row r="850" spans="1:11" ht="14.4">
      <c r="A850" s="144"/>
      <c r="B850" s="144"/>
      <c r="C850" s="144"/>
      <c r="D850" s="144"/>
      <c r="E850" s="144"/>
      <c r="F850" s="144"/>
      <c r="G850" s="144"/>
      <c r="H850" s="144"/>
      <c r="I850" s="145"/>
      <c r="J850" s="144"/>
      <c r="K850" s="128"/>
    </row>
    <row r="851" spans="1:11" ht="14.4">
      <c r="A851" s="144"/>
      <c r="B851" s="144"/>
      <c r="C851" s="144"/>
      <c r="D851" s="144"/>
      <c r="E851" s="144"/>
      <c r="F851" s="144"/>
      <c r="G851" s="144"/>
      <c r="H851" s="144"/>
      <c r="I851" s="145"/>
      <c r="J851" s="144"/>
      <c r="K851" s="128"/>
    </row>
    <row r="852" spans="1:11" ht="14.4">
      <c r="A852" s="144"/>
      <c r="B852" s="144"/>
      <c r="C852" s="144"/>
      <c r="D852" s="144"/>
      <c r="E852" s="144"/>
      <c r="F852" s="144"/>
      <c r="G852" s="144"/>
      <c r="H852" s="144"/>
      <c r="I852" s="145"/>
      <c r="J852" s="144"/>
      <c r="K852" s="128"/>
    </row>
    <row r="853" spans="1:11" ht="14.4">
      <c r="A853" s="144"/>
      <c r="B853" s="144"/>
      <c r="C853" s="144"/>
      <c r="D853" s="144"/>
      <c r="E853" s="144"/>
      <c r="F853" s="144"/>
      <c r="G853" s="144"/>
      <c r="H853" s="144"/>
      <c r="I853" s="145"/>
      <c r="J853" s="144"/>
      <c r="K853" s="128"/>
    </row>
    <row r="854" spans="1:11" ht="14.4">
      <c r="A854" s="144"/>
      <c r="B854" s="144"/>
      <c r="C854" s="144"/>
      <c r="D854" s="144"/>
      <c r="E854" s="144"/>
      <c r="F854" s="144"/>
      <c r="G854" s="144"/>
      <c r="H854" s="144"/>
      <c r="I854" s="145"/>
      <c r="J854" s="144"/>
      <c r="K854" s="128"/>
    </row>
    <row r="855" spans="1:11" ht="14.4">
      <c r="A855" s="144"/>
      <c r="B855" s="144"/>
      <c r="C855" s="144"/>
      <c r="D855" s="144"/>
      <c r="E855" s="144"/>
      <c r="F855" s="144"/>
      <c r="G855" s="144"/>
      <c r="H855" s="144"/>
      <c r="I855" s="145"/>
      <c r="J855" s="144"/>
      <c r="K855" s="128"/>
    </row>
    <row r="856" spans="1:11" ht="14.4">
      <c r="A856" s="144"/>
      <c r="B856" s="144"/>
      <c r="C856" s="144"/>
      <c r="D856" s="144"/>
      <c r="E856" s="144"/>
      <c r="F856" s="144"/>
      <c r="G856" s="144"/>
      <c r="H856" s="144"/>
      <c r="I856" s="145"/>
      <c r="J856" s="144"/>
      <c r="K856" s="128"/>
    </row>
    <row r="857" spans="1:11" ht="14.4">
      <c r="A857" s="144"/>
      <c r="B857" s="144"/>
      <c r="C857" s="144"/>
      <c r="D857" s="144"/>
      <c r="E857" s="144"/>
      <c r="F857" s="144"/>
      <c r="G857" s="144"/>
      <c r="H857" s="144"/>
      <c r="I857" s="145"/>
      <c r="J857" s="144"/>
      <c r="K857" s="128"/>
    </row>
    <row r="858" spans="1:11" ht="14.4">
      <c r="A858" s="144"/>
      <c r="B858" s="144"/>
      <c r="C858" s="144"/>
      <c r="D858" s="144"/>
      <c r="E858" s="144"/>
      <c r="F858" s="144"/>
      <c r="G858" s="144"/>
      <c r="H858" s="144"/>
      <c r="I858" s="145"/>
      <c r="J858" s="144"/>
      <c r="K858" s="128"/>
    </row>
    <row r="859" spans="1:11" ht="14.4">
      <c r="A859" s="144"/>
      <c r="B859" s="144"/>
      <c r="C859" s="144"/>
      <c r="D859" s="144"/>
      <c r="E859" s="144"/>
      <c r="F859" s="144"/>
      <c r="G859" s="144"/>
      <c r="H859" s="144"/>
      <c r="I859" s="145"/>
      <c r="J859" s="144"/>
      <c r="K859" s="128"/>
    </row>
    <row r="860" spans="1:11" ht="14.4">
      <c r="A860" s="144"/>
      <c r="B860" s="144"/>
      <c r="C860" s="144"/>
      <c r="D860" s="144"/>
      <c r="E860" s="144"/>
      <c r="F860" s="144"/>
      <c r="G860" s="144"/>
      <c r="H860" s="144"/>
      <c r="I860" s="145"/>
      <c r="J860" s="144"/>
      <c r="K860" s="128"/>
    </row>
    <row r="861" spans="1:11" ht="14.4">
      <c r="A861" s="144"/>
      <c r="B861" s="144"/>
      <c r="C861" s="144"/>
      <c r="D861" s="144"/>
      <c r="E861" s="144"/>
      <c r="F861" s="144"/>
      <c r="G861" s="144"/>
      <c r="H861" s="144"/>
      <c r="I861" s="145"/>
      <c r="J861" s="144"/>
      <c r="K861" s="128"/>
    </row>
    <row r="862" spans="1:11" ht="14.4">
      <c r="A862" s="144"/>
      <c r="B862" s="144"/>
      <c r="C862" s="144"/>
      <c r="D862" s="144"/>
      <c r="E862" s="144"/>
      <c r="F862" s="144"/>
      <c r="G862" s="144"/>
      <c r="H862" s="144"/>
      <c r="I862" s="145"/>
      <c r="J862" s="144"/>
      <c r="K862" s="128"/>
    </row>
    <row r="863" spans="1:11" ht="14.4">
      <c r="A863" s="144"/>
      <c r="B863" s="144"/>
      <c r="C863" s="144"/>
      <c r="D863" s="144"/>
      <c r="E863" s="144"/>
      <c r="F863" s="144"/>
      <c r="G863" s="144"/>
      <c r="H863" s="144"/>
      <c r="I863" s="145"/>
      <c r="J863" s="144"/>
      <c r="K863" s="128"/>
    </row>
    <row r="864" spans="1:11" ht="14.4">
      <c r="A864" s="144"/>
      <c r="B864" s="144"/>
      <c r="C864" s="144"/>
      <c r="D864" s="144"/>
      <c r="E864" s="144"/>
      <c r="F864" s="144"/>
      <c r="G864" s="144"/>
      <c r="H864" s="144"/>
      <c r="I864" s="145"/>
      <c r="J864" s="144"/>
      <c r="K864" s="128"/>
    </row>
    <row r="865" spans="1:11" ht="14.4">
      <c r="A865" s="144"/>
      <c r="B865" s="144"/>
      <c r="C865" s="144"/>
      <c r="D865" s="144"/>
      <c r="E865" s="144"/>
      <c r="F865" s="144"/>
      <c r="G865" s="144"/>
      <c r="H865" s="144"/>
      <c r="I865" s="145"/>
      <c r="J865" s="144"/>
      <c r="K865" s="128"/>
    </row>
    <row r="866" spans="1:11" ht="14.4">
      <c r="A866" s="144"/>
      <c r="B866" s="144"/>
      <c r="C866" s="144"/>
      <c r="D866" s="144"/>
      <c r="E866" s="144"/>
      <c r="F866" s="144"/>
      <c r="G866" s="144"/>
      <c r="H866" s="144"/>
      <c r="I866" s="145"/>
      <c r="J866" s="144"/>
      <c r="K866" s="128"/>
    </row>
    <row r="867" spans="1:11" ht="14.4">
      <c r="A867" s="144"/>
      <c r="B867" s="144"/>
      <c r="C867" s="144"/>
      <c r="D867" s="144"/>
      <c r="E867" s="144"/>
      <c r="F867" s="144"/>
      <c r="G867" s="144"/>
      <c r="H867" s="144"/>
      <c r="I867" s="145"/>
      <c r="J867" s="144"/>
      <c r="K867" s="128"/>
    </row>
    <row r="868" spans="1:11" ht="14.4">
      <c r="A868" s="144"/>
      <c r="B868" s="144"/>
      <c r="C868" s="144"/>
      <c r="D868" s="144"/>
      <c r="E868" s="144"/>
      <c r="F868" s="144"/>
      <c r="G868" s="144"/>
      <c r="H868" s="144"/>
      <c r="I868" s="145"/>
      <c r="J868" s="144"/>
      <c r="K868" s="128"/>
    </row>
    <row r="869" spans="1:11" ht="14.4">
      <c r="A869" s="144"/>
      <c r="B869" s="144"/>
      <c r="C869" s="144"/>
      <c r="D869" s="144"/>
      <c r="E869" s="144"/>
      <c r="F869" s="144"/>
      <c r="G869" s="144"/>
      <c r="H869" s="144"/>
      <c r="I869" s="145"/>
      <c r="J869" s="144"/>
      <c r="K869" s="128"/>
    </row>
    <row r="870" spans="1:11" ht="14.4">
      <c r="A870" s="144"/>
      <c r="B870" s="144"/>
      <c r="C870" s="144"/>
      <c r="D870" s="144"/>
      <c r="E870" s="144"/>
      <c r="F870" s="144"/>
      <c r="G870" s="144"/>
      <c r="H870" s="144"/>
      <c r="I870" s="145"/>
      <c r="J870" s="144"/>
      <c r="K870" s="128"/>
    </row>
    <row r="871" spans="1:11" ht="14.4">
      <c r="A871" s="144"/>
      <c r="B871" s="144"/>
      <c r="C871" s="144"/>
      <c r="D871" s="144"/>
      <c r="E871" s="144"/>
      <c r="F871" s="144"/>
      <c r="G871" s="144"/>
      <c r="H871" s="144"/>
      <c r="I871" s="145"/>
      <c r="J871" s="144"/>
      <c r="K871" s="128"/>
    </row>
    <row r="872" spans="1:11" ht="14.4">
      <c r="A872" s="144"/>
      <c r="B872" s="144"/>
      <c r="C872" s="144"/>
      <c r="D872" s="144"/>
      <c r="E872" s="144"/>
      <c r="F872" s="144"/>
      <c r="G872" s="144"/>
      <c r="H872" s="144"/>
      <c r="I872" s="145"/>
      <c r="J872" s="144"/>
      <c r="K872" s="128"/>
    </row>
    <row r="873" spans="1:11" ht="14.4">
      <c r="A873" s="144"/>
      <c r="B873" s="144"/>
      <c r="C873" s="144"/>
      <c r="D873" s="144"/>
      <c r="E873" s="144"/>
      <c r="F873" s="144"/>
      <c r="G873" s="144"/>
      <c r="H873" s="144"/>
      <c r="I873" s="145"/>
      <c r="J873" s="144"/>
      <c r="K873" s="128"/>
    </row>
    <row r="874" spans="1:11" ht="14.4">
      <c r="A874" s="144"/>
      <c r="B874" s="144"/>
      <c r="C874" s="144"/>
      <c r="D874" s="144"/>
      <c r="E874" s="144"/>
      <c r="F874" s="144"/>
      <c r="G874" s="144"/>
      <c r="H874" s="144"/>
      <c r="I874" s="145"/>
      <c r="J874" s="144"/>
      <c r="K874" s="128"/>
    </row>
    <row r="875" spans="1:11" ht="14.4">
      <c r="A875" s="144"/>
      <c r="B875" s="144"/>
      <c r="C875" s="144"/>
      <c r="D875" s="144"/>
      <c r="E875" s="144"/>
      <c r="F875" s="144"/>
      <c r="G875" s="144"/>
      <c r="H875" s="144"/>
      <c r="I875" s="145"/>
      <c r="J875" s="144"/>
      <c r="K875" s="128"/>
    </row>
    <row r="876" spans="1:11" ht="14.4">
      <c r="A876" s="144"/>
      <c r="B876" s="144"/>
      <c r="C876" s="144"/>
      <c r="D876" s="144"/>
      <c r="E876" s="144"/>
      <c r="F876" s="144"/>
      <c r="G876" s="144"/>
      <c r="H876" s="144"/>
      <c r="I876" s="145"/>
      <c r="J876" s="144"/>
      <c r="K876" s="128"/>
    </row>
    <row r="877" spans="1:11" ht="14.4">
      <c r="A877" s="144"/>
      <c r="B877" s="144"/>
      <c r="C877" s="144"/>
      <c r="D877" s="144"/>
      <c r="E877" s="144"/>
      <c r="F877" s="144"/>
      <c r="G877" s="144"/>
      <c r="H877" s="144"/>
      <c r="I877" s="145"/>
      <c r="J877" s="144"/>
      <c r="K877" s="128"/>
    </row>
    <row r="878" spans="1:11" ht="14.4">
      <c r="A878" s="144"/>
      <c r="B878" s="144"/>
      <c r="C878" s="144"/>
      <c r="D878" s="144"/>
      <c r="E878" s="144"/>
      <c r="F878" s="144"/>
      <c r="G878" s="144"/>
      <c r="H878" s="144"/>
      <c r="I878" s="145"/>
      <c r="J878" s="144"/>
      <c r="K878" s="128"/>
    </row>
    <row r="879" spans="1:11" ht="14.4">
      <c r="A879" s="144"/>
      <c r="B879" s="144"/>
      <c r="C879" s="144"/>
      <c r="D879" s="144"/>
      <c r="E879" s="144"/>
      <c r="F879" s="144"/>
      <c r="G879" s="144"/>
      <c r="H879" s="144"/>
      <c r="I879" s="145"/>
      <c r="J879" s="144"/>
      <c r="K879" s="128"/>
    </row>
    <row r="880" spans="1:11" ht="14.4">
      <c r="A880" s="144"/>
      <c r="B880" s="144"/>
      <c r="C880" s="144"/>
      <c r="D880" s="144"/>
      <c r="E880" s="144"/>
      <c r="F880" s="144"/>
      <c r="G880" s="144"/>
      <c r="H880" s="144"/>
      <c r="I880" s="145"/>
      <c r="J880" s="144"/>
      <c r="K880" s="128"/>
    </row>
    <row r="881" spans="1:11" ht="14.4">
      <c r="A881" s="144"/>
      <c r="B881" s="144"/>
      <c r="C881" s="144"/>
      <c r="D881" s="144"/>
      <c r="E881" s="144"/>
      <c r="F881" s="144"/>
      <c r="G881" s="144"/>
      <c r="H881" s="144"/>
      <c r="I881" s="145"/>
      <c r="J881" s="144"/>
      <c r="K881" s="128"/>
    </row>
    <row r="882" spans="1:11" ht="14.4">
      <c r="A882" s="144"/>
      <c r="B882" s="144"/>
      <c r="C882" s="144"/>
      <c r="D882" s="144"/>
      <c r="E882" s="144"/>
      <c r="F882" s="144"/>
      <c r="G882" s="144"/>
      <c r="H882" s="144"/>
      <c r="I882" s="145"/>
      <c r="J882" s="144"/>
      <c r="K882" s="128"/>
    </row>
    <row r="883" spans="1:11" ht="14.4">
      <c r="A883" s="144"/>
      <c r="B883" s="144"/>
      <c r="C883" s="144"/>
      <c r="D883" s="144"/>
      <c r="E883" s="144"/>
      <c r="F883" s="144"/>
      <c r="G883" s="144"/>
      <c r="H883" s="144"/>
      <c r="I883" s="145"/>
      <c r="J883" s="144"/>
      <c r="K883" s="128"/>
    </row>
    <row r="884" spans="1:11" ht="14.4">
      <c r="A884" s="144"/>
      <c r="B884" s="144"/>
      <c r="C884" s="144"/>
      <c r="D884" s="144"/>
      <c r="E884" s="144"/>
      <c r="F884" s="144"/>
      <c r="G884" s="144"/>
      <c r="H884" s="144"/>
      <c r="I884" s="145"/>
      <c r="J884" s="144"/>
      <c r="K884" s="128"/>
    </row>
    <row r="885" spans="1:11" ht="14.4">
      <c r="A885" s="144"/>
      <c r="B885" s="144"/>
      <c r="C885" s="144"/>
      <c r="D885" s="144"/>
      <c r="E885" s="144"/>
      <c r="F885" s="144"/>
      <c r="G885" s="144"/>
      <c r="H885" s="144"/>
      <c r="I885" s="145"/>
      <c r="J885" s="144"/>
      <c r="K885" s="128"/>
    </row>
    <row r="886" spans="1:11" ht="14.4">
      <c r="A886" s="144"/>
      <c r="B886" s="144"/>
      <c r="C886" s="144"/>
      <c r="D886" s="144"/>
      <c r="E886" s="144"/>
      <c r="F886" s="144"/>
      <c r="G886" s="144"/>
      <c r="H886" s="144"/>
      <c r="I886" s="145"/>
      <c r="J886" s="144"/>
      <c r="K886" s="128"/>
    </row>
    <row r="887" spans="1:11" ht="14.4">
      <c r="A887" s="144"/>
      <c r="B887" s="144"/>
      <c r="C887" s="144"/>
      <c r="D887" s="144"/>
      <c r="E887" s="144"/>
      <c r="F887" s="144"/>
      <c r="G887" s="144"/>
      <c r="H887" s="144"/>
      <c r="I887" s="145"/>
      <c r="J887" s="144"/>
      <c r="K887" s="128"/>
    </row>
    <row r="888" spans="1:11" ht="14.4">
      <c r="A888" s="144"/>
      <c r="B888" s="144"/>
      <c r="C888" s="144"/>
      <c r="D888" s="144"/>
      <c r="E888" s="144"/>
      <c r="F888" s="144"/>
      <c r="G888" s="144"/>
      <c r="H888" s="144"/>
      <c r="I888" s="145"/>
      <c r="J888" s="144"/>
      <c r="K888" s="128"/>
    </row>
    <row r="889" spans="1:11" ht="14.4">
      <c r="A889" s="144"/>
      <c r="B889" s="144"/>
      <c r="C889" s="144"/>
      <c r="D889" s="144"/>
      <c r="E889" s="144"/>
      <c r="F889" s="144"/>
      <c r="G889" s="144"/>
      <c r="H889" s="144"/>
      <c r="I889" s="145"/>
      <c r="J889" s="144"/>
      <c r="K889" s="128"/>
    </row>
    <row r="890" spans="1:11" ht="14.4">
      <c r="A890" s="144"/>
      <c r="B890" s="144"/>
      <c r="C890" s="144"/>
      <c r="D890" s="144"/>
      <c r="E890" s="144"/>
      <c r="F890" s="144"/>
      <c r="G890" s="144"/>
      <c r="H890" s="144"/>
      <c r="I890" s="145"/>
      <c r="J890" s="144"/>
      <c r="K890" s="128"/>
    </row>
    <row r="891" spans="1:11" ht="14.4">
      <c r="A891" s="144"/>
      <c r="B891" s="144"/>
      <c r="C891" s="144"/>
      <c r="D891" s="144"/>
      <c r="E891" s="144"/>
      <c r="F891" s="144"/>
      <c r="G891" s="144"/>
      <c r="H891" s="144"/>
      <c r="I891" s="145"/>
      <c r="J891" s="144"/>
      <c r="K891" s="128"/>
    </row>
    <row r="892" spans="1:11" ht="14.4">
      <c r="A892" s="144"/>
      <c r="B892" s="144"/>
      <c r="C892" s="144"/>
      <c r="D892" s="144"/>
      <c r="E892" s="144"/>
      <c r="F892" s="144"/>
      <c r="G892" s="144"/>
      <c r="H892" s="144"/>
      <c r="I892" s="145"/>
      <c r="J892" s="144"/>
      <c r="K892" s="128"/>
    </row>
    <row r="893" spans="1:11" ht="14.4">
      <c r="A893" s="144"/>
      <c r="B893" s="144"/>
      <c r="C893" s="144"/>
      <c r="D893" s="144"/>
      <c r="E893" s="144"/>
      <c r="F893" s="144"/>
      <c r="G893" s="144"/>
      <c r="H893" s="144"/>
      <c r="I893" s="145"/>
      <c r="J893" s="144"/>
      <c r="K893" s="128"/>
    </row>
    <row r="894" spans="1:11" ht="14.4">
      <c r="A894" s="144"/>
      <c r="B894" s="144"/>
      <c r="C894" s="144"/>
      <c r="D894" s="144"/>
      <c r="E894" s="144"/>
      <c r="F894" s="144"/>
      <c r="G894" s="144"/>
      <c r="H894" s="144"/>
      <c r="I894" s="145"/>
      <c r="J894" s="144"/>
      <c r="K894" s="128"/>
    </row>
    <row r="895" spans="1:11" ht="14.4">
      <c r="A895" s="144"/>
      <c r="B895" s="144"/>
      <c r="C895" s="144"/>
      <c r="D895" s="144"/>
      <c r="E895" s="144"/>
      <c r="F895" s="144"/>
      <c r="G895" s="144"/>
      <c r="H895" s="144"/>
      <c r="I895" s="145"/>
      <c r="J895" s="144"/>
      <c r="K895" s="128"/>
    </row>
    <row r="896" spans="1:11" ht="14.4">
      <c r="A896" s="144"/>
      <c r="B896" s="144"/>
      <c r="C896" s="144"/>
      <c r="D896" s="144"/>
      <c r="E896" s="144"/>
      <c r="F896" s="144"/>
      <c r="G896" s="144"/>
      <c r="H896" s="144"/>
      <c r="I896" s="145"/>
      <c r="J896" s="144"/>
      <c r="K896" s="128"/>
    </row>
    <row r="897" spans="1:11" ht="14.4">
      <c r="A897" s="144"/>
      <c r="B897" s="144"/>
      <c r="C897" s="144"/>
      <c r="D897" s="144"/>
      <c r="E897" s="144"/>
      <c r="F897" s="144"/>
      <c r="G897" s="144"/>
      <c r="H897" s="144"/>
      <c r="I897" s="145"/>
      <c r="J897" s="144"/>
      <c r="K897" s="128"/>
    </row>
    <row r="898" spans="1:11" ht="14.4">
      <c r="A898" s="144"/>
      <c r="B898" s="144"/>
      <c r="C898" s="144"/>
      <c r="D898" s="144"/>
      <c r="E898" s="144"/>
      <c r="F898" s="144"/>
      <c r="G898" s="144"/>
      <c r="H898" s="144"/>
      <c r="I898" s="145"/>
      <c r="J898" s="144"/>
      <c r="K898" s="128"/>
    </row>
    <row r="899" spans="1:11" ht="14.4">
      <c r="A899" s="144"/>
      <c r="B899" s="144"/>
      <c r="C899" s="144"/>
      <c r="D899" s="144"/>
      <c r="E899" s="144"/>
      <c r="F899" s="144"/>
      <c r="G899" s="144"/>
      <c r="H899" s="144"/>
      <c r="I899" s="145"/>
      <c r="J899" s="144"/>
      <c r="K899" s="128"/>
    </row>
    <row r="900" spans="1:11" ht="14.4">
      <c r="A900" s="144"/>
      <c r="B900" s="144"/>
      <c r="C900" s="144"/>
      <c r="D900" s="144"/>
      <c r="E900" s="144"/>
      <c r="F900" s="144"/>
      <c r="G900" s="144"/>
      <c r="H900" s="144"/>
      <c r="I900" s="145"/>
      <c r="J900" s="144"/>
      <c r="K900" s="128"/>
    </row>
    <row r="901" spans="1:11" ht="14.4">
      <c r="A901" s="144"/>
      <c r="B901" s="144"/>
      <c r="C901" s="144"/>
      <c r="D901" s="144"/>
      <c r="E901" s="144"/>
      <c r="F901" s="144"/>
      <c r="G901" s="144"/>
      <c r="H901" s="144"/>
      <c r="I901" s="145"/>
      <c r="J901" s="144"/>
      <c r="K901" s="128"/>
    </row>
    <row r="902" spans="1:11" ht="14.4">
      <c r="A902" s="144"/>
      <c r="B902" s="144"/>
      <c r="C902" s="144"/>
      <c r="D902" s="144"/>
      <c r="E902" s="144"/>
      <c r="F902" s="144"/>
      <c r="G902" s="144"/>
      <c r="H902" s="144"/>
      <c r="I902" s="145"/>
      <c r="J902" s="144"/>
      <c r="K902" s="128"/>
    </row>
    <row r="903" spans="1:11" ht="14.4">
      <c r="A903" s="144"/>
      <c r="B903" s="144"/>
      <c r="C903" s="144"/>
      <c r="D903" s="144"/>
      <c r="E903" s="144"/>
      <c r="F903" s="144"/>
      <c r="G903" s="144"/>
      <c r="H903" s="144"/>
      <c r="I903" s="145"/>
      <c r="J903" s="144"/>
      <c r="K903" s="128"/>
    </row>
    <row r="904" spans="1:11" ht="14.4">
      <c r="A904" s="144"/>
      <c r="B904" s="144"/>
      <c r="C904" s="144"/>
      <c r="D904" s="144"/>
      <c r="E904" s="144"/>
      <c r="F904" s="144"/>
      <c r="G904" s="144"/>
      <c r="H904" s="144"/>
      <c r="I904" s="145"/>
      <c r="J904" s="144"/>
      <c r="K904" s="128"/>
    </row>
    <row r="905" spans="1:11" ht="14.4">
      <c r="A905" s="144"/>
      <c r="B905" s="144"/>
      <c r="C905" s="144"/>
      <c r="D905" s="144"/>
      <c r="E905" s="144"/>
      <c r="F905" s="144"/>
      <c r="G905" s="144"/>
      <c r="H905" s="144"/>
      <c r="I905" s="145"/>
      <c r="J905" s="144"/>
      <c r="K905" s="128"/>
    </row>
    <row r="906" spans="1:11" ht="14.4">
      <c r="A906" s="144"/>
      <c r="B906" s="144"/>
      <c r="C906" s="144"/>
      <c r="D906" s="144"/>
      <c r="E906" s="144"/>
      <c r="F906" s="144"/>
      <c r="G906" s="144"/>
      <c r="H906" s="144"/>
      <c r="I906" s="145"/>
      <c r="J906" s="144"/>
      <c r="K906" s="128"/>
    </row>
    <row r="907" spans="1:11" ht="14.4">
      <c r="A907" s="144"/>
      <c r="B907" s="144"/>
      <c r="C907" s="144"/>
      <c r="D907" s="144"/>
      <c r="E907" s="144"/>
      <c r="F907" s="144"/>
      <c r="G907" s="144"/>
      <c r="H907" s="144"/>
      <c r="I907" s="145"/>
      <c r="J907" s="144"/>
      <c r="K907" s="128"/>
    </row>
    <row r="908" spans="1:11" ht="14.4">
      <c r="A908" s="144"/>
      <c r="B908" s="144"/>
      <c r="C908" s="144"/>
      <c r="D908" s="144"/>
      <c r="E908" s="144"/>
      <c r="F908" s="144"/>
      <c r="G908" s="144"/>
      <c r="H908" s="144"/>
      <c r="I908" s="145"/>
      <c r="J908" s="144"/>
      <c r="K908" s="128"/>
    </row>
    <row r="909" spans="1:11" ht="14.4">
      <c r="A909" s="144"/>
      <c r="B909" s="144"/>
      <c r="C909" s="144"/>
      <c r="D909" s="144"/>
      <c r="E909" s="144"/>
      <c r="F909" s="144"/>
      <c r="G909" s="144"/>
      <c r="H909" s="144"/>
      <c r="I909" s="145"/>
      <c r="J909" s="144"/>
      <c r="K909" s="128"/>
    </row>
    <row r="910" spans="1:11" ht="14.4">
      <c r="A910" s="144"/>
      <c r="B910" s="144"/>
      <c r="C910" s="144"/>
      <c r="D910" s="144"/>
      <c r="E910" s="144"/>
      <c r="F910" s="144"/>
      <c r="G910" s="144"/>
      <c r="H910" s="144"/>
      <c r="I910" s="145"/>
      <c r="J910" s="144"/>
      <c r="K910" s="128"/>
    </row>
    <row r="911" spans="1:11" ht="14.4">
      <c r="A911" s="144"/>
      <c r="B911" s="144"/>
      <c r="C911" s="144"/>
      <c r="D911" s="144"/>
      <c r="E911" s="144"/>
      <c r="F911" s="144"/>
      <c r="G911" s="144"/>
      <c r="H911" s="144"/>
      <c r="I911" s="145"/>
      <c r="J911" s="144"/>
      <c r="K911" s="128"/>
    </row>
    <row r="912" spans="1:11" ht="14.4">
      <c r="A912" s="144"/>
      <c r="B912" s="144"/>
      <c r="C912" s="144"/>
      <c r="D912" s="144"/>
      <c r="E912" s="144"/>
      <c r="F912" s="144"/>
      <c r="G912" s="144"/>
      <c r="H912" s="144"/>
      <c r="I912" s="145"/>
      <c r="J912" s="144"/>
      <c r="K912" s="128"/>
    </row>
    <row r="913" spans="1:11" ht="14.4">
      <c r="A913" s="144"/>
      <c r="B913" s="144"/>
      <c r="C913" s="144"/>
      <c r="D913" s="144"/>
      <c r="E913" s="144"/>
      <c r="F913" s="144"/>
      <c r="G913" s="144"/>
      <c r="H913" s="144"/>
      <c r="I913" s="145"/>
      <c r="J913" s="144"/>
      <c r="K913" s="128"/>
    </row>
    <row r="914" spans="1:11" ht="14.4">
      <c r="A914" s="144"/>
      <c r="B914" s="144"/>
      <c r="C914" s="144"/>
      <c r="D914" s="144"/>
      <c r="E914" s="144"/>
      <c r="F914" s="144"/>
      <c r="G914" s="144"/>
      <c r="H914" s="144"/>
      <c r="I914" s="145"/>
      <c r="J914" s="144"/>
      <c r="K914" s="128"/>
    </row>
    <row r="915" spans="1:11" ht="14.4">
      <c r="A915" s="144"/>
      <c r="B915" s="144"/>
      <c r="C915" s="144"/>
      <c r="D915" s="144"/>
      <c r="E915" s="144"/>
      <c r="F915" s="144"/>
      <c r="G915" s="144"/>
      <c r="H915" s="144"/>
      <c r="I915" s="145"/>
      <c r="J915" s="144"/>
      <c r="K915" s="128"/>
    </row>
    <row r="916" spans="1:11" ht="14.4">
      <c r="A916" s="144"/>
      <c r="B916" s="144"/>
      <c r="C916" s="144"/>
      <c r="D916" s="144"/>
      <c r="E916" s="144"/>
      <c r="F916" s="144"/>
      <c r="G916" s="144"/>
      <c r="H916" s="144"/>
      <c r="I916" s="145"/>
      <c r="J916" s="144"/>
      <c r="K916" s="128"/>
    </row>
    <row r="917" spans="1:11" ht="14.4">
      <c r="A917" s="144"/>
      <c r="B917" s="144"/>
      <c r="C917" s="144"/>
      <c r="D917" s="144"/>
      <c r="E917" s="144"/>
      <c r="F917" s="144"/>
      <c r="G917" s="144"/>
      <c r="H917" s="144"/>
      <c r="I917" s="145"/>
      <c r="J917" s="144"/>
      <c r="K917" s="128"/>
    </row>
    <row r="918" spans="1:11" ht="14.4">
      <c r="A918" s="144"/>
      <c r="B918" s="144"/>
      <c r="C918" s="144"/>
      <c r="D918" s="144"/>
      <c r="E918" s="144"/>
      <c r="F918" s="144"/>
      <c r="G918" s="144"/>
      <c r="H918" s="144"/>
      <c r="I918" s="145"/>
      <c r="J918" s="144"/>
      <c r="K918" s="128"/>
    </row>
    <row r="919" spans="1:11" ht="14.4">
      <c r="A919" s="144"/>
      <c r="B919" s="144"/>
      <c r="C919" s="144"/>
      <c r="D919" s="144"/>
      <c r="E919" s="144"/>
      <c r="F919" s="144"/>
      <c r="G919" s="144"/>
      <c r="H919" s="144"/>
      <c r="I919" s="145"/>
      <c r="J919" s="144"/>
      <c r="K919" s="128"/>
    </row>
    <row r="920" spans="1:11" ht="14.4">
      <c r="A920" s="144"/>
      <c r="B920" s="144"/>
      <c r="C920" s="144"/>
      <c r="D920" s="144"/>
      <c r="E920" s="144"/>
      <c r="F920" s="144"/>
      <c r="G920" s="144"/>
      <c r="H920" s="144"/>
      <c r="I920" s="145"/>
      <c r="J920" s="144"/>
      <c r="K920" s="128"/>
    </row>
    <row r="921" spans="1:11" ht="14.4">
      <c r="A921" s="144"/>
      <c r="B921" s="144"/>
      <c r="C921" s="144"/>
      <c r="D921" s="144"/>
      <c r="E921" s="144"/>
      <c r="F921" s="144"/>
      <c r="G921" s="144"/>
      <c r="H921" s="144"/>
      <c r="I921" s="145"/>
      <c r="J921" s="144"/>
      <c r="K921" s="128"/>
    </row>
    <row r="922" spans="1:11" ht="14.4">
      <c r="A922" s="144"/>
      <c r="B922" s="144"/>
      <c r="C922" s="144"/>
      <c r="D922" s="144"/>
      <c r="E922" s="144"/>
      <c r="F922" s="144"/>
      <c r="G922" s="144"/>
      <c r="H922" s="144"/>
      <c r="I922" s="145"/>
      <c r="J922" s="144"/>
      <c r="K922" s="128"/>
    </row>
    <row r="923" spans="1:11" ht="14.4">
      <c r="A923" s="144"/>
      <c r="B923" s="144"/>
      <c r="C923" s="144"/>
      <c r="D923" s="144"/>
      <c r="E923" s="144"/>
      <c r="F923" s="144"/>
      <c r="G923" s="144"/>
      <c r="H923" s="144"/>
      <c r="I923" s="145"/>
      <c r="J923" s="144"/>
      <c r="K923" s="128"/>
    </row>
    <row r="924" spans="1:11" ht="14.4">
      <c r="A924" s="144"/>
      <c r="B924" s="144"/>
      <c r="C924" s="144"/>
      <c r="D924" s="144"/>
      <c r="E924" s="144"/>
      <c r="F924" s="144"/>
      <c r="G924" s="144"/>
      <c r="H924" s="144"/>
      <c r="I924" s="145"/>
      <c r="J924" s="144"/>
      <c r="K924" s="128"/>
    </row>
    <row r="925" spans="1:11" ht="14.4">
      <c r="A925" s="144"/>
      <c r="B925" s="144"/>
      <c r="C925" s="144"/>
      <c r="D925" s="144"/>
      <c r="E925" s="144"/>
      <c r="F925" s="144"/>
      <c r="G925" s="144"/>
      <c r="H925" s="144"/>
      <c r="I925" s="145"/>
      <c r="J925" s="144"/>
      <c r="K925" s="128"/>
    </row>
    <row r="926" spans="1:11" ht="14.4">
      <c r="A926" s="144"/>
      <c r="B926" s="144"/>
      <c r="C926" s="144"/>
      <c r="D926" s="144"/>
      <c r="E926" s="144"/>
      <c r="F926" s="144"/>
      <c r="G926" s="144"/>
      <c r="H926" s="144"/>
      <c r="I926" s="145"/>
      <c r="J926" s="144"/>
      <c r="K926" s="128"/>
    </row>
    <row r="927" spans="1:11" ht="14.4">
      <c r="A927" s="144"/>
      <c r="B927" s="144"/>
      <c r="C927" s="144"/>
      <c r="D927" s="144"/>
      <c r="E927" s="144"/>
      <c r="F927" s="144"/>
      <c r="G927" s="144"/>
      <c r="H927" s="144"/>
      <c r="I927" s="145"/>
      <c r="J927" s="144"/>
      <c r="K927" s="128"/>
    </row>
    <row r="928" spans="1:11" ht="14.4">
      <c r="A928" s="144"/>
      <c r="B928" s="144"/>
      <c r="C928" s="144"/>
      <c r="D928" s="144"/>
      <c r="E928" s="144"/>
      <c r="F928" s="144"/>
      <c r="G928" s="144"/>
      <c r="H928" s="144"/>
      <c r="I928" s="145"/>
      <c r="J928" s="144"/>
      <c r="K928" s="128"/>
    </row>
    <row r="929" spans="1:11" ht="14.4">
      <c r="A929" s="144"/>
      <c r="B929" s="144"/>
      <c r="C929" s="144"/>
      <c r="D929" s="144"/>
      <c r="E929" s="144"/>
      <c r="F929" s="144"/>
      <c r="G929" s="144"/>
      <c r="H929" s="144"/>
      <c r="I929" s="145"/>
      <c r="J929" s="144"/>
      <c r="K929" s="128"/>
    </row>
    <row r="930" spans="1:11" ht="14.4">
      <c r="A930" s="144"/>
      <c r="B930" s="144"/>
      <c r="C930" s="144"/>
      <c r="D930" s="144"/>
      <c r="E930" s="144"/>
      <c r="F930" s="144"/>
      <c r="G930" s="144"/>
      <c r="H930" s="144"/>
      <c r="I930" s="145"/>
      <c r="J930" s="144"/>
      <c r="K930" s="128"/>
    </row>
    <row r="931" spans="1:11" ht="14.4">
      <c r="A931" s="144"/>
      <c r="B931" s="144"/>
      <c r="C931" s="144"/>
      <c r="D931" s="144"/>
      <c r="E931" s="144"/>
      <c r="F931" s="144"/>
      <c r="G931" s="144"/>
      <c r="H931" s="144"/>
      <c r="I931" s="145"/>
      <c r="J931" s="144"/>
      <c r="K931" s="128"/>
    </row>
    <row r="932" spans="1:11" ht="14.4">
      <c r="A932" s="144"/>
      <c r="B932" s="144"/>
      <c r="C932" s="144"/>
      <c r="D932" s="144"/>
      <c r="E932" s="144"/>
      <c r="F932" s="144"/>
      <c r="G932" s="144"/>
      <c r="H932" s="144"/>
      <c r="I932" s="145"/>
      <c r="J932" s="144"/>
      <c r="K932" s="128"/>
    </row>
    <row r="933" spans="1:11" ht="14.4">
      <c r="A933" s="144"/>
      <c r="B933" s="144"/>
      <c r="C933" s="144"/>
      <c r="D933" s="144"/>
      <c r="E933" s="144"/>
      <c r="F933" s="144"/>
      <c r="G933" s="144"/>
      <c r="H933" s="144"/>
      <c r="I933" s="145"/>
      <c r="J933" s="144"/>
      <c r="K933" s="128"/>
    </row>
    <row r="934" spans="1:11" ht="14.4">
      <c r="A934" s="144"/>
      <c r="B934" s="144"/>
      <c r="C934" s="144"/>
      <c r="D934" s="144"/>
      <c r="E934" s="144"/>
      <c r="F934" s="144"/>
      <c r="G934" s="144"/>
      <c r="H934" s="144"/>
      <c r="I934" s="145"/>
      <c r="J934" s="144"/>
      <c r="K934" s="128"/>
    </row>
    <row r="935" spans="1:11" ht="14.4">
      <c r="A935" s="144"/>
      <c r="B935" s="144"/>
      <c r="C935" s="144"/>
      <c r="D935" s="144"/>
      <c r="E935" s="144"/>
      <c r="F935" s="144"/>
      <c r="G935" s="144"/>
      <c r="H935" s="144"/>
      <c r="I935" s="145"/>
      <c r="J935" s="144"/>
      <c r="K935" s="128"/>
    </row>
    <row r="936" spans="1:11" ht="14.4">
      <c r="A936" s="144"/>
      <c r="B936" s="144"/>
      <c r="C936" s="144"/>
      <c r="D936" s="144"/>
      <c r="E936" s="144"/>
      <c r="F936" s="144"/>
      <c r="G936" s="144"/>
      <c r="H936" s="144"/>
      <c r="I936" s="145"/>
      <c r="J936" s="144"/>
      <c r="K936" s="128"/>
    </row>
    <row r="937" spans="1:11" ht="14.4">
      <c r="A937" s="144"/>
      <c r="B937" s="144"/>
      <c r="C937" s="144"/>
      <c r="D937" s="144"/>
      <c r="E937" s="144"/>
      <c r="F937" s="144"/>
      <c r="G937" s="144"/>
      <c r="H937" s="144"/>
      <c r="I937" s="145"/>
      <c r="J937" s="144"/>
      <c r="K937" s="128"/>
    </row>
    <row r="938" spans="1:11" ht="14.4">
      <c r="A938" s="144"/>
      <c r="B938" s="144"/>
      <c r="C938" s="144"/>
      <c r="D938" s="144"/>
      <c r="E938" s="144"/>
      <c r="F938" s="144"/>
      <c r="G938" s="144"/>
      <c r="H938" s="144"/>
      <c r="I938" s="145"/>
      <c r="J938" s="144"/>
      <c r="K938" s="128"/>
    </row>
    <row r="939" spans="1:11" ht="14.4">
      <c r="A939" s="144"/>
      <c r="B939" s="144"/>
      <c r="C939" s="144"/>
      <c r="D939" s="144"/>
      <c r="E939" s="144"/>
      <c r="F939" s="144"/>
      <c r="G939" s="144"/>
      <c r="H939" s="144"/>
      <c r="I939" s="145"/>
      <c r="J939" s="144"/>
      <c r="K939" s="128"/>
    </row>
    <row r="940" spans="1:11" ht="14.4">
      <c r="A940" s="144"/>
      <c r="B940" s="144"/>
      <c r="C940" s="144"/>
      <c r="D940" s="144"/>
      <c r="E940" s="144"/>
      <c r="F940" s="144"/>
      <c r="G940" s="144"/>
      <c r="H940" s="144"/>
      <c r="I940" s="145"/>
      <c r="J940" s="144"/>
      <c r="K940" s="128"/>
    </row>
    <row r="941" spans="1:11" ht="14.4">
      <c r="A941" s="144"/>
      <c r="B941" s="144"/>
      <c r="C941" s="144"/>
      <c r="D941" s="144"/>
      <c r="E941" s="144"/>
      <c r="F941" s="144"/>
      <c r="G941" s="144"/>
      <c r="H941" s="144"/>
      <c r="I941" s="145"/>
      <c r="J941" s="144"/>
      <c r="K941" s="128"/>
    </row>
    <row r="942" spans="1:11" ht="14.4">
      <c r="A942" s="144"/>
      <c r="B942" s="144"/>
      <c r="C942" s="144"/>
      <c r="D942" s="144"/>
      <c r="E942" s="144"/>
      <c r="F942" s="144"/>
      <c r="G942" s="144"/>
      <c r="H942" s="144"/>
      <c r="I942" s="145"/>
      <c r="J942" s="144"/>
      <c r="K942" s="128"/>
    </row>
    <row r="943" spans="1:11" ht="14.4">
      <c r="A943" s="144"/>
      <c r="B943" s="144"/>
      <c r="C943" s="144"/>
      <c r="D943" s="144"/>
      <c r="E943" s="144"/>
      <c r="F943" s="144"/>
      <c r="G943" s="144"/>
      <c r="H943" s="144"/>
      <c r="I943" s="145"/>
      <c r="J943" s="144"/>
      <c r="K943" s="128"/>
    </row>
    <row r="944" spans="1:11" ht="14.4">
      <c r="A944" s="144"/>
      <c r="B944" s="144"/>
      <c r="C944" s="144"/>
      <c r="D944" s="144"/>
      <c r="E944" s="144"/>
      <c r="F944" s="144"/>
      <c r="G944" s="144"/>
      <c r="H944" s="144"/>
      <c r="I944" s="145"/>
      <c r="J944" s="144"/>
      <c r="K944" s="128"/>
    </row>
    <row r="945" spans="1:11" ht="14.4">
      <c r="A945" s="144"/>
      <c r="B945" s="144"/>
      <c r="C945" s="144"/>
      <c r="D945" s="144"/>
      <c r="E945" s="144"/>
      <c r="F945" s="144"/>
      <c r="G945" s="144"/>
      <c r="H945" s="144"/>
      <c r="I945" s="145"/>
      <c r="J945" s="144"/>
      <c r="K945" s="128"/>
    </row>
    <row r="946" spans="1:11" ht="14.4">
      <c r="A946" s="144"/>
      <c r="B946" s="144"/>
      <c r="C946" s="144"/>
      <c r="D946" s="144"/>
      <c r="E946" s="144"/>
      <c r="F946" s="144"/>
      <c r="G946" s="144"/>
      <c r="H946" s="144"/>
      <c r="I946" s="145"/>
      <c r="J946" s="144"/>
      <c r="K946" s="128"/>
    </row>
    <row r="947" spans="1:11" ht="14.4">
      <c r="A947" s="144"/>
      <c r="B947" s="144"/>
      <c r="C947" s="144"/>
      <c r="D947" s="144"/>
      <c r="E947" s="144"/>
      <c r="F947" s="144"/>
      <c r="G947" s="144"/>
      <c r="H947" s="144"/>
      <c r="I947" s="145"/>
      <c r="J947" s="144"/>
      <c r="K947" s="128"/>
    </row>
    <row r="948" spans="1:11" ht="14.4">
      <c r="A948" s="144"/>
      <c r="B948" s="144"/>
      <c r="C948" s="144"/>
      <c r="D948" s="144"/>
      <c r="E948" s="144"/>
      <c r="F948" s="144"/>
      <c r="G948" s="144"/>
      <c r="H948" s="144"/>
      <c r="I948" s="145"/>
      <c r="J948" s="144"/>
      <c r="K948" s="128"/>
    </row>
    <row r="949" spans="1:11" ht="14.4">
      <c r="A949" s="144"/>
      <c r="B949" s="144"/>
      <c r="C949" s="144"/>
      <c r="D949" s="144"/>
      <c r="E949" s="144"/>
      <c r="F949" s="144"/>
      <c r="G949" s="144"/>
      <c r="H949" s="144"/>
      <c r="I949" s="145"/>
      <c r="J949" s="144"/>
      <c r="K949" s="128"/>
    </row>
    <row r="950" spans="1:11" ht="14.4">
      <c r="A950" s="144"/>
      <c r="B950" s="144"/>
      <c r="C950" s="144"/>
      <c r="D950" s="144"/>
      <c r="E950" s="144"/>
      <c r="F950" s="144"/>
      <c r="G950" s="144"/>
      <c r="H950" s="144"/>
      <c r="I950" s="145"/>
      <c r="J950" s="144"/>
      <c r="K950" s="128"/>
    </row>
    <row r="951" spans="1:11" ht="14.4">
      <c r="A951" s="144"/>
      <c r="B951" s="144"/>
      <c r="C951" s="144"/>
      <c r="D951" s="144"/>
      <c r="E951" s="144"/>
      <c r="F951" s="144"/>
      <c r="G951" s="144"/>
      <c r="H951" s="144"/>
      <c r="I951" s="145"/>
      <c r="J951" s="144"/>
      <c r="K951" s="128"/>
    </row>
    <row r="952" spans="1:11" ht="14.4">
      <c r="A952" s="144"/>
      <c r="B952" s="144"/>
      <c r="C952" s="144"/>
      <c r="D952" s="144"/>
      <c r="E952" s="144"/>
      <c r="F952" s="144"/>
      <c r="G952" s="144"/>
      <c r="H952" s="144"/>
      <c r="I952" s="145"/>
      <c r="J952" s="144"/>
      <c r="K952" s="128"/>
    </row>
    <row r="953" spans="1:11" ht="14.4">
      <c r="A953" s="144"/>
      <c r="B953" s="144"/>
      <c r="C953" s="144"/>
      <c r="D953" s="144"/>
      <c r="E953" s="144"/>
      <c r="F953" s="144"/>
      <c r="G953" s="144"/>
      <c r="H953" s="144"/>
      <c r="I953" s="145"/>
      <c r="J953" s="144"/>
      <c r="K953" s="128"/>
    </row>
    <row r="954" spans="1:11" ht="14.4">
      <c r="A954" s="144"/>
      <c r="B954" s="144"/>
      <c r="C954" s="144"/>
      <c r="D954" s="144"/>
      <c r="E954" s="144"/>
      <c r="F954" s="144"/>
      <c r="G954" s="144"/>
      <c r="H954" s="144"/>
      <c r="I954" s="145"/>
      <c r="J954" s="144"/>
      <c r="K954" s="128"/>
    </row>
    <row r="955" spans="1:11" ht="14.4">
      <c r="A955" s="144"/>
      <c r="B955" s="144"/>
      <c r="C955" s="144"/>
      <c r="D955" s="144"/>
      <c r="E955" s="144"/>
      <c r="F955" s="144"/>
      <c r="G955" s="144"/>
      <c r="H955" s="144"/>
      <c r="I955" s="145"/>
      <c r="J955" s="144"/>
      <c r="K955" s="128"/>
    </row>
    <row r="956" spans="1:11" ht="14.4">
      <c r="A956" s="144"/>
      <c r="B956" s="144"/>
      <c r="C956" s="144"/>
      <c r="D956" s="144"/>
      <c r="E956" s="144"/>
      <c r="F956" s="144"/>
      <c r="G956" s="144"/>
      <c r="H956" s="144"/>
      <c r="I956" s="145"/>
      <c r="J956" s="144"/>
      <c r="K956" s="128"/>
    </row>
    <row r="957" spans="1:11" ht="14.4">
      <c r="A957" s="144"/>
      <c r="B957" s="144"/>
      <c r="C957" s="144"/>
      <c r="D957" s="144"/>
      <c r="E957" s="144"/>
      <c r="F957" s="144"/>
      <c r="G957" s="144"/>
      <c r="H957" s="144"/>
      <c r="I957" s="145"/>
      <c r="J957" s="144"/>
      <c r="K957" s="128"/>
    </row>
    <row r="958" spans="1:11" ht="14.4">
      <c r="A958" s="144"/>
      <c r="B958" s="144"/>
      <c r="C958" s="144"/>
      <c r="D958" s="144"/>
      <c r="E958" s="144"/>
      <c r="F958" s="144"/>
      <c r="G958" s="144"/>
      <c r="H958" s="144"/>
      <c r="I958" s="145"/>
      <c r="J958" s="144"/>
      <c r="K958" s="128"/>
    </row>
    <row r="959" spans="1:11" ht="14.4">
      <c r="A959" s="144"/>
      <c r="B959" s="144"/>
      <c r="C959" s="144"/>
      <c r="D959" s="144"/>
      <c r="E959" s="144"/>
      <c r="F959" s="144"/>
      <c r="G959" s="144"/>
      <c r="H959" s="144"/>
      <c r="I959" s="145"/>
      <c r="J959" s="144"/>
      <c r="K959" s="128"/>
    </row>
    <row r="960" spans="1:11" ht="14.4">
      <c r="A960" s="144"/>
      <c r="B960" s="144"/>
      <c r="C960" s="144"/>
      <c r="D960" s="144"/>
      <c r="E960" s="144"/>
      <c r="F960" s="144"/>
      <c r="G960" s="144"/>
      <c r="H960" s="144"/>
      <c r="I960" s="145"/>
      <c r="J960" s="144"/>
      <c r="K960" s="128"/>
    </row>
    <row r="961" spans="1:11" ht="14.4">
      <c r="A961" s="144"/>
      <c r="B961" s="144"/>
      <c r="C961" s="144"/>
      <c r="D961" s="144"/>
      <c r="E961" s="144"/>
      <c r="F961" s="144"/>
      <c r="G961" s="144"/>
      <c r="H961" s="144"/>
      <c r="I961" s="145"/>
      <c r="J961" s="144"/>
      <c r="K961" s="128"/>
    </row>
    <row r="962" spans="1:11" ht="14.4">
      <c r="A962" s="144"/>
      <c r="B962" s="144"/>
      <c r="C962" s="144"/>
      <c r="D962" s="144"/>
      <c r="E962" s="144"/>
      <c r="F962" s="144"/>
      <c r="G962" s="144"/>
      <c r="H962" s="144"/>
      <c r="I962" s="145"/>
      <c r="J962" s="144"/>
      <c r="K962" s="128"/>
    </row>
    <row r="963" spans="1:11" ht="14.4">
      <c r="A963" s="144"/>
      <c r="B963" s="144"/>
      <c r="C963" s="144"/>
      <c r="D963" s="144"/>
      <c r="E963" s="144"/>
      <c r="F963" s="144"/>
      <c r="G963" s="144"/>
      <c r="H963" s="144"/>
      <c r="I963" s="145"/>
      <c r="J963" s="144"/>
      <c r="K963" s="128"/>
    </row>
    <row r="964" spans="1:11" ht="14.4">
      <c r="A964" s="144"/>
      <c r="B964" s="144"/>
      <c r="C964" s="144"/>
      <c r="D964" s="144"/>
      <c r="E964" s="144"/>
      <c r="F964" s="144"/>
      <c r="G964" s="144"/>
      <c r="H964" s="144"/>
      <c r="I964" s="145"/>
      <c r="J964" s="144"/>
      <c r="K964" s="128"/>
    </row>
    <row r="965" spans="1:11" ht="14.4">
      <c r="A965" s="144"/>
      <c r="B965" s="144"/>
      <c r="C965" s="144"/>
      <c r="D965" s="144"/>
      <c r="E965" s="144"/>
      <c r="F965" s="144"/>
      <c r="G965" s="144"/>
      <c r="H965" s="144"/>
      <c r="I965" s="145"/>
      <c r="J965" s="144"/>
      <c r="K965" s="128"/>
    </row>
    <row r="966" spans="1:11" ht="14.4">
      <c r="A966" s="144"/>
      <c r="B966" s="144"/>
      <c r="C966" s="144"/>
      <c r="D966" s="144"/>
      <c r="E966" s="144"/>
      <c r="F966" s="144"/>
      <c r="G966" s="144"/>
      <c r="H966" s="144"/>
      <c r="I966" s="145"/>
      <c r="J966" s="144"/>
      <c r="K966" s="128"/>
    </row>
    <row r="967" spans="1:11" ht="14.4">
      <c r="A967" s="144"/>
      <c r="B967" s="144"/>
      <c r="C967" s="144"/>
      <c r="D967" s="144"/>
      <c r="E967" s="144"/>
      <c r="F967" s="144"/>
      <c r="G967" s="144"/>
      <c r="H967" s="144"/>
      <c r="I967" s="145"/>
      <c r="J967" s="144"/>
      <c r="K967" s="128"/>
    </row>
    <row r="968" spans="1:11" ht="14.4">
      <c r="A968" s="144"/>
      <c r="B968" s="144"/>
      <c r="C968" s="144"/>
      <c r="D968" s="144"/>
      <c r="E968" s="144"/>
      <c r="F968" s="144"/>
      <c r="G968" s="144"/>
      <c r="H968" s="144"/>
      <c r="I968" s="145"/>
      <c r="J968" s="144"/>
      <c r="K968" s="128"/>
    </row>
    <row r="969" spans="1:11" ht="14.4">
      <c r="A969" s="144"/>
      <c r="B969" s="144"/>
      <c r="C969" s="144"/>
      <c r="D969" s="144"/>
      <c r="E969" s="144"/>
      <c r="F969" s="144"/>
      <c r="G969" s="144"/>
      <c r="H969" s="144"/>
      <c r="I969" s="145"/>
      <c r="J969" s="144"/>
      <c r="K969" s="128"/>
    </row>
    <row r="970" spans="1:11" ht="14.4">
      <c r="A970" s="144"/>
      <c r="B970" s="144"/>
      <c r="C970" s="144"/>
      <c r="D970" s="144"/>
      <c r="E970" s="144"/>
      <c r="F970" s="144"/>
      <c r="G970" s="144"/>
      <c r="H970" s="144"/>
      <c r="I970" s="145"/>
      <c r="J970" s="144"/>
      <c r="K970" s="128"/>
    </row>
    <row r="971" spans="1:11" ht="14.4">
      <c r="A971" s="144"/>
      <c r="B971" s="144"/>
      <c r="C971" s="144"/>
      <c r="D971" s="144"/>
      <c r="E971" s="144"/>
      <c r="F971" s="144"/>
      <c r="G971" s="144"/>
      <c r="H971" s="144"/>
      <c r="I971" s="145"/>
      <c r="J971" s="144"/>
      <c r="K971" s="128"/>
    </row>
    <row r="972" spans="1:11" ht="14.4">
      <c r="A972" s="144"/>
      <c r="B972" s="144"/>
      <c r="C972" s="144"/>
      <c r="D972" s="144"/>
      <c r="E972" s="144"/>
      <c r="F972" s="144"/>
      <c r="G972" s="144"/>
      <c r="H972" s="144"/>
      <c r="I972" s="145"/>
      <c r="J972" s="144"/>
      <c r="K972" s="128"/>
    </row>
    <row r="973" spans="1:11" ht="14.4">
      <c r="A973" s="144"/>
      <c r="B973" s="144"/>
      <c r="C973" s="144"/>
      <c r="D973" s="144"/>
      <c r="E973" s="144"/>
      <c r="F973" s="144"/>
      <c r="G973" s="144"/>
      <c r="H973" s="144"/>
      <c r="I973" s="145"/>
      <c r="J973" s="144"/>
      <c r="K973" s="128"/>
    </row>
    <row r="974" spans="1:11" ht="14.4">
      <c r="A974" s="144"/>
      <c r="B974" s="144"/>
      <c r="C974" s="144"/>
      <c r="D974" s="144"/>
      <c r="E974" s="144"/>
      <c r="F974" s="144"/>
      <c r="G974" s="144"/>
      <c r="H974" s="144"/>
      <c r="I974" s="145"/>
      <c r="J974" s="144"/>
      <c r="K974" s="128"/>
    </row>
    <row r="975" spans="1:11" ht="14.4">
      <c r="A975" s="144"/>
      <c r="B975" s="144"/>
      <c r="C975" s="144"/>
      <c r="D975" s="144"/>
      <c r="E975" s="144"/>
      <c r="F975" s="144"/>
      <c r="G975" s="144"/>
      <c r="H975" s="144"/>
      <c r="I975" s="145"/>
      <c r="J975" s="144"/>
      <c r="K975" s="128"/>
    </row>
    <row r="976" spans="1:11" ht="14.4">
      <c r="A976" s="144"/>
      <c r="B976" s="144"/>
      <c r="C976" s="144"/>
      <c r="D976" s="144"/>
      <c r="E976" s="144"/>
      <c r="F976" s="144"/>
      <c r="G976" s="144"/>
      <c r="H976" s="144"/>
      <c r="I976" s="145"/>
      <c r="J976" s="144"/>
      <c r="K976" s="128"/>
    </row>
    <row r="977" spans="1:11" ht="14.4">
      <c r="A977" s="144"/>
      <c r="B977" s="144"/>
      <c r="C977" s="144"/>
      <c r="D977" s="144"/>
      <c r="E977" s="144"/>
      <c r="F977" s="144"/>
      <c r="G977" s="144"/>
      <c r="H977" s="144"/>
      <c r="I977" s="145"/>
      <c r="J977" s="144"/>
      <c r="K977" s="128"/>
    </row>
    <row r="978" spans="1:11" ht="14.4">
      <c r="A978" s="144"/>
      <c r="B978" s="144"/>
      <c r="C978" s="144"/>
      <c r="D978" s="144"/>
      <c r="E978" s="144"/>
      <c r="F978" s="144"/>
      <c r="G978" s="144"/>
      <c r="H978" s="144"/>
      <c r="I978" s="145"/>
      <c r="J978" s="144"/>
      <c r="K978" s="128"/>
    </row>
    <row r="979" spans="1:11" ht="14.4">
      <c r="A979" s="144"/>
      <c r="B979" s="144"/>
      <c r="C979" s="144"/>
      <c r="D979" s="144"/>
      <c r="E979" s="144"/>
      <c r="F979" s="144"/>
      <c r="G979" s="144"/>
      <c r="H979" s="144"/>
      <c r="I979" s="145"/>
      <c r="J979" s="144"/>
      <c r="K979" s="128"/>
    </row>
    <row r="980" spans="1:11" ht="14.4">
      <c r="A980" s="144"/>
      <c r="B980" s="144"/>
      <c r="C980" s="144"/>
      <c r="D980" s="144"/>
      <c r="E980" s="144"/>
      <c r="F980" s="144"/>
      <c r="G980" s="144"/>
      <c r="H980" s="144"/>
      <c r="I980" s="145"/>
      <c r="J980" s="144"/>
      <c r="K980" s="128"/>
    </row>
    <row r="981" spans="1:11" ht="14.4">
      <c r="A981" s="144"/>
      <c r="B981" s="144"/>
      <c r="C981" s="144"/>
      <c r="D981" s="144"/>
      <c r="E981" s="144"/>
      <c r="F981" s="144"/>
      <c r="G981" s="144"/>
      <c r="H981" s="144"/>
      <c r="I981" s="145"/>
      <c r="J981" s="144"/>
      <c r="K981" s="128"/>
    </row>
    <row r="982" spans="1:11" ht="14.4">
      <c r="A982" s="144"/>
      <c r="B982" s="144"/>
      <c r="C982" s="144"/>
      <c r="D982" s="144"/>
      <c r="E982" s="144"/>
      <c r="F982" s="144"/>
      <c r="G982" s="144"/>
      <c r="H982" s="144"/>
      <c r="I982" s="145"/>
      <c r="J982" s="144"/>
      <c r="K982" s="128"/>
    </row>
    <row r="983" spans="1:11" ht="14.4">
      <c r="A983" s="144"/>
      <c r="B983" s="144"/>
      <c r="C983" s="144"/>
      <c r="D983" s="144"/>
      <c r="E983" s="144"/>
      <c r="F983" s="144"/>
      <c r="G983" s="144"/>
      <c r="H983" s="144"/>
      <c r="I983" s="145"/>
      <c r="J983" s="144"/>
      <c r="K983" s="128"/>
    </row>
    <row r="984" spans="1:11" ht="14.4">
      <c r="A984" s="144"/>
      <c r="B984" s="144"/>
      <c r="C984" s="144"/>
      <c r="D984" s="144"/>
      <c r="E984" s="144"/>
      <c r="F984" s="144"/>
      <c r="G984" s="144"/>
      <c r="H984" s="144"/>
      <c r="I984" s="145"/>
      <c r="J984" s="144"/>
      <c r="K984" s="128"/>
    </row>
    <row r="985" spans="1:11" ht="14.4">
      <c r="A985" s="144"/>
      <c r="B985" s="144"/>
      <c r="C985" s="144"/>
      <c r="D985" s="144"/>
      <c r="E985" s="144"/>
      <c r="F985" s="144"/>
      <c r="G985" s="144"/>
      <c r="H985" s="144"/>
      <c r="I985" s="145"/>
      <c r="J985" s="144"/>
      <c r="K985" s="128"/>
    </row>
    <row r="986" spans="1:11" ht="14.4">
      <c r="A986" s="144"/>
      <c r="B986" s="144"/>
      <c r="C986" s="144"/>
      <c r="D986" s="144"/>
      <c r="E986" s="144"/>
      <c r="F986" s="144"/>
      <c r="G986" s="144"/>
      <c r="H986" s="144"/>
      <c r="I986" s="145"/>
      <c r="J986" s="144"/>
      <c r="K986" s="128"/>
    </row>
    <row r="987" spans="1:11" ht="14.4">
      <c r="A987" s="144"/>
      <c r="B987" s="144"/>
      <c r="C987" s="144"/>
      <c r="D987" s="144"/>
      <c r="E987" s="144"/>
      <c r="F987" s="144"/>
      <c r="G987" s="144"/>
      <c r="H987" s="144"/>
      <c r="I987" s="145"/>
      <c r="J987" s="144"/>
      <c r="K987" s="128"/>
    </row>
    <row r="988" spans="1:11" ht="14.4">
      <c r="A988" s="144"/>
      <c r="B988" s="144"/>
      <c r="C988" s="144"/>
      <c r="D988" s="144"/>
      <c r="E988" s="144"/>
      <c r="F988" s="144"/>
      <c r="G988" s="144"/>
      <c r="H988" s="144"/>
      <c r="I988" s="145"/>
      <c r="J988" s="144"/>
      <c r="K988" s="128"/>
    </row>
    <row r="989" spans="1:11" ht="14.4">
      <c r="A989" s="144"/>
      <c r="B989" s="144"/>
      <c r="C989" s="144"/>
      <c r="D989" s="144"/>
      <c r="E989" s="144"/>
      <c r="F989" s="144"/>
      <c r="G989" s="144"/>
      <c r="H989" s="144"/>
      <c r="I989" s="145"/>
      <c r="J989" s="144"/>
      <c r="K989" s="128"/>
    </row>
    <row r="990" spans="1:11" ht="14.4">
      <c r="A990" s="144"/>
      <c r="B990" s="144"/>
      <c r="C990" s="144"/>
      <c r="D990" s="144"/>
      <c r="E990" s="144"/>
      <c r="F990" s="144"/>
      <c r="G990" s="144"/>
      <c r="H990" s="144"/>
      <c r="I990" s="145"/>
      <c r="J990" s="144"/>
      <c r="K990" s="128"/>
    </row>
    <row r="991" spans="1:11" ht="14.4">
      <c r="A991" s="144"/>
      <c r="B991" s="144"/>
      <c r="C991" s="144"/>
      <c r="D991" s="144"/>
      <c r="E991" s="144"/>
      <c r="F991" s="144"/>
      <c r="G991" s="144"/>
      <c r="H991" s="144"/>
      <c r="I991" s="145"/>
      <c r="J991" s="144"/>
      <c r="K991" s="128"/>
    </row>
    <row r="992" spans="1:11" ht="14.4">
      <c r="A992" s="144"/>
      <c r="B992" s="144"/>
      <c r="C992" s="144"/>
      <c r="D992" s="144"/>
      <c r="E992" s="144"/>
      <c r="F992" s="144"/>
      <c r="G992" s="144"/>
      <c r="H992" s="144"/>
      <c r="I992" s="145"/>
      <c r="J992" s="144"/>
      <c r="K992" s="128"/>
    </row>
    <row r="993" spans="1:11" ht="14.4">
      <c r="A993" s="144"/>
      <c r="B993" s="144"/>
      <c r="C993" s="144"/>
      <c r="D993" s="144"/>
      <c r="E993" s="144"/>
      <c r="F993" s="144"/>
      <c r="G993" s="144"/>
      <c r="H993" s="144"/>
      <c r="I993" s="145"/>
      <c r="J993" s="144"/>
      <c r="K993" s="128"/>
    </row>
    <row r="994" spans="1:11" ht="14.4">
      <c r="A994" s="144"/>
      <c r="B994" s="144"/>
      <c r="C994" s="144"/>
      <c r="D994" s="144"/>
      <c r="E994" s="144"/>
      <c r="F994" s="144"/>
      <c r="G994" s="144"/>
      <c r="H994" s="144"/>
      <c r="I994" s="145"/>
      <c r="J994" s="144"/>
      <c r="K994" s="128"/>
    </row>
    <row r="995" spans="1:11" ht="14.4">
      <c r="A995" s="144"/>
      <c r="B995" s="144"/>
      <c r="C995" s="144"/>
      <c r="D995" s="144"/>
      <c r="E995" s="144"/>
      <c r="F995" s="144"/>
      <c r="G995" s="144"/>
      <c r="H995" s="144"/>
      <c r="I995" s="145"/>
      <c r="J995" s="144"/>
      <c r="K995" s="128"/>
    </row>
    <row r="996" spans="1:11" ht="14.4">
      <c r="A996" s="144"/>
      <c r="B996" s="144"/>
      <c r="C996" s="144"/>
      <c r="D996" s="144"/>
      <c r="E996" s="144"/>
      <c r="F996" s="144"/>
      <c r="G996" s="144"/>
      <c r="H996" s="144"/>
      <c r="I996" s="145"/>
      <c r="J996" s="144"/>
      <c r="K996" s="128"/>
    </row>
    <row r="997" spans="1:11" ht="14.4">
      <c r="A997" s="144"/>
      <c r="B997" s="144"/>
      <c r="C997" s="144"/>
      <c r="D997" s="144"/>
      <c r="E997" s="144"/>
      <c r="F997" s="144"/>
      <c r="G997" s="144"/>
      <c r="H997" s="144"/>
      <c r="I997" s="145"/>
      <c r="J997" s="144"/>
      <c r="K997" s="128"/>
    </row>
    <row r="998" spans="1:11" ht="14.4">
      <c r="A998" s="144"/>
      <c r="B998" s="144"/>
      <c r="C998" s="144"/>
      <c r="D998" s="144"/>
      <c r="E998" s="144"/>
      <c r="F998" s="144"/>
      <c r="G998" s="144"/>
      <c r="H998" s="144"/>
      <c r="I998" s="145"/>
      <c r="J998" s="144"/>
      <c r="K998" s="128"/>
    </row>
    <row r="999" spans="1:11" ht="14.4">
      <c r="A999" s="144"/>
      <c r="B999" s="144"/>
      <c r="C999" s="144"/>
      <c r="D999" s="144"/>
      <c r="E999" s="144"/>
      <c r="F999" s="144"/>
      <c r="G999" s="144"/>
      <c r="H999" s="144"/>
      <c r="I999" s="145"/>
      <c r="J999" s="144"/>
      <c r="K999" s="128"/>
    </row>
    <row r="1000" spans="1:11" ht="14.4">
      <c r="A1000" s="144"/>
      <c r="B1000" s="144"/>
      <c r="C1000" s="144"/>
      <c r="D1000" s="144"/>
      <c r="E1000" s="144"/>
      <c r="F1000" s="144"/>
      <c r="G1000" s="144"/>
      <c r="H1000" s="144"/>
      <c r="I1000" s="145"/>
      <c r="J1000" s="144"/>
      <c r="K1000" s="128"/>
    </row>
    <row r="1001" spans="1:11" ht="14.4">
      <c r="A1001" s="144"/>
      <c r="B1001" s="144"/>
      <c r="C1001" s="144"/>
      <c r="D1001" s="144"/>
      <c r="E1001" s="144"/>
      <c r="F1001" s="144"/>
      <c r="G1001" s="144"/>
      <c r="H1001" s="144"/>
      <c r="I1001" s="145"/>
      <c r="J1001" s="144"/>
      <c r="K1001" s="128"/>
    </row>
    <row r="1002" spans="1:11" ht="14.4">
      <c r="A1002" s="144"/>
      <c r="B1002" s="144"/>
      <c r="C1002" s="144"/>
      <c r="D1002" s="144"/>
      <c r="E1002" s="144"/>
      <c r="F1002" s="144"/>
      <c r="G1002" s="144"/>
      <c r="H1002" s="144"/>
      <c r="I1002" s="145"/>
      <c r="J1002" s="144"/>
      <c r="K1002" s="128"/>
    </row>
    <row r="1003" spans="1:11" ht="14.4">
      <c r="A1003" s="144"/>
      <c r="B1003" s="144"/>
      <c r="C1003" s="144"/>
      <c r="D1003" s="144"/>
      <c r="E1003" s="144"/>
      <c r="F1003" s="144"/>
      <c r="G1003" s="144"/>
      <c r="H1003" s="144"/>
      <c r="I1003" s="145"/>
      <c r="J1003" s="144"/>
      <c r="K1003" s="128"/>
    </row>
    <row r="1004" spans="1:11" ht="14.4">
      <c r="A1004" s="144"/>
      <c r="B1004" s="144"/>
      <c r="C1004" s="144"/>
      <c r="D1004" s="144"/>
      <c r="E1004" s="144"/>
      <c r="F1004" s="144"/>
      <c r="G1004" s="144"/>
      <c r="H1004" s="144"/>
      <c r="I1004" s="145"/>
      <c r="J1004" s="144"/>
      <c r="K1004" s="128"/>
    </row>
    <row r="1005" spans="1:11" ht="14.4">
      <c r="A1005" s="144"/>
      <c r="B1005" s="144"/>
      <c r="C1005" s="144"/>
      <c r="D1005" s="144"/>
      <c r="E1005" s="144"/>
      <c r="F1005" s="144"/>
      <c r="G1005" s="144"/>
      <c r="H1005" s="144"/>
      <c r="I1005" s="145"/>
      <c r="J1005" s="144"/>
      <c r="K1005" s="128"/>
    </row>
    <row r="1006" spans="1:11" ht="14.4">
      <c r="A1006" s="144"/>
      <c r="B1006" s="144"/>
      <c r="C1006" s="144"/>
      <c r="D1006" s="144"/>
      <c r="E1006" s="144"/>
      <c r="F1006" s="144"/>
      <c r="G1006" s="144"/>
      <c r="H1006" s="144"/>
      <c r="I1006" s="145"/>
      <c r="J1006" s="144"/>
      <c r="K1006" s="128"/>
    </row>
    <row r="1007" spans="1:11" ht="14.4">
      <c r="A1007" s="144"/>
      <c r="B1007" s="144"/>
      <c r="C1007" s="144"/>
      <c r="D1007" s="144"/>
      <c r="E1007" s="144"/>
      <c r="F1007" s="144"/>
      <c r="G1007" s="144"/>
      <c r="H1007" s="144"/>
      <c r="I1007" s="145"/>
      <c r="J1007" s="144"/>
      <c r="K1007" s="128"/>
    </row>
    <row r="1008" spans="1:11" ht="14.4">
      <c r="A1008" s="144"/>
      <c r="B1008" s="144"/>
      <c r="C1008" s="144"/>
      <c r="D1008" s="144"/>
      <c r="E1008" s="144"/>
      <c r="F1008" s="144"/>
      <c r="G1008" s="144"/>
      <c r="H1008" s="144"/>
      <c r="I1008" s="145"/>
      <c r="J1008" s="144"/>
      <c r="K1008" s="128"/>
    </row>
    <row r="1009" spans="1:11" ht="14.4">
      <c r="A1009" s="144"/>
      <c r="B1009" s="144"/>
      <c r="C1009" s="144"/>
      <c r="D1009" s="144"/>
      <c r="E1009" s="144"/>
      <c r="F1009" s="144"/>
      <c r="G1009" s="144"/>
      <c r="H1009" s="144"/>
      <c r="I1009" s="145"/>
      <c r="J1009" s="144"/>
      <c r="K1009" s="128"/>
    </row>
    <row r="1010" spans="1:11" ht="14.4">
      <c r="A1010" s="144"/>
      <c r="B1010" s="144"/>
      <c r="C1010" s="144"/>
      <c r="D1010" s="144"/>
      <c r="E1010" s="144"/>
      <c r="F1010" s="144"/>
      <c r="G1010" s="144"/>
      <c r="H1010" s="144"/>
      <c r="I1010" s="145"/>
      <c r="J1010" s="144"/>
      <c r="K1010" s="128"/>
    </row>
    <row r="1011" spans="1:11" ht="14.4">
      <c r="A1011" s="144"/>
      <c r="B1011" s="144"/>
      <c r="C1011" s="144"/>
      <c r="D1011" s="144"/>
      <c r="E1011" s="144"/>
      <c r="F1011" s="144"/>
      <c r="G1011" s="144"/>
      <c r="H1011" s="144"/>
      <c r="I1011" s="145"/>
      <c r="J1011" s="144"/>
      <c r="K1011" s="128"/>
    </row>
    <row r="1012" spans="1:11" ht="14.4">
      <c r="A1012" s="144"/>
      <c r="B1012" s="144"/>
      <c r="C1012" s="144"/>
      <c r="D1012" s="144"/>
      <c r="E1012" s="144"/>
      <c r="F1012" s="144"/>
      <c r="G1012" s="144"/>
      <c r="H1012" s="144"/>
      <c r="I1012" s="145"/>
      <c r="J1012" s="144"/>
      <c r="K1012" s="128"/>
    </row>
    <row r="1013" spans="1:11" ht="14.4">
      <c r="A1013" s="144"/>
      <c r="B1013" s="144"/>
      <c r="C1013" s="144"/>
      <c r="D1013" s="144"/>
      <c r="E1013" s="144"/>
      <c r="F1013" s="144"/>
      <c r="G1013" s="144"/>
      <c r="H1013" s="144"/>
      <c r="I1013" s="145"/>
      <c r="J1013" s="144"/>
      <c r="K1013" s="128"/>
    </row>
    <row r="1014" spans="1:11" ht="14.4">
      <c r="A1014" s="144"/>
      <c r="B1014" s="144"/>
      <c r="C1014" s="144"/>
      <c r="D1014" s="144"/>
      <c r="E1014" s="144"/>
      <c r="F1014" s="144"/>
      <c r="G1014" s="144"/>
      <c r="H1014" s="144"/>
      <c r="I1014" s="145"/>
      <c r="J1014" s="144"/>
      <c r="K1014" s="128"/>
    </row>
    <row r="1015" spans="1:11" ht="14.4">
      <c r="A1015" s="144"/>
      <c r="B1015" s="144"/>
      <c r="C1015" s="144"/>
      <c r="D1015" s="144"/>
      <c r="E1015" s="144"/>
      <c r="F1015" s="144"/>
      <c r="G1015" s="144"/>
      <c r="H1015" s="144"/>
      <c r="I1015" s="145"/>
      <c r="J1015" s="144"/>
      <c r="K1015" s="128"/>
    </row>
    <row r="1016" spans="1:11" ht="14.4">
      <c r="A1016" s="144"/>
      <c r="B1016" s="144"/>
      <c r="C1016" s="144"/>
      <c r="D1016" s="144"/>
      <c r="E1016" s="144"/>
      <c r="F1016" s="144"/>
      <c r="G1016" s="144"/>
      <c r="H1016" s="144"/>
      <c r="I1016" s="145"/>
      <c r="J1016" s="144"/>
      <c r="K1016" s="128"/>
    </row>
    <row r="1017" spans="1:11" ht="14.4">
      <c r="A1017" s="144"/>
      <c r="B1017" s="144"/>
      <c r="C1017" s="144"/>
      <c r="D1017" s="144"/>
      <c r="E1017" s="144"/>
      <c r="F1017" s="144"/>
      <c r="G1017" s="144"/>
      <c r="H1017" s="144"/>
      <c r="I1017" s="145"/>
      <c r="J1017" s="144"/>
      <c r="K1017" s="128"/>
    </row>
    <row r="1018" spans="1:11" ht="14.4">
      <c r="A1018" s="144"/>
      <c r="B1018" s="144"/>
      <c r="C1018" s="144"/>
      <c r="D1018" s="144"/>
      <c r="E1018" s="144"/>
      <c r="F1018" s="144"/>
      <c r="G1018" s="144"/>
      <c r="H1018" s="144"/>
      <c r="I1018" s="145"/>
      <c r="J1018" s="144"/>
      <c r="K1018" s="128"/>
    </row>
    <row r="1019" spans="1:11" ht="14.4">
      <c r="A1019" s="144"/>
      <c r="B1019" s="144"/>
      <c r="C1019" s="144"/>
      <c r="D1019" s="144"/>
      <c r="E1019" s="144"/>
      <c r="F1019" s="144"/>
      <c r="G1019" s="144"/>
      <c r="H1019" s="144"/>
      <c r="I1019" s="145"/>
      <c r="J1019" s="144"/>
      <c r="K1019" s="128"/>
    </row>
    <row r="1020" spans="1:11" ht="14.4">
      <c r="A1020" s="144"/>
      <c r="B1020" s="144"/>
      <c r="C1020" s="144"/>
      <c r="D1020" s="144"/>
      <c r="E1020" s="144"/>
      <c r="F1020" s="144"/>
      <c r="G1020" s="144"/>
      <c r="H1020" s="144"/>
      <c r="I1020" s="145"/>
      <c r="J1020" s="144"/>
      <c r="K1020" s="128"/>
    </row>
    <row r="1021" spans="1:11" ht="14.4">
      <c r="A1021" s="144"/>
      <c r="B1021" s="144"/>
      <c r="C1021" s="144"/>
      <c r="D1021" s="144"/>
      <c r="E1021" s="144"/>
      <c r="F1021" s="144"/>
      <c r="G1021" s="144"/>
      <c r="H1021" s="144"/>
      <c r="I1021" s="145"/>
      <c r="J1021" s="144"/>
      <c r="K1021" s="128"/>
    </row>
    <row r="1022" spans="1:11" ht="14.4">
      <c r="A1022" s="144"/>
      <c r="B1022" s="144"/>
      <c r="C1022" s="144"/>
      <c r="D1022" s="144"/>
      <c r="E1022" s="144"/>
      <c r="F1022" s="144"/>
      <c r="G1022" s="144"/>
      <c r="H1022" s="144"/>
      <c r="I1022" s="145"/>
      <c r="J1022" s="144"/>
      <c r="K1022" s="128"/>
    </row>
    <row r="1023" spans="1:11" ht="14.4">
      <c r="A1023" s="144"/>
      <c r="B1023" s="144"/>
      <c r="C1023" s="144"/>
      <c r="D1023" s="144"/>
      <c r="E1023" s="144"/>
      <c r="F1023" s="144"/>
      <c r="G1023" s="144"/>
      <c r="H1023" s="144"/>
      <c r="I1023" s="145"/>
      <c r="J1023" s="144"/>
      <c r="K1023" s="128"/>
    </row>
    <row r="1024" spans="1:11" ht="14.4">
      <c r="A1024" s="144"/>
      <c r="B1024" s="144"/>
      <c r="C1024" s="144"/>
      <c r="D1024" s="144"/>
      <c r="E1024" s="144"/>
      <c r="F1024" s="144"/>
      <c r="G1024" s="144"/>
      <c r="H1024" s="144"/>
      <c r="I1024" s="145"/>
      <c r="J1024" s="144"/>
      <c r="K1024" s="128"/>
    </row>
    <row r="1025" spans="1:11" ht="14.4">
      <c r="A1025" s="144"/>
      <c r="B1025" s="144"/>
      <c r="C1025" s="144"/>
      <c r="D1025" s="144"/>
      <c r="E1025" s="144"/>
      <c r="F1025" s="144"/>
      <c r="G1025" s="144"/>
      <c r="H1025" s="144"/>
      <c r="I1025" s="145"/>
      <c r="J1025" s="144"/>
      <c r="K1025" s="128"/>
    </row>
    <row r="1026" spans="1:11" ht="14.4">
      <c r="A1026" s="144"/>
      <c r="B1026" s="144"/>
      <c r="C1026" s="144"/>
      <c r="D1026" s="144"/>
      <c r="E1026" s="144"/>
      <c r="F1026" s="144"/>
      <c r="G1026" s="144"/>
      <c r="H1026" s="144"/>
      <c r="I1026" s="145"/>
      <c r="J1026" s="144"/>
      <c r="K1026" s="128"/>
    </row>
    <row r="1027" spans="1:11" ht="14.4">
      <c r="A1027" s="144"/>
      <c r="B1027" s="144"/>
      <c r="C1027" s="144"/>
      <c r="D1027" s="144"/>
      <c r="E1027" s="144"/>
      <c r="F1027" s="144"/>
      <c r="G1027" s="144"/>
      <c r="H1027" s="144"/>
      <c r="I1027" s="145"/>
      <c r="J1027" s="144"/>
      <c r="K1027" s="128"/>
    </row>
    <row r="1028" spans="1:11" ht="14.4">
      <c r="A1028" s="144"/>
      <c r="B1028" s="144"/>
      <c r="C1028" s="144"/>
      <c r="D1028" s="144"/>
      <c r="E1028" s="144"/>
      <c r="F1028" s="144"/>
      <c r="G1028" s="144"/>
      <c r="H1028" s="144"/>
      <c r="I1028" s="145"/>
      <c r="J1028" s="144"/>
      <c r="K1028" s="128"/>
    </row>
    <row r="1029" spans="1:11" ht="14.4">
      <c r="A1029" s="144"/>
      <c r="B1029" s="144"/>
      <c r="C1029" s="144"/>
      <c r="D1029" s="144"/>
      <c r="E1029" s="144"/>
      <c r="F1029" s="144"/>
      <c r="G1029" s="144"/>
      <c r="H1029" s="144"/>
      <c r="I1029" s="145"/>
      <c r="J1029" s="144"/>
      <c r="K1029" s="128"/>
    </row>
  </sheetData>
  <mergeCells count="47">
    <mergeCell ref="A2:J2"/>
    <mergeCell ref="A3:B3"/>
    <mergeCell ref="C3:G3"/>
    <mergeCell ref="A4:I4"/>
    <mergeCell ref="A5:B5"/>
    <mergeCell ref="C5:G5"/>
    <mergeCell ref="A6:B6"/>
    <mergeCell ref="C6:G6"/>
    <mergeCell ref="A7:B7"/>
    <mergeCell ref="C7:G7"/>
    <mergeCell ref="A8:B8"/>
    <mergeCell ref="C8:G8"/>
    <mergeCell ref="A16:B16"/>
    <mergeCell ref="C16:G16"/>
    <mergeCell ref="A9:B9"/>
    <mergeCell ref="C9:G9"/>
    <mergeCell ref="A10:B10"/>
    <mergeCell ref="C10:G10"/>
    <mergeCell ref="A11:B11"/>
    <mergeCell ref="C11:G11"/>
    <mergeCell ref="A12:J12"/>
    <mergeCell ref="A13:J13"/>
    <mergeCell ref="A14:B14"/>
    <mergeCell ref="C14:G14"/>
    <mergeCell ref="A15:J15"/>
    <mergeCell ref="A23:B23"/>
    <mergeCell ref="C23:G23"/>
    <mergeCell ref="A17:J17"/>
    <mergeCell ref="A18:B18"/>
    <mergeCell ref="C18:G18"/>
    <mergeCell ref="A19:J19"/>
    <mergeCell ref="A20:B20"/>
    <mergeCell ref="C20:G20"/>
    <mergeCell ref="A21:J21"/>
    <mergeCell ref="A22:B22"/>
    <mergeCell ref="C22:G22"/>
    <mergeCell ref="A28:J28"/>
    <mergeCell ref="A29:B29"/>
    <mergeCell ref="C29:G29"/>
    <mergeCell ref="A30:G30"/>
    <mergeCell ref="A24:B24"/>
    <mergeCell ref="C24:G24"/>
    <mergeCell ref="A25:J25"/>
    <mergeCell ref="A26:B26"/>
    <mergeCell ref="C26:G26"/>
    <mergeCell ref="A27:B27"/>
    <mergeCell ref="C27:G27"/>
  </mergeCells>
  <pageMargins left="0.70866141732283472" right="0" top="0.94488188976377963" bottom="0.55118110236220474" header="0" footer="0"/>
  <pageSetup scale="85" orientation="portrait"/>
  <headerFooter>
    <oddHeader>&amp;RПисьмо-запрос на модификацию. Обновлено в марте 2015 года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opLeftCell="A7" zoomScale="110" zoomScaleNormal="110" workbookViewId="0">
      <selection activeCell="B13" sqref="B13"/>
    </sheetView>
  </sheetViews>
  <sheetFormatPr defaultRowHeight="14.4"/>
  <cols>
    <col min="2" max="2" width="80.44140625" customWidth="1"/>
    <col min="3" max="3" width="17.33203125" customWidth="1"/>
    <col min="4" max="4" width="12.5546875" bestFit="1" customWidth="1"/>
    <col min="5" max="5" width="8.6640625" customWidth="1"/>
    <col min="6" max="6" width="15.88671875" customWidth="1"/>
    <col min="7" max="7" width="11.33203125" customWidth="1"/>
    <col min="8" max="8" width="16.6640625" bestFit="1" customWidth="1"/>
    <col min="9" max="9" width="13.6640625" customWidth="1"/>
    <col min="10" max="10" width="13.44140625" customWidth="1"/>
  </cols>
  <sheetData>
    <row r="1" spans="1:10">
      <c r="C1">
        <v>1</v>
      </c>
      <c r="D1">
        <v>2</v>
      </c>
      <c r="E1">
        <v>3</v>
      </c>
    </row>
    <row r="2" spans="1:10">
      <c r="B2" s="27" t="s">
        <v>98</v>
      </c>
      <c r="C2" s="28">
        <v>17150</v>
      </c>
      <c r="D2" s="28">
        <v>17300</v>
      </c>
      <c r="E2" s="28">
        <v>17500</v>
      </c>
    </row>
    <row r="3" spans="1:10">
      <c r="B3" s="27" t="s">
        <v>97</v>
      </c>
      <c r="C3" s="27">
        <f>C2-C6</f>
        <v>15850</v>
      </c>
      <c r="D3" s="27">
        <f>D2-D6</f>
        <v>16000</v>
      </c>
      <c r="E3" s="27">
        <f>E2-E6</f>
        <v>16200</v>
      </c>
      <c r="F3">
        <f>C3/150</f>
        <v>105.66666666666667</v>
      </c>
      <c r="G3">
        <f>D3/150</f>
        <v>106.66666666666667</v>
      </c>
      <c r="H3">
        <f>E3/150</f>
        <v>108</v>
      </c>
      <c r="J3">
        <f>C3/87</f>
        <v>182.18390804597701</v>
      </c>
    </row>
    <row r="4" spans="1:10">
      <c r="B4" s="27" t="s">
        <v>71</v>
      </c>
      <c r="C4" s="28">
        <f>C3*80%</f>
        <v>12680</v>
      </c>
      <c r="D4" s="28">
        <f>D3*70%</f>
        <v>11200</v>
      </c>
      <c r="E4" s="28">
        <f>E3*70%</f>
        <v>11340</v>
      </c>
      <c r="F4">
        <f>C4/150</f>
        <v>84.533333333333331</v>
      </c>
    </row>
    <row r="5" spans="1:10">
      <c r="B5" s="27" t="s">
        <v>72</v>
      </c>
      <c r="C5" s="28">
        <f>C3*20%</f>
        <v>3170</v>
      </c>
      <c r="D5" s="28">
        <f>D3*30%</f>
        <v>4800</v>
      </c>
      <c r="E5" s="28">
        <f>E3*30%</f>
        <v>4860</v>
      </c>
      <c r="F5">
        <f>C5/150</f>
        <v>21.133333333333333</v>
      </c>
      <c r="G5">
        <f>F5/5</f>
        <v>4.2266666666666666</v>
      </c>
      <c r="I5">
        <f>C3/75</f>
        <v>211.33333333333334</v>
      </c>
    </row>
    <row r="6" spans="1:10">
      <c r="B6" s="27" t="s">
        <v>73</v>
      </c>
      <c r="C6" s="28">
        <v>1300</v>
      </c>
      <c r="D6" s="28">
        <v>1300</v>
      </c>
      <c r="E6" s="28">
        <v>1300</v>
      </c>
    </row>
    <row r="7" spans="1:10">
      <c r="B7" s="162" t="s">
        <v>389</v>
      </c>
    </row>
    <row r="8" spans="1:10" ht="21.75" customHeight="1">
      <c r="B8" s="19"/>
      <c r="C8" s="23" t="s">
        <v>84</v>
      </c>
      <c r="D8" s="24">
        <v>0.17</v>
      </c>
      <c r="E8" s="25" t="s">
        <v>3</v>
      </c>
      <c r="F8" s="23" t="s">
        <v>75</v>
      </c>
      <c r="G8" s="23" t="s">
        <v>76</v>
      </c>
      <c r="H8" s="23" t="s">
        <v>77</v>
      </c>
      <c r="I8" s="23" t="s">
        <v>78</v>
      </c>
    </row>
    <row r="9" spans="1:10">
      <c r="A9">
        <v>1</v>
      </c>
      <c r="B9" s="23" t="s">
        <v>74</v>
      </c>
      <c r="C9" s="185">
        <v>500</v>
      </c>
      <c r="D9">
        <f t="shared" ref="D9:D14" si="0">C9*$D$8</f>
        <v>85</v>
      </c>
      <c r="E9">
        <v>1</v>
      </c>
      <c r="F9">
        <f t="shared" ref="F9:F13" si="1">(C9+D9)*E9*12</f>
        <v>7020</v>
      </c>
      <c r="G9">
        <f t="shared" ref="G9:G19" si="2">F9</f>
        <v>7020</v>
      </c>
      <c r="H9">
        <f t="shared" ref="H9:H15" si="3">F9</f>
        <v>7020</v>
      </c>
      <c r="I9">
        <f t="shared" ref="I9:I19" si="4">F9+G9+H9</f>
        <v>21060</v>
      </c>
    </row>
    <row r="10" spans="1:10">
      <c r="B10" s="23" t="s">
        <v>79</v>
      </c>
      <c r="C10" s="185">
        <v>350</v>
      </c>
      <c r="D10">
        <f t="shared" si="0"/>
        <v>59.500000000000007</v>
      </c>
      <c r="E10">
        <v>1</v>
      </c>
      <c r="F10">
        <f t="shared" si="1"/>
        <v>4914</v>
      </c>
      <c r="G10">
        <f t="shared" si="2"/>
        <v>4914</v>
      </c>
      <c r="H10">
        <f t="shared" si="3"/>
        <v>4914</v>
      </c>
      <c r="I10">
        <f t="shared" si="4"/>
        <v>14742</v>
      </c>
    </row>
    <row r="11" spans="1:10">
      <c r="B11" s="23" t="s">
        <v>80</v>
      </c>
      <c r="C11" s="185">
        <v>350</v>
      </c>
      <c r="D11">
        <f t="shared" si="0"/>
        <v>59.500000000000007</v>
      </c>
      <c r="E11">
        <v>1</v>
      </c>
      <c r="F11">
        <f t="shared" si="1"/>
        <v>4914</v>
      </c>
      <c r="G11">
        <f t="shared" si="2"/>
        <v>4914</v>
      </c>
      <c r="H11">
        <f t="shared" si="3"/>
        <v>4914</v>
      </c>
      <c r="I11">
        <f t="shared" si="4"/>
        <v>14742</v>
      </c>
    </row>
    <row r="12" spans="1:10">
      <c r="B12" s="23" t="s">
        <v>81</v>
      </c>
      <c r="C12" s="185">
        <v>350</v>
      </c>
      <c r="D12">
        <f t="shared" si="0"/>
        <v>59.500000000000007</v>
      </c>
      <c r="E12">
        <v>2</v>
      </c>
      <c r="F12">
        <f t="shared" si="1"/>
        <v>9828</v>
      </c>
      <c r="G12">
        <f t="shared" si="2"/>
        <v>9828</v>
      </c>
      <c r="H12">
        <f t="shared" si="3"/>
        <v>9828</v>
      </c>
      <c r="I12">
        <f t="shared" si="4"/>
        <v>29484</v>
      </c>
    </row>
    <row r="13" spans="1:10">
      <c r="B13" s="23" t="s">
        <v>82</v>
      </c>
      <c r="C13" s="185">
        <v>280</v>
      </c>
      <c r="D13">
        <f t="shared" si="0"/>
        <v>47.6</v>
      </c>
      <c r="E13">
        <v>1</v>
      </c>
      <c r="F13">
        <f t="shared" si="1"/>
        <v>3931.2000000000003</v>
      </c>
      <c r="G13">
        <f t="shared" si="2"/>
        <v>3931.2000000000003</v>
      </c>
      <c r="H13">
        <f t="shared" si="3"/>
        <v>3931.2000000000003</v>
      </c>
      <c r="I13">
        <f t="shared" si="4"/>
        <v>11793.6</v>
      </c>
    </row>
    <row r="14" spans="1:10" s="185" customFormat="1">
      <c r="B14" s="189" t="s">
        <v>99</v>
      </c>
      <c r="C14" s="189">
        <v>180</v>
      </c>
      <c r="D14" s="189">
        <f t="shared" si="0"/>
        <v>30.6</v>
      </c>
      <c r="E14" s="189">
        <v>20</v>
      </c>
      <c r="F14" s="189">
        <f>(C14+D14)*E14*12</f>
        <v>50544</v>
      </c>
      <c r="G14" s="189">
        <f t="shared" si="2"/>
        <v>50544</v>
      </c>
      <c r="H14" s="189">
        <f t="shared" si="3"/>
        <v>50544</v>
      </c>
      <c r="I14" s="189">
        <f t="shared" si="4"/>
        <v>151632</v>
      </c>
    </row>
    <row r="15" spans="1:10">
      <c r="B15" s="23" t="s">
        <v>83</v>
      </c>
      <c r="C15" s="189">
        <v>30</v>
      </c>
      <c r="F15">
        <f>C15*12</f>
        <v>360</v>
      </c>
      <c r="G15">
        <f t="shared" si="2"/>
        <v>360</v>
      </c>
      <c r="H15">
        <f t="shared" si="3"/>
        <v>360</v>
      </c>
      <c r="I15">
        <f t="shared" si="4"/>
        <v>1080</v>
      </c>
    </row>
    <row r="16" spans="1:10">
      <c r="B16" s="23" t="s">
        <v>85</v>
      </c>
      <c r="C16">
        <v>30</v>
      </c>
      <c r="F16">
        <f>C16*12</f>
        <v>360</v>
      </c>
      <c r="G16">
        <f t="shared" ref="G16" si="5">F16</f>
        <v>360</v>
      </c>
      <c r="H16">
        <f t="shared" ref="H16" si="6">F16</f>
        <v>360</v>
      </c>
      <c r="I16">
        <f t="shared" si="4"/>
        <v>1080</v>
      </c>
    </row>
    <row r="17" spans="1:15">
      <c r="B17" s="23" t="s">
        <v>86</v>
      </c>
      <c r="C17">
        <v>700</v>
      </c>
      <c r="E17">
        <v>1</v>
      </c>
      <c r="F17">
        <f>C17*E17*12</f>
        <v>8400</v>
      </c>
      <c r="G17">
        <f t="shared" si="2"/>
        <v>8400</v>
      </c>
      <c r="H17">
        <f>G17</f>
        <v>8400</v>
      </c>
      <c r="I17">
        <f t="shared" si="4"/>
        <v>25200</v>
      </c>
    </row>
    <row r="18" spans="1:15">
      <c r="B18" s="23" t="s">
        <v>87</v>
      </c>
      <c r="C18">
        <v>30</v>
      </c>
      <c r="F18">
        <f>C18*12</f>
        <v>360</v>
      </c>
      <c r="G18">
        <f t="shared" si="2"/>
        <v>360</v>
      </c>
      <c r="H18">
        <f>F18</f>
        <v>360</v>
      </c>
      <c r="I18">
        <f t="shared" si="4"/>
        <v>1080</v>
      </c>
    </row>
    <row r="19" spans="1:15">
      <c r="B19" s="23" t="s">
        <v>88</v>
      </c>
      <c r="C19">
        <v>30</v>
      </c>
      <c r="F19">
        <f>C19*12</f>
        <v>360</v>
      </c>
      <c r="G19">
        <f t="shared" si="2"/>
        <v>360</v>
      </c>
      <c r="H19">
        <f>F19</f>
        <v>360</v>
      </c>
      <c r="I19">
        <f t="shared" si="4"/>
        <v>1080</v>
      </c>
    </row>
    <row r="20" spans="1:15">
      <c r="B20" s="23" t="s">
        <v>89</v>
      </c>
      <c r="C20">
        <v>5</v>
      </c>
      <c r="E20">
        <v>7</v>
      </c>
      <c r="F20">
        <f>C20*E20*12</f>
        <v>420</v>
      </c>
      <c r="G20">
        <f>F20</f>
        <v>420</v>
      </c>
      <c r="H20">
        <f>G20</f>
        <v>420</v>
      </c>
      <c r="I20">
        <f>F20+G20+H20</f>
        <v>1260</v>
      </c>
    </row>
    <row r="21" spans="1:15" s="31" customFormat="1">
      <c r="B21" s="31" t="s">
        <v>872</v>
      </c>
      <c r="F21" s="31">
        <f>SUM(F9:F20)</f>
        <v>91411.199999999997</v>
      </c>
      <c r="G21" s="31">
        <f>SUM(G9:G20)</f>
        <v>91411.199999999997</v>
      </c>
      <c r="H21" s="31">
        <f>SUM(H9:H20)</f>
        <v>91411.199999999997</v>
      </c>
      <c r="I21" s="31">
        <f>SUM(I9:I20)</f>
        <v>274233.59999999998</v>
      </c>
      <c r="J21" s="31">
        <f>I21*3+I22+I23</f>
        <v>919997.99999999988</v>
      </c>
      <c r="O21" s="31">
        <v>2186</v>
      </c>
    </row>
    <row r="22" spans="1:15" s="31" customFormat="1">
      <c r="B22" s="35" t="s">
        <v>140</v>
      </c>
      <c r="C22">
        <v>180</v>
      </c>
      <c r="D22">
        <f t="shared" ref="D22:D23" si="7">C22*$D$8</f>
        <v>30.6</v>
      </c>
      <c r="E22">
        <v>7</v>
      </c>
      <c r="F22">
        <f t="shared" ref="F22:F23" si="8">(C22+D22)*E22*12</f>
        <v>17690.400000000001</v>
      </c>
      <c r="G22">
        <f t="shared" ref="G22:G23" si="9">F22</f>
        <v>17690.400000000001</v>
      </c>
      <c r="H22">
        <f t="shared" ref="H22:H23" si="10">F22</f>
        <v>17690.400000000001</v>
      </c>
      <c r="I22">
        <f t="shared" ref="I22:I23" si="11">F22+G22+H22</f>
        <v>53071.200000000004</v>
      </c>
    </row>
    <row r="23" spans="1:15" s="37" customFormat="1">
      <c r="B23" s="38" t="s">
        <v>141</v>
      </c>
      <c r="C23" s="36">
        <v>350</v>
      </c>
      <c r="D23" s="36">
        <f t="shared" si="7"/>
        <v>59.500000000000007</v>
      </c>
      <c r="E23" s="36">
        <v>3</v>
      </c>
      <c r="F23" s="36">
        <f t="shared" si="8"/>
        <v>14742</v>
      </c>
      <c r="G23" s="36">
        <f t="shared" si="9"/>
        <v>14742</v>
      </c>
      <c r="H23" s="36">
        <f t="shared" si="10"/>
        <v>14742</v>
      </c>
      <c r="I23" s="36">
        <f t="shared" si="11"/>
        <v>44226</v>
      </c>
    </row>
    <row r="24" spans="1:15" s="31" customFormat="1">
      <c r="B24" s="23"/>
      <c r="C24"/>
      <c r="D24"/>
      <c r="E24"/>
      <c r="F24"/>
      <c r="G24"/>
      <c r="H24"/>
      <c r="I24"/>
    </row>
    <row r="25" spans="1:15" s="31" customFormat="1">
      <c r="B25" s="23"/>
      <c r="C25"/>
      <c r="D25"/>
      <c r="E25"/>
      <c r="F25"/>
      <c r="G25"/>
      <c r="H25"/>
      <c r="I25"/>
      <c r="J25" s="31" t="s">
        <v>150</v>
      </c>
      <c r="K25" s="31" t="s">
        <v>151</v>
      </c>
      <c r="O25" s="31" t="s">
        <v>392</v>
      </c>
    </row>
    <row r="26" spans="1:15" s="507" customFormat="1">
      <c r="B26" s="551"/>
      <c r="F26" s="507">
        <f>$C$26*C5</f>
        <v>0</v>
      </c>
      <c r="G26" s="507">
        <f>$C$26*D5</f>
        <v>0</v>
      </c>
      <c r="H26" s="507">
        <f>$C$26*E5</f>
        <v>0</v>
      </c>
      <c r="I26" s="507">
        <f>F26+G26+H26</f>
        <v>0</v>
      </c>
      <c r="K26" s="507">
        <v>1</v>
      </c>
      <c r="L26" s="507">
        <v>10</v>
      </c>
      <c r="M26" s="507">
        <v>2</v>
      </c>
      <c r="N26" s="507">
        <v>5</v>
      </c>
    </row>
    <row r="27" spans="1:15">
      <c r="B27" s="728" t="s">
        <v>873</v>
      </c>
      <c r="C27" s="185">
        <f>K29+L29+M29+N29+J27*2+O28*12</f>
        <v>0.47649374999999994</v>
      </c>
      <c r="F27">
        <f>C2*$C$27*12</f>
        <v>98062.413749999978</v>
      </c>
      <c r="G27">
        <f>D2*$C$27*12</f>
        <v>98920.102499999979</v>
      </c>
      <c r="H27">
        <f>E2*$C$27*12</f>
        <v>100063.68749999997</v>
      </c>
      <c r="I27">
        <f>F27+G27+H27</f>
        <v>297046.20374999993</v>
      </c>
      <c r="J27">
        <f>4.447/144</f>
        <v>3.0881944444444445E-2</v>
      </c>
      <c r="K27" s="24">
        <v>0.15</v>
      </c>
      <c r="L27" s="24">
        <v>0.15</v>
      </c>
      <c r="M27" s="24">
        <v>0.35</v>
      </c>
      <c r="N27" s="24">
        <v>0.35</v>
      </c>
    </row>
    <row r="28" spans="1:15">
      <c r="B28" s="35"/>
      <c r="K28">
        <f>113.62/3600</f>
        <v>3.1561111111111109E-2</v>
      </c>
      <c r="L28">
        <f>69.31/1600</f>
        <v>4.3318750000000003E-2</v>
      </c>
      <c r="M28">
        <f>70.31/2700</f>
        <v>2.6040740740740743E-2</v>
      </c>
      <c r="N28">
        <f>65.38/2400</f>
        <v>2.7241666666666664E-2</v>
      </c>
      <c r="O28">
        <f>46.8/10000</f>
        <v>4.6800000000000001E-3</v>
      </c>
    </row>
    <row r="29" spans="1:15" s="31" customFormat="1">
      <c r="B29" s="31" t="s">
        <v>91</v>
      </c>
      <c r="I29" s="184">
        <f>SUM(I26:I27)</f>
        <v>297046.20374999993</v>
      </c>
      <c r="J29" s="31">
        <v>578430.87674995232</v>
      </c>
      <c r="K29" s="31">
        <f>12*K27*K28</f>
        <v>5.6809999999999992E-2</v>
      </c>
      <c r="L29" s="31">
        <f t="shared" ref="L29:N29" si="12">12*L27*L28</f>
        <v>7.7973749999999994E-2</v>
      </c>
      <c r="M29" s="31">
        <f t="shared" si="12"/>
        <v>0.1093711111111111</v>
      </c>
      <c r="N29" s="31">
        <f t="shared" si="12"/>
        <v>0.11441499999999998</v>
      </c>
    </row>
    <row r="30" spans="1:15">
      <c r="A30">
        <v>3</v>
      </c>
      <c r="B30" s="23" t="s">
        <v>90</v>
      </c>
      <c r="C30">
        <v>10</v>
      </c>
      <c r="E30">
        <v>50</v>
      </c>
      <c r="F30">
        <f>C30*E30</f>
        <v>500</v>
      </c>
      <c r="G30">
        <f>F30</f>
        <v>500</v>
      </c>
      <c r="H30">
        <f>G30</f>
        <v>500</v>
      </c>
      <c r="I30">
        <f>F30+G30+H30</f>
        <v>1500</v>
      </c>
    </row>
    <row r="31" spans="1:15" s="31" customFormat="1">
      <c r="B31" s="31" t="s">
        <v>92</v>
      </c>
      <c r="F31" s="31">
        <f>SUM(F30:F30)</f>
        <v>500</v>
      </c>
      <c r="G31" s="31">
        <f>SUM(G30:G30)</f>
        <v>500</v>
      </c>
      <c r="H31" s="31">
        <f>SUM(H30:H30)</f>
        <v>500</v>
      </c>
      <c r="I31" s="31">
        <f>SUM(I30:I30)</f>
        <v>1500</v>
      </c>
    </row>
    <row r="32" spans="1:15" s="31" customFormat="1">
      <c r="A32" s="31">
        <v>4</v>
      </c>
    </row>
    <row r="34" spans="1:14" ht="43.2">
      <c r="A34">
        <v>5</v>
      </c>
      <c r="B34" s="26" t="s">
        <v>93</v>
      </c>
      <c r="C34">
        <v>30</v>
      </c>
      <c r="E34">
        <v>40</v>
      </c>
      <c r="F34">
        <f>C34*E34</f>
        <v>1200</v>
      </c>
      <c r="G34">
        <f t="shared" ref="G34:H37" si="13">F34</f>
        <v>1200</v>
      </c>
      <c r="H34">
        <f t="shared" si="13"/>
        <v>1200</v>
      </c>
      <c r="I34">
        <f t="shared" ref="I34:I37" si="14">F34+G34+H34</f>
        <v>3600</v>
      </c>
    </row>
    <row r="35" spans="1:14" ht="28.8">
      <c r="B35" s="26" t="s">
        <v>94</v>
      </c>
      <c r="C35">
        <v>30</v>
      </c>
      <c r="E35">
        <v>40</v>
      </c>
      <c r="F35">
        <f>C35*E35</f>
        <v>1200</v>
      </c>
      <c r="G35">
        <f t="shared" si="13"/>
        <v>1200</v>
      </c>
      <c r="H35">
        <f t="shared" si="13"/>
        <v>1200</v>
      </c>
      <c r="I35">
        <f t="shared" si="14"/>
        <v>3600</v>
      </c>
    </row>
    <row r="36" spans="1:14">
      <c r="B36" s="26" t="s">
        <v>95</v>
      </c>
      <c r="C36">
        <v>35</v>
      </c>
      <c r="E36">
        <v>120</v>
      </c>
      <c r="F36">
        <f>C36*E36</f>
        <v>4200</v>
      </c>
      <c r="G36">
        <f t="shared" si="13"/>
        <v>4200</v>
      </c>
      <c r="H36">
        <f t="shared" si="13"/>
        <v>4200</v>
      </c>
      <c r="I36">
        <f t="shared" si="14"/>
        <v>12600</v>
      </c>
    </row>
    <row r="37" spans="1:14">
      <c r="B37" s="26" t="s">
        <v>96</v>
      </c>
      <c r="C37">
        <v>2</v>
      </c>
      <c r="E37">
        <f>15*4</f>
        <v>60</v>
      </c>
      <c r="F37">
        <f>C37*E37</f>
        <v>120</v>
      </c>
      <c r="G37">
        <f t="shared" si="13"/>
        <v>120</v>
      </c>
      <c r="H37">
        <f t="shared" si="13"/>
        <v>120</v>
      </c>
      <c r="I37">
        <f t="shared" si="14"/>
        <v>360</v>
      </c>
      <c r="M37" s="39"/>
      <c r="N37" s="185"/>
    </row>
    <row r="38" spans="1:14" s="30" customFormat="1">
      <c r="B38" s="32" t="s">
        <v>92</v>
      </c>
      <c r="I38" s="30">
        <f>SUM(I34:I37)</f>
        <v>20160</v>
      </c>
    </row>
    <row r="39" spans="1:14" s="36" customFormat="1">
      <c r="A39" s="36">
        <v>6</v>
      </c>
      <c r="B39" s="729" t="s">
        <v>874</v>
      </c>
      <c r="C39" s="36">
        <f>7.98/10</f>
        <v>0.79800000000000004</v>
      </c>
      <c r="F39" s="36">
        <f>C2*$C$39</f>
        <v>13685.7</v>
      </c>
      <c r="G39" s="36">
        <f>D2*$C$39</f>
        <v>13805.400000000001</v>
      </c>
      <c r="H39" s="36">
        <f>E2*$C$39</f>
        <v>13965</v>
      </c>
      <c r="I39" s="36">
        <f>F39+G39+H39</f>
        <v>41456.100000000006</v>
      </c>
    </row>
    <row r="40" spans="1:14" ht="27.6">
      <c r="A40">
        <v>7</v>
      </c>
      <c r="B40" s="20" t="s">
        <v>57</v>
      </c>
    </row>
    <row r="41" spans="1:14" s="30" customFormat="1">
      <c r="B41" s="32" t="s">
        <v>102</v>
      </c>
      <c r="C41" s="509">
        <v>120</v>
      </c>
      <c r="D41" s="509"/>
      <c r="E41" s="509">
        <v>50</v>
      </c>
      <c r="F41" s="509">
        <f>C41*E41</f>
        <v>6000</v>
      </c>
      <c r="G41" s="509">
        <f>F41</f>
        <v>6000</v>
      </c>
      <c r="H41" s="509">
        <f>G41</f>
        <v>6000</v>
      </c>
      <c r="I41" s="509">
        <f>F41+G41+H41</f>
        <v>18000</v>
      </c>
    </row>
    <row r="42" spans="1:14" s="30" customFormat="1">
      <c r="B42" s="32" t="s">
        <v>100</v>
      </c>
      <c r="C42" s="509">
        <v>20</v>
      </c>
      <c r="D42" s="509"/>
      <c r="E42" s="509">
        <v>100</v>
      </c>
      <c r="F42" s="509">
        <f>C42*E42</f>
        <v>2000</v>
      </c>
      <c r="G42" s="509">
        <f t="shared" ref="G42:H44" si="15">F42</f>
        <v>2000</v>
      </c>
      <c r="H42" s="509">
        <f t="shared" si="15"/>
        <v>2000</v>
      </c>
      <c r="I42" s="509">
        <f>F42+G42+H42</f>
        <v>6000</v>
      </c>
    </row>
    <row r="43" spans="1:14" s="30" customFormat="1">
      <c r="B43" s="186" t="s">
        <v>101</v>
      </c>
      <c r="C43" s="510">
        <v>40</v>
      </c>
      <c r="D43" s="510"/>
      <c r="E43" s="510">
        <v>12</v>
      </c>
      <c r="F43" s="510">
        <f>C43*E43</f>
        <v>480</v>
      </c>
      <c r="G43" s="510">
        <f t="shared" si="15"/>
        <v>480</v>
      </c>
      <c r="H43" s="510">
        <f t="shared" si="15"/>
        <v>480</v>
      </c>
      <c r="I43" s="510">
        <f>F43+G43+H43</f>
        <v>1440</v>
      </c>
      <c r="J43" s="186" t="s">
        <v>453</v>
      </c>
    </row>
    <row r="44" spans="1:14" s="30" customFormat="1">
      <c r="B44" s="32" t="s">
        <v>103</v>
      </c>
      <c r="C44" s="509">
        <v>40</v>
      </c>
      <c r="D44" s="509"/>
      <c r="E44" s="509">
        <v>4</v>
      </c>
      <c r="F44" s="509">
        <f>C44*E44</f>
        <v>160</v>
      </c>
      <c r="G44" s="509">
        <f t="shared" si="15"/>
        <v>160</v>
      </c>
      <c r="H44" s="509">
        <f t="shared" si="15"/>
        <v>160</v>
      </c>
      <c r="I44" s="509">
        <f>F44+G44+H44</f>
        <v>480</v>
      </c>
    </row>
    <row r="45" spans="1:14" s="185" customFormat="1">
      <c r="B45" s="208" t="s">
        <v>152</v>
      </c>
      <c r="C45" s="511">
        <v>136</v>
      </c>
      <c r="D45" s="511">
        <f t="shared" ref="D45" si="16">C45*$D$8</f>
        <v>23.12</v>
      </c>
      <c r="E45" s="511">
        <v>2</v>
      </c>
      <c r="F45" s="511">
        <f t="shared" ref="F45" si="17">(C45+D45)*E45*12</f>
        <v>3818.88</v>
      </c>
      <c r="G45" s="511">
        <f t="shared" ref="G45" si="18">F45</f>
        <v>3818.88</v>
      </c>
      <c r="H45" s="511">
        <f t="shared" ref="H45" si="19">F45</f>
        <v>3818.88</v>
      </c>
      <c r="I45" s="508">
        <f t="shared" ref="I45" si="20">F45+G45+H45</f>
        <v>11456.64</v>
      </c>
    </row>
    <row r="46" spans="1:14">
      <c r="B46" s="23" t="s">
        <v>106</v>
      </c>
      <c r="C46" s="508"/>
      <c r="D46" s="508"/>
      <c r="E46" s="508"/>
      <c r="F46" s="508"/>
      <c r="G46" s="508"/>
      <c r="H46" s="508"/>
      <c r="I46" s="508"/>
    </row>
    <row r="47" spans="1:14">
      <c r="B47" s="23" t="s">
        <v>104</v>
      </c>
      <c r="C47" s="508">
        <v>3</v>
      </c>
      <c r="D47" s="508"/>
      <c r="E47" s="508">
        <f>12*20</f>
        <v>240</v>
      </c>
      <c r="F47" s="508">
        <f t="shared" ref="F47:F49" si="21">C47*E47</f>
        <v>720</v>
      </c>
      <c r="G47" s="508">
        <f>F47</f>
        <v>720</v>
      </c>
      <c r="H47" s="508">
        <f>G47</f>
        <v>720</v>
      </c>
      <c r="I47" s="508">
        <f t="shared" ref="I47:I49" si="22">F47+G47+H47</f>
        <v>2160</v>
      </c>
    </row>
    <row r="48" spans="1:14" ht="43.2">
      <c r="A48" s="654" t="s">
        <v>846</v>
      </c>
      <c r="B48" s="23" t="s">
        <v>105</v>
      </c>
      <c r="C48" s="508">
        <v>1000</v>
      </c>
      <c r="D48" s="508"/>
      <c r="E48" s="508">
        <v>10</v>
      </c>
      <c r="F48" s="508">
        <f t="shared" si="21"/>
        <v>10000</v>
      </c>
      <c r="G48" s="508"/>
      <c r="H48" s="508"/>
      <c r="I48" s="508">
        <f t="shared" si="22"/>
        <v>10000</v>
      </c>
    </row>
    <row r="49" spans="1:9" ht="43.2">
      <c r="A49" s="654" t="s">
        <v>846</v>
      </c>
      <c r="B49" s="23" t="s">
        <v>108</v>
      </c>
      <c r="C49" s="508">
        <v>150</v>
      </c>
      <c r="D49" s="508"/>
      <c r="E49" s="508">
        <v>100</v>
      </c>
      <c r="F49" s="508">
        <f t="shared" si="21"/>
        <v>15000</v>
      </c>
      <c r="G49" s="508"/>
      <c r="H49" s="508"/>
      <c r="I49" s="508">
        <f t="shared" si="22"/>
        <v>15000</v>
      </c>
    </row>
    <row r="50" spans="1:9" ht="15.6">
      <c r="B50" s="95" t="s">
        <v>502</v>
      </c>
      <c r="C50" s="508">
        <f>(РЦПН!S9+РЦПН!S10)/83.4</f>
        <v>1438.8489208633093</v>
      </c>
      <c r="D50" s="508"/>
      <c r="E50" s="508">
        <v>1</v>
      </c>
      <c r="F50" s="508">
        <f t="shared" ref="F50:F51" si="23">C50*E50</f>
        <v>1438.8489208633093</v>
      </c>
      <c r="G50" s="508">
        <f t="shared" ref="G50:H53" si="24">F50</f>
        <v>1438.8489208633093</v>
      </c>
      <c r="H50" s="508">
        <f t="shared" si="24"/>
        <v>1438.8489208633093</v>
      </c>
      <c r="I50" s="508">
        <f t="shared" ref="I50" si="25">F50+G50+H50</f>
        <v>4316.5467625899282</v>
      </c>
    </row>
    <row r="51" spans="1:9" ht="15.6">
      <c r="B51" s="95" t="s">
        <v>262</v>
      </c>
      <c r="C51" s="508">
        <f>(РЦПН!S17+РЦПН!S16+РЦПН!S15+РЦПН!S14+РЦПН!S13+РЦПН!S12+РЦПН!S11)/83.4</f>
        <v>9874.4633093525172</v>
      </c>
      <c r="D51" s="508"/>
      <c r="E51" s="508">
        <v>1</v>
      </c>
      <c r="F51" s="508">
        <f t="shared" si="23"/>
        <v>9874.4633093525172</v>
      </c>
      <c r="G51" s="508">
        <f t="shared" si="24"/>
        <v>9874.4633093525172</v>
      </c>
      <c r="H51" s="508">
        <f t="shared" si="24"/>
        <v>9874.4633093525172</v>
      </c>
      <c r="I51" s="508">
        <f t="shared" ref="I51" si="26">F51+G51+H51</f>
        <v>29623.38992805755</v>
      </c>
    </row>
    <row r="52" spans="1:9" ht="15.6">
      <c r="B52" s="95" t="s">
        <v>263</v>
      </c>
      <c r="C52" s="508">
        <f>SUM(РЦПН!S18:S40)/83.4</f>
        <v>18484.316546762588</v>
      </c>
      <c r="D52" s="508"/>
      <c r="E52" s="508">
        <v>1</v>
      </c>
      <c r="F52" s="508">
        <f t="shared" ref="F52:F53" si="27">C52*E52</f>
        <v>18484.316546762588</v>
      </c>
      <c r="G52" s="508">
        <f t="shared" si="24"/>
        <v>18484.316546762588</v>
      </c>
      <c r="H52" s="508">
        <f t="shared" si="24"/>
        <v>18484.316546762588</v>
      </c>
      <c r="I52" s="508">
        <f t="shared" ref="I52:I53" si="28">F52+G52+H52</f>
        <v>55452.949640287763</v>
      </c>
    </row>
    <row r="53" spans="1:9" ht="15.6">
      <c r="B53" s="95" t="s">
        <v>264</v>
      </c>
      <c r="C53" s="508">
        <f>SUM(РЦПН!S41:S56)/83.4+SUM(РЦПН!S63:S80)/83.4</f>
        <v>47573.572014388483</v>
      </c>
      <c r="D53" s="508"/>
      <c r="E53" s="508">
        <v>1</v>
      </c>
      <c r="F53" s="508">
        <f t="shared" si="27"/>
        <v>47573.572014388483</v>
      </c>
      <c r="G53" s="508">
        <f t="shared" si="24"/>
        <v>47573.572014388483</v>
      </c>
      <c r="H53" s="508">
        <f t="shared" si="24"/>
        <v>47573.572014388483</v>
      </c>
      <c r="I53" s="508">
        <f t="shared" si="28"/>
        <v>142720.71604316545</v>
      </c>
    </row>
    <row r="54" spans="1:9" ht="15.6">
      <c r="B54" s="95" t="s">
        <v>265</v>
      </c>
      <c r="C54" s="508">
        <f>SUM(РЦПН!S57:S62)/83.4</f>
        <v>4388.4892086330929</v>
      </c>
      <c r="D54" s="508"/>
      <c r="E54" s="508">
        <v>1</v>
      </c>
      <c r="F54" s="508">
        <f t="shared" ref="F54" si="29">C54*E54</f>
        <v>4388.4892086330929</v>
      </c>
      <c r="G54" s="508">
        <f t="shared" ref="G54:H55" si="30">F54</f>
        <v>4388.4892086330929</v>
      </c>
      <c r="H54" s="508">
        <f t="shared" si="30"/>
        <v>4388.4892086330929</v>
      </c>
      <c r="I54" s="508">
        <f t="shared" ref="I54" si="31">F54+G54+H54</f>
        <v>13165.467625899279</v>
      </c>
    </row>
    <row r="55" spans="1:9" s="552" customFormat="1" ht="43.2">
      <c r="A55" s="654" t="s">
        <v>846</v>
      </c>
      <c r="B55" s="553" t="s">
        <v>804</v>
      </c>
      <c r="C55" s="554">
        <f>123000/40*120%*30</f>
        <v>110700</v>
      </c>
      <c r="D55" s="554"/>
      <c r="E55" s="554">
        <v>1</v>
      </c>
      <c r="F55" s="554">
        <f t="shared" ref="F55" si="32">C55*E55</f>
        <v>110700</v>
      </c>
      <c r="G55" s="554">
        <f t="shared" si="30"/>
        <v>110700</v>
      </c>
      <c r="H55" s="554">
        <f t="shared" si="30"/>
        <v>110700</v>
      </c>
      <c r="I55" s="554">
        <f t="shared" ref="I55" si="33">F55+G55+H55</f>
        <v>332100</v>
      </c>
    </row>
    <row r="56" spans="1:9" ht="43.2">
      <c r="A56" s="654" t="s">
        <v>846</v>
      </c>
      <c r="B56" s="95" t="s">
        <v>266</v>
      </c>
      <c r="C56" s="508">
        <v>350000</v>
      </c>
      <c r="D56" s="508"/>
      <c r="E56" s="508">
        <v>1</v>
      </c>
      <c r="F56" s="508">
        <f t="shared" ref="F56" si="34">C56*E56</f>
        <v>350000</v>
      </c>
      <c r="G56" s="508"/>
      <c r="H56" s="508"/>
      <c r="I56" s="508">
        <f t="shared" ref="I56:I57" si="35">F56+G56+H56</f>
        <v>350000</v>
      </c>
    </row>
    <row r="57" spans="1:9" ht="43.2">
      <c r="A57" s="654" t="s">
        <v>846</v>
      </c>
      <c r="B57" s="95" t="s">
        <v>267</v>
      </c>
      <c r="C57" s="508">
        <f>19500/30</f>
        <v>650</v>
      </c>
      <c r="D57" s="508"/>
      <c r="E57" s="508">
        <v>30</v>
      </c>
      <c r="F57" s="508">
        <f>C57*E57</f>
        <v>19500</v>
      </c>
      <c r="G57" s="508"/>
      <c r="H57" s="508"/>
      <c r="I57" s="508">
        <f t="shared" si="35"/>
        <v>19500</v>
      </c>
    </row>
    <row r="58" spans="1:9" s="552" customFormat="1" ht="43.2">
      <c r="A58" s="654" t="s">
        <v>846</v>
      </c>
      <c r="B58" s="553" t="s">
        <v>268</v>
      </c>
      <c r="C58" s="554">
        <f>32</f>
        <v>32</v>
      </c>
      <c r="D58" s="554"/>
      <c r="E58" s="554">
        <v>140</v>
      </c>
      <c r="F58" s="554">
        <f>C58*E58</f>
        <v>4480</v>
      </c>
      <c r="G58" s="554">
        <f>F58</f>
        <v>4480</v>
      </c>
      <c r="H58" s="554">
        <f>G58</f>
        <v>4480</v>
      </c>
      <c r="I58" s="554">
        <f t="shared" ref="I58" si="36">F58+G58+H58</f>
        <v>13440</v>
      </c>
    </row>
    <row r="59" spans="1:9" s="552" customFormat="1" ht="43.2">
      <c r="A59" s="654" t="s">
        <v>846</v>
      </c>
      <c r="B59" s="553" t="s">
        <v>269</v>
      </c>
      <c r="C59" s="554">
        <f>32</f>
        <v>32</v>
      </c>
      <c r="D59" s="554"/>
      <c r="E59" s="554">
        <v>420</v>
      </c>
      <c r="F59" s="554">
        <f>C59*E59</f>
        <v>13440</v>
      </c>
      <c r="G59" s="554">
        <f t="shared" ref="G59:H62" si="37">F59</f>
        <v>13440</v>
      </c>
      <c r="H59" s="554">
        <f t="shared" si="37"/>
        <v>13440</v>
      </c>
      <c r="I59" s="554">
        <f>F59+G59+H59</f>
        <v>40320</v>
      </c>
    </row>
    <row r="60" spans="1:9" s="552" customFormat="1" ht="43.2">
      <c r="A60" s="654" t="s">
        <v>846</v>
      </c>
      <c r="B60" s="553" t="s">
        <v>270</v>
      </c>
      <c r="C60" s="554">
        <f>2.8</f>
        <v>2.8</v>
      </c>
      <c r="D60" s="554"/>
      <c r="E60" s="554">
        <v>230</v>
      </c>
      <c r="F60" s="554">
        <f t="shared" ref="F60:F61" si="38">C60*E60</f>
        <v>644</v>
      </c>
      <c r="G60" s="554">
        <f t="shared" si="37"/>
        <v>644</v>
      </c>
      <c r="H60" s="554">
        <f t="shared" si="37"/>
        <v>644</v>
      </c>
      <c r="I60" s="554">
        <f t="shared" ref="I60:I61" si="39">F60+G60+H60</f>
        <v>1932</v>
      </c>
    </row>
    <row r="61" spans="1:9" ht="43.2">
      <c r="A61" s="654" t="s">
        <v>846</v>
      </c>
      <c r="B61" s="95" t="s">
        <v>271</v>
      </c>
      <c r="C61" s="508">
        <f>15.2</f>
        <v>15.2</v>
      </c>
      <c r="D61" s="508"/>
      <c r="E61" s="508">
        <v>2000</v>
      </c>
      <c r="F61" s="508">
        <f t="shared" si="38"/>
        <v>30400</v>
      </c>
      <c r="G61" s="508">
        <f t="shared" si="37"/>
        <v>30400</v>
      </c>
      <c r="H61" s="508">
        <f t="shared" si="37"/>
        <v>30400</v>
      </c>
      <c r="I61" s="508">
        <f t="shared" si="39"/>
        <v>91200</v>
      </c>
    </row>
    <row r="62" spans="1:9" ht="31.2">
      <c r="B62" s="95" t="s">
        <v>272</v>
      </c>
      <c r="C62" s="508">
        <v>4500</v>
      </c>
      <c r="D62" s="508"/>
      <c r="E62" s="508">
        <v>2</v>
      </c>
      <c r="F62" s="508">
        <f t="shared" ref="F62" si="40">C62*E62</f>
        <v>9000</v>
      </c>
      <c r="G62" s="508">
        <f t="shared" si="37"/>
        <v>9000</v>
      </c>
      <c r="H62" s="508">
        <f t="shared" si="37"/>
        <v>9000</v>
      </c>
      <c r="I62" s="508">
        <f t="shared" ref="I62" si="41">F62+G62+H62</f>
        <v>27000</v>
      </c>
    </row>
    <row r="63" spans="1:9" ht="15.6">
      <c r="B63" s="47"/>
    </row>
    <row r="64" spans="1:9" ht="15.6">
      <c r="B64" s="47"/>
    </row>
    <row r="67" spans="1:9" s="30" customFormat="1">
      <c r="A67" s="32"/>
      <c r="B67" s="32"/>
      <c r="I67" s="30">
        <f>SUM(I45:I62)</f>
        <v>1159387.71</v>
      </c>
    </row>
    <row r="68" spans="1:9" ht="27.6">
      <c r="A68" s="23">
        <v>8</v>
      </c>
      <c r="B68" s="20" t="s">
        <v>58</v>
      </c>
    </row>
    <row r="69" spans="1:9">
      <c r="B69" s="23" t="s">
        <v>117</v>
      </c>
      <c r="C69">
        <v>1200</v>
      </c>
      <c r="E69">
        <v>2</v>
      </c>
      <c r="F69">
        <f>C69*E69</f>
        <v>2400</v>
      </c>
      <c r="I69">
        <f>F69+G69+H69</f>
        <v>2400</v>
      </c>
    </row>
    <row r="70" spans="1:9">
      <c r="B70" s="23" t="s">
        <v>116</v>
      </c>
      <c r="C70">
        <v>262</v>
      </c>
      <c r="E70">
        <v>1</v>
      </c>
      <c r="F70">
        <f>C70*E70</f>
        <v>262</v>
      </c>
      <c r="I70">
        <f>F70+G70+H70</f>
        <v>262</v>
      </c>
    </row>
    <row r="71" spans="1:9">
      <c r="B71" s="23" t="s">
        <v>118</v>
      </c>
      <c r="C71">
        <v>1500</v>
      </c>
      <c r="E71">
        <v>3</v>
      </c>
      <c r="F71">
        <f t="shared" ref="F71:F76" si="42">C71*E71</f>
        <v>4500</v>
      </c>
      <c r="I71">
        <f t="shared" ref="I71:I76" si="43">F71+G71+H71</f>
        <v>4500</v>
      </c>
    </row>
    <row r="72" spans="1:9">
      <c r="B72" s="23" t="s">
        <v>119</v>
      </c>
      <c r="C72">
        <v>2500</v>
      </c>
      <c r="E72">
        <v>1</v>
      </c>
      <c r="F72">
        <f t="shared" si="42"/>
        <v>2500</v>
      </c>
      <c r="I72">
        <f t="shared" si="43"/>
        <v>2500</v>
      </c>
    </row>
    <row r="73" spans="1:9">
      <c r="B73" s="23" t="s">
        <v>120</v>
      </c>
      <c r="C73" s="29">
        <f>3*2000+200*350/84+200*600/84+5*100*4</f>
        <v>10261.904761904761</v>
      </c>
      <c r="E73">
        <v>1</v>
      </c>
      <c r="F73" s="29">
        <f t="shared" si="42"/>
        <v>10261.904761904761</v>
      </c>
      <c r="I73" s="29">
        <f t="shared" si="43"/>
        <v>10261.904761904761</v>
      </c>
    </row>
    <row r="74" spans="1:9">
      <c r="B74" s="23" t="s">
        <v>121</v>
      </c>
      <c r="C74">
        <v>2500</v>
      </c>
      <c r="E74">
        <v>1</v>
      </c>
      <c r="F74">
        <f t="shared" si="42"/>
        <v>2500</v>
      </c>
      <c r="I74">
        <f t="shared" si="43"/>
        <v>2500</v>
      </c>
    </row>
    <row r="75" spans="1:9">
      <c r="B75" t="s">
        <v>122</v>
      </c>
      <c r="C75">
        <v>700</v>
      </c>
      <c r="E75">
        <v>2</v>
      </c>
      <c r="F75">
        <f t="shared" si="42"/>
        <v>1400</v>
      </c>
      <c r="I75">
        <f t="shared" si="43"/>
        <v>1400</v>
      </c>
    </row>
    <row r="76" spans="1:9">
      <c r="B76" s="23" t="s">
        <v>123</v>
      </c>
      <c r="C76">
        <v>6000</v>
      </c>
      <c r="E76">
        <v>1</v>
      </c>
      <c r="F76">
        <f t="shared" si="42"/>
        <v>6000</v>
      </c>
      <c r="I76">
        <f t="shared" si="43"/>
        <v>6000</v>
      </c>
    </row>
    <row r="77" spans="1:9" s="30" customFormat="1">
      <c r="B77" s="32"/>
      <c r="I77" s="30">
        <f>SUM(I69:I76)</f>
        <v>29823.904761904763</v>
      </c>
    </row>
    <row r="78" spans="1:9">
      <c r="A78">
        <v>9</v>
      </c>
      <c r="B78" s="189" t="s">
        <v>139</v>
      </c>
      <c r="C78" s="189"/>
      <c r="D78" s="189"/>
      <c r="E78" s="189"/>
      <c r="F78" s="189"/>
      <c r="G78" s="189"/>
      <c r="H78" s="189"/>
      <c r="I78" s="189"/>
    </row>
    <row r="79" spans="1:9">
      <c r="B79" s="189" t="s">
        <v>74</v>
      </c>
      <c r="C79" s="185">
        <v>480</v>
      </c>
      <c r="D79" s="189">
        <f>C79*$D$8</f>
        <v>81.600000000000009</v>
      </c>
      <c r="E79" s="189">
        <v>1</v>
      </c>
      <c r="F79" s="189">
        <f>(C79+D79)*E79*12</f>
        <v>6739.2000000000007</v>
      </c>
      <c r="G79" s="189">
        <f>F79</f>
        <v>6739.2000000000007</v>
      </c>
      <c r="H79" s="189">
        <f>F79</f>
        <v>6739.2000000000007</v>
      </c>
      <c r="I79" s="189">
        <f t="shared" ref="I79:I85" si="44">F79+G79+H79</f>
        <v>20217.600000000002</v>
      </c>
    </row>
    <row r="80" spans="1:9">
      <c r="B80" s="189" t="s">
        <v>79</v>
      </c>
      <c r="C80" s="185">
        <v>330</v>
      </c>
      <c r="D80" s="189">
        <f>C80*$D$8</f>
        <v>56.1</v>
      </c>
      <c r="E80" s="189">
        <v>1</v>
      </c>
      <c r="F80" s="189">
        <f>(C80+D80)*E80*12</f>
        <v>4633.2000000000007</v>
      </c>
      <c r="G80" s="189">
        <f>F80</f>
        <v>4633.2000000000007</v>
      </c>
      <c r="H80" s="189">
        <f>F80</f>
        <v>4633.2000000000007</v>
      </c>
      <c r="I80" s="189">
        <f t="shared" si="44"/>
        <v>13899.600000000002</v>
      </c>
    </row>
    <row r="81" spans="2:13">
      <c r="B81" s="185" t="s">
        <v>80</v>
      </c>
      <c r="C81" s="185">
        <v>330</v>
      </c>
      <c r="D81" s="189">
        <f>C81*$D$8</f>
        <v>56.1</v>
      </c>
      <c r="E81" s="189">
        <v>1</v>
      </c>
      <c r="F81" s="189">
        <f>(C81+D81)*E81*12</f>
        <v>4633.2000000000007</v>
      </c>
      <c r="G81" s="189">
        <f>F81</f>
        <v>4633.2000000000007</v>
      </c>
      <c r="H81" s="189">
        <f>F81</f>
        <v>4633.2000000000007</v>
      </c>
      <c r="I81" s="189">
        <f t="shared" si="44"/>
        <v>13899.600000000002</v>
      </c>
    </row>
    <row r="82" spans="2:13">
      <c r="B82" s="189" t="s">
        <v>81</v>
      </c>
      <c r="C82" s="185">
        <v>330</v>
      </c>
      <c r="D82" s="189">
        <f>C82*$D$8</f>
        <v>56.1</v>
      </c>
      <c r="E82" s="189">
        <v>3</v>
      </c>
      <c r="F82" s="189">
        <f>(C82+D82)*E82*12</f>
        <v>13899.600000000002</v>
      </c>
      <c r="G82" s="189">
        <f>F82</f>
        <v>13899.600000000002</v>
      </c>
      <c r="H82" s="189">
        <f>F82</f>
        <v>13899.600000000002</v>
      </c>
      <c r="I82" s="189">
        <f t="shared" si="44"/>
        <v>41698.800000000003</v>
      </c>
    </row>
    <row r="83" spans="2:13">
      <c r="B83" s="23" t="s">
        <v>124</v>
      </c>
      <c r="C83">
        <v>5000</v>
      </c>
      <c r="E83">
        <v>1</v>
      </c>
      <c r="F83">
        <f>C83*E83</f>
        <v>5000</v>
      </c>
      <c r="I83">
        <f t="shared" si="44"/>
        <v>5000</v>
      </c>
    </row>
    <row r="84" spans="2:13">
      <c r="B84" s="23" t="s">
        <v>125</v>
      </c>
      <c r="C84">
        <v>2.5</v>
      </c>
      <c r="E84">
        <f>10*365</f>
        <v>3650</v>
      </c>
      <c r="F84">
        <f>E84*C84</f>
        <v>9125</v>
      </c>
      <c r="G84">
        <f t="shared" ref="G84:H85" si="45">F84</f>
        <v>9125</v>
      </c>
      <c r="H84">
        <f t="shared" si="45"/>
        <v>9125</v>
      </c>
      <c r="I84">
        <f t="shared" si="44"/>
        <v>27375</v>
      </c>
    </row>
    <row r="85" spans="2:13">
      <c r="B85" s="23" t="s">
        <v>126</v>
      </c>
      <c r="C85">
        <v>100</v>
      </c>
      <c r="E85">
        <v>12</v>
      </c>
      <c r="F85">
        <f>E85*C85</f>
        <v>1200</v>
      </c>
      <c r="G85">
        <f t="shared" si="45"/>
        <v>1200</v>
      </c>
      <c r="H85">
        <f t="shared" si="45"/>
        <v>1200</v>
      </c>
      <c r="I85">
        <f t="shared" si="44"/>
        <v>3600</v>
      </c>
    </row>
    <row r="86" spans="2:13">
      <c r="B86" s="23" t="s">
        <v>83</v>
      </c>
      <c r="C86">
        <v>30</v>
      </c>
      <c r="F86">
        <f>C86*12</f>
        <v>360</v>
      </c>
      <c r="G86">
        <f>F86</f>
        <v>360</v>
      </c>
      <c r="H86">
        <f>F86</f>
        <v>360</v>
      </c>
      <c r="I86">
        <f t="shared" ref="I86:I89" si="46">F86+G86+H86</f>
        <v>1080</v>
      </c>
    </row>
    <row r="87" spans="2:13">
      <c r="B87" s="185" t="s">
        <v>86</v>
      </c>
      <c r="C87" s="185">
        <v>1000</v>
      </c>
      <c r="D87" s="185"/>
      <c r="E87" s="185">
        <v>1</v>
      </c>
      <c r="F87" s="185">
        <f>C87*E87*12</f>
        <v>12000</v>
      </c>
      <c r="G87" s="185">
        <f>F87</f>
        <v>12000</v>
      </c>
      <c r="H87" s="185">
        <f>G87</f>
        <v>12000</v>
      </c>
      <c r="I87" s="185">
        <f t="shared" si="46"/>
        <v>36000</v>
      </c>
    </row>
    <row r="88" spans="2:13">
      <c r="B88" s="23" t="s">
        <v>87</v>
      </c>
      <c r="C88">
        <v>40</v>
      </c>
      <c r="F88">
        <f>C88*12</f>
        <v>480</v>
      </c>
      <c r="G88">
        <f>F88</f>
        <v>480</v>
      </c>
      <c r="H88">
        <f>F88</f>
        <v>480</v>
      </c>
      <c r="I88">
        <f t="shared" si="46"/>
        <v>1440</v>
      </c>
    </row>
    <row r="89" spans="2:13">
      <c r="B89" s="23" t="s">
        <v>88</v>
      </c>
      <c r="C89">
        <v>30</v>
      </c>
      <c r="F89">
        <f>C89*12</f>
        <v>360</v>
      </c>
      <c r="G89">
        <f>F89</f>
        <v>360</v>
      </c>
      <c r="H89">
        <f>F89</f>
        <v>360</v>
      </c>
      <c r="I89">
        <f t="shared" si="46"/>
        <v>1080</v>
      </c>
    </row>
    <row r="90" spans="2:13" s="30" customFormat="1">
      <c r="B90" s="184" t="s">
        <v>142</v>
      </c>
      <c r="C90" s="31"/>
      <c r="D90" s="31"/>
      <c r="E90" s="31"/>
      <c r="F90" s="31">
        <f>SUM(F79:F89)</f>
        <v>58430.200000000004</v>
      </c>
      <c r="G90" s="31">
        <f>SUM(G79:G89)</f>
        <v>53430.200000000004</v>
      </c>
      <c r="H90" s="31">
        <f>SUM(H79:H89)</f>
        <v>53430.200000000004</v>
      </c>
      <c r="I90" s="31">
        <f>SUM(I79:I89)</f>
        <v>165290.6</v>
      </c>
      <c r="J90" s="184">
        <f>I90</f>
        <v>165290.6</v>
      </c>
    </row>
    <row r="91" spans="2:13">
      <c r="B91" s="221"/>
      <c r="C91" s="222"/>
      <c r="D91" s="222"/>
      <c r="E91" s="222"/>
      <c r="F91" s="222"/>
      <c r="G91" s="222"/>
      <c r="H91" s="222"/>
      <c r="I91" s="222"/>
      <c r="J91" s="185"/>
      <c r="K91" s="185"/>
      <c r="L91" s="185"/>
      <c r="M91" s="216"/>
    </row>
    <row r="92" spans="2:13">
      <c r="B92" s="187" t="s">
        <v>128</v>
      </c>
      <c r="C92" s="188">
        <v>6000</v>
      </c>
      <c r="D92" s="188"/>
      <c r="E92" s="188">
        <v>1</v>
      </c>
      <c r="F92" s="188">
        <f t="shared" ref="F92:F93" si="47">C92*E92</f>
        <v>6000</v>
      </c>
      <c r="G92" s="188">
        <f>F92</f>
        <v>6000</v>
      </c>
      <c r="H92" s="188">
        <f>G92</f>
        <v>6000</v>
      </c>
      <c r="I92" s="188">
        <f t="shared" ref="I92" si="48">F92+G92+H92</f>
        <v>18000</v>
      </c>
      <c r="J92" s="185" t="s">
        <v>454</v>
      </c>
    </row>
    <row r="93" spans="2:13">
      <c r="B93" s="23" t="s">
        <v>127</v>
      </c>
      <c r="C93">
        <v>800</v>
      </c>
      <c r="E93">
        <v>1</v>
      </c>
      <c r="F93">
        <f t="shared" si="47"/>
        <v>800</v>
      </c>
      <c r="I93">
        <f t="shared" ref="I93" si="49">F93</f>
        <v>800</v>
      </c>
      <c r="J93" s="185" t="s">
        <v>454</v>
      </c>
    </row>
    <row r="94" spans="2:13">
      <c r="B94" s="23" t="s">
        <v>129</v>
      </c>
      <c r="C94">
        <v>700</v>
      </c>
      <c r="E94">
        <v>2</v>
      </c>
      <c r="F94">
        <f t="shared" ref="F94" si="50">C94*E94</f>
        <v>1400</v>
      </c>
      <c r="G94">
        <f>F94</f>
        <v>1400</v>
      </c>
      <c r="H94">
        <f>G94</f>
        <v>1400</v>
      </c>
      <c r="I94">
        <f t="shared" ref="I94" si="51">F94+G94+H94</f>
        <v>4200</v>
      </c>
      <c r="J94" s="185"/>
    </row>
    <row r="95" spans="2:13">
      <c r="B95" s="23" t="s">
        <v>130</v>
      </c>
      <c r="C95">
        <v>3400</v>
      </c>
      <c r="E95">
        <v>2</v>
      </c>
      <c r="F95">
        <v>6800</v>
      </c>
      <c r="I95">
        <v>6800</v>
      </c>
      <c r="J95" s="185" t="s">
        <v>455</v>
      </c>
    </row>
    <row r="96" spans="2:13" s="31" customFormat="1">
      <c r="I96" s="31">
        <f>SUM(I91:I95)</f>
        <v>29800</v>
      </c>
    </row>
    <row r="97" spans="2:16">
      <c r="B97" s="20"/>
    </row>
    <row r="98" spans="2:16">
      <c r="B98" s="185"/>
      <c r="J98" s="185" t="s">
        <v>456</v>
      </c>
    </row>
    <row r="99" spans="2:16" s="31" customFormat="1">
      <c r="I99" s="31">
        <f>SUM(I98:I98)</f>
        <v>0</v>
      </c>
    </row>
    <row r="101" spans="2:16">
      <c r="I101" s="162" t="s">
        <v>347</v>
      </c>
      <c r="J101" s="210" t="s">
        <v>393</v>
      </c>
      <c r="L101" s="190"/>
      <c r="M101" s="190"/>
      <c r="N101" s="190"/>
      <c r="O101" s="190"/>
      <c r="P101" s="190" t="s">
        <v>347</v>
      </c>
    </row>
    <row r="102" spans="2:16">
      <c r="G102" s="33" t="s">
        <v>131</v>
      </c>
      <c r="H102" s="163">
        <f>I99+I96+J90+I77+I39+I38+I32+I31+I29+J21+I41+I44+I43+I42</f>
        <v>1530994.8085119044</v>
      </c>
      <c r="I102" s="163">
        <f>H102-I27</f>
        <v>1233948.6047619046</v>
      </c>
      <c r="J102" s="163">
        <f>I102-I39</f>
        <v>1192492.5047619045</v>
      </c>
      <c r="K102" s="163"/>
      <c r="L102" s="190" t="s">
        <v>131</v>
      </c>
      <c r="M102" s="190">
        <v>2658525.7115118569</v>
      </c>
      <c r="N102" s="190">
        <f>M102*20/100</f>
        <v>531705.14230237145</v>
      </c>
      <c r="O102" s="190"/>
      <c r="P102" s="190">
        <v>2166584.8347619046</v>
      </c>
    </row>
    <row r="103" spans="2:16">
      <c r="G103" s="33" t="s">
        <v>132</v>
      </c>
      <c r="H103" s="163">
        <f>I67+'Модуль 1РЦПН'!I7+'Модуль 3РЦПН'!I4</f>
        <v>1238387.71</v>
      </c>
      <c r="I103" s="209"/>
      <c r="J103" s="163"/>
      <c r="L103" s="190"/>
      <c r="M103" s="190">
        <f>H103*20/100</f>
        <v>247677.54199999999</v>
      </c>
      <c r="N103" s="190"/>
      <c r="O103" s="190"/>
      <c r="P103" s="190"/>
    </row>
    <row r="104" spans="2:16">
      <c r="G104" s="210" t="s">
        <v>316</v>
      </c>
      <c r="H104">
        <f>I29</f>
        <v>297046.20374999993</v>
      </c>
      <c r="L104" s="190"/>
      <c r="M104" s="190"/>
      <c r="N104" s="190"/>
      <c r="O104" s="190"/>
      <c r="P104" s="190"/>
    </row>
    <row r="105" spans="2:16">
      <c r="G105" s="210" t="s">
        <v>394</v>
      </c>
      <c r="H105" s="163">
        <f>I39</f>
        <v>41456.100000000006</v>
      </c>
      <c r="I105" s="30">
        <f>I102/P102</f>
        <v>0.56953625122992635</v>
      </c>
      <c r="L105" s="190" t="s">
        <v>132</v>
      </c>
      <c r="M105" s="190">
        <v>1879025.1581654677</v>
      </c>
      <c r="N105" s="190"/>
      <c r="O105" s="190"/>
      <c r="P105" s="190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78"/>
  <sheetViews>
    <sheetView view="pageBreakPreview" zoomScale="55" zoomScaleNormal="60" zoomScaleSheetLayoutView="55" workbookViewId="0">
      <pane xSplit="1" topLeftCell="D1" activePane="topRight" state="frozen"/>
      <selection activeCell="A24" sqref="A24"/>
      <selection pane="topRight" activeCell="S81" sqref="S81"/>
    </sheetView>
  </sheetViews>
  <sheetFormatPr defaultColWidth="9.44140625" defaultRowHeight="15.6"/>
  <cols>
    <col min="1" max="1" width="11.88671875" style="53" customWidth="1"/>
    <col min="2" max="2" width="6.5546875" style="53" customWidth="1"/>
    <col min="3" max="3" width="13.44140625" style="86" customWidth="1"/>
    <col min="4" max="4" width="25.88671875" style="53" customWidth="1"/>
    <col min="5" max="5" width="39.6640625" style="53" customWidth="1"/>
    <col min="6" max="6" width="41.44140625" style="53" customWidth="1"/>
    <col min="7" max="7" width="16" style="53" customWidth="1"/>
    <col min="8" max="8" width="13.33203125" style="53" customWidth="1"/>
    <col min="9" max="9" width="16.44140625" style="53" customWidth="1"/>
    <col min="10" max="10" width="7.5546875" style="69" customWidth="1"/>
    <col min="11" max="11" width="10.33203125" style="69" customWidth="1"/>
    <col min="12" max="12" width="18.33203125" style="69" customWidth="1"/>
    <col min="13" max="13" width="15.44140625" style="69" customWidth="1"/>
    <col min="14" max="17" width="20.109375" style="69" customWidth="1"/>
    <col min="18" max="18" width="21.5546875" style="69" customWidth="1"/>
    <col min="19" max="19" width="19.33203125" style="52" customWidth="1"/>
    <col min="20" max="20" width="12.5546875" style="53" hidden="1" customWidth="1"/>
    <col min="21" max="24" width="0" style="53" hidden="1" customWidth="1"/>
    <col min="25" max="16384" width="9.44140625" style="53"/>
  </cols>
  <sheetData>
    <row r="1" spans="1:19" ht="15.75" customHeight="1">
      <c r="A1" s="48"/>
      <c r="B1" s="49"/>
      <c r="C1" s="50"/>
      <c r="D1" s="49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987" t="s">
        <v>154</v>
      </c>
      <c r="Q1" s="987"/>
      <c r="R1" s="987"/>
    </row>
    <row r="2" spans="1:19" ht="47.1" customHeight="1">
      <c r="A2" s="988" t="s">
        <v>155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988"/>
      <c r="M2" s="988"/>
      <c r="N2" s="988"/>
      <c r="O2" s="988"/>
      <c r="P2" s="988"/>
      <c r="Q2" s="988"/>
      <c r="R2" s="988"/>
      <c r="S2" s="988"/>
    </row>
    <row r="3" spans="1:19" s="54" customFormat="1">
      <c r="C3" s="55"/>
      <c r="S3" s="56"/>
    </row>
    <row r="4" spans="1:19" s="54" customFormat="1" ht="16.2">
      <c r="B4" s="57" t="s">
        <v>156</v>
      </c>
      <c r="C4" s="58"/>
      <c r="D4" s="59"/>
      <c r="E4" s="59"/>
      <c r="F4" s="59"/>
      <c r="G4" s="59"/>
      <c r="H4" s="59"/>
      <c r="I4" s="59"/>
      <c r="J4" s="60"/>
      <c r="K4" s="60"/>
      <c r="L4" s="60"/>
      <c r="M4" s="60"/>
      <c r="N4" s="60"/>
      <c r="O4" s="60"/>
      <c r="P4" s="60"/>
      <c r="Q4" s="60"/>
      <c r="R4" s="61"/>
      <c r="S4" s="61"/>
    </row>
    <row r="5" spans="1:19" s="54" customFormat="1" ht="31.2">
      <c r="A5" s="62" t="s">
        <v>157</v>
      </c>
      <c r="B5" s="63" t="s">
        <v>158</v>
      </c>
      <c r="C5" s="63" t="s">
        <v>159</v>
      </c>
      <c r="D5" s="63" t="s">
        <v>160</v>
      </c>
      <c r="E5" s="63" t="s">
        <v>161</v>
      </c>
      <c r="F5" s="989" t="s">
        <v>162</v>
      </c>
      <c r="G5" s="990"/>
      <c r="H5" s="990"/>
      <c r="I5" s="990"/>
      <c r="J5" s="990"/>
      <c r="K5" s="991"/>
      <c r="L5" s="64" t="s">
        <v>163</v>
      </c>
      <c r="M5" s="64" t="s">
        <v>164</v>
      </c>
      <c r="N5" s="64" t="s">
        <v>165</v>
      </c>
      <c r="O5" s="64" t="s">
        <v>166</v>
      </c>
      <c r="P5" s="64" t="s">
        <v>167</v>
      </c>
      <c r="Q5" s="64" t="s">
        <v>168</v>
      </c>
      <c r="R5" s="65" t="s">
        <v>169</v>
      </c>
      <c r="S5" s="56"/>
    </row>
    <row r="6" spans="1:19" ht="17.100000000000001" hidden="1" customHeight="1">
      <c r="B6" s="67"/>
      <c r="C6" s="68"/>
      <c r="D6" s="54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41.1" customHeight="1">
      <c r="B7" s="67" t="s">
        <v>186</v>
      </c>
      <c r="C7" s="68"/>
      <c r="D7" s="54"/>
      <c r="E7" s="67"/>
      <c r="F7" s="67"/>
      <c r="G7" s="67"/>
      <c r="H7" s="67"/>
      <c r="I7" s="67"/>
      <c r="J7" s="67"/>
      <c r="K7" s="67"/>
      <c r="L7" s="67"/>
      <c r="M7" s="67"/>
      <c r="N7" s="70"/>
      <c r="O7" s="67"/>
      <c r="P7" s="67"/>
      <c r="R7" s="67"/>
      <c r="S7" s="70"/>
    </row>
    <row r="8" spans="1:19" s="69" customFormat="1" ht="31.2">
      <c r="A8" s="62" t="s">
        <v>157</v>
      </c>
      <c r="B8" s="71" t="s">
        <v>158</v>
      </c>
      <c r="C8" s="63" t="s">
        <v>159</v>
      </c>
      <c r="D8" s="72" t="s">
        <v>162</v>
      </c>
      <c r="E8" s="72" t="s">
        <v>187</v>
      </c>
      <c r="F8" s="72" t="s">
        <v>163</v>
      </c>
      <c r="G8" s="72" t="s">
        <v>3</v>
      </c>
      <c r="H8" s="72" t="s">
        <v>164</v>
      </c>
      <c r="I8" s="72" t="s">
        <v>165</v>
      </c>
      <c r="J8" s="72" t="s">
        <v>3</v>
      </c>
      <c r="K8" s="72" t="s">
        <v>164</v>
      </c>
      <c r="L8" s="72" t="s">
        <v>166</v>
      </c>
      <c r="M8" s="72" t="s">
        <v>3</v>
      </c>
      <c r="N8" s="72" t="s">
        <v>164</v>
      </c>
      <c r="O8" s="72" t="s">
        <v>167</v>
      </c>
      <c r="P8" s="64" t="s">
        <v>3</v>
      </c>
      <c r="Q8" s="64" t="s">
        <v>164</v>
      </c>
      <c r="R8" s="64" t="s">
        <v>188</v>
      </c>
      <c r="S8" s="64" t="s">
        <v>189</v>
      </c>
    </row>
    <row r="9" spans="1:19" s="73" customFormat="1" ht="42.75" customHeight="1">
      <c r="A9" s="77" t="s">
        <v>170</v>
      </c>
      <c r="B9" s="78">
        <v>1</v>
      </c>
      <c r="C9" s="79" t="s">
        <v>182</v>
      </c>
      <c r="D9" s="80" t="s">
        <v>183</v>
      </c>
      <c r="E9" s="81" t="s">
        <v>153</v>
      </c>
      <c r="F9" s="75">
        <v>10000</v>
      </c>
      <c r="G9" s="74">
        <v>0</v>
      </c>
      <c r="H9" s="74">
        <v>3</v>
      </c>
      <c r="I9" s="75">
        <f>F9*G9*H9</f>
        <v>0</v>
      </c>
      <c r="J9" s="74">
        <v>1</v>
      </c>
      <c r="K9" s="74">
        <v>2</v>
      </c>
      <c r="L9" s="75">
        <f>F9*J9*K9</f>
        <v>20000</v>
      </c>
      <c r="M9" s="74">
        <v>1</v>
      </c>
      <c r="N9" s="74">
        <v>2</v>
      </c>
      <c r="O9" s="75">
        <f>F9*M9*N9</f>
        <v>20000</v>
      </c>
      <c r="P9" s="82">
        <v>1</v>
      </c>
      <c r="Q9" s="82">
        <v>2</v>
      </c>
      <c r="R9" s="75">
        <f>F9*P9*Q9</f>
        <v>20000</v>
      </c>
      <c r="S9" s="75">
        <f>I9+L9+O9+R9</f>
        <v>60000</v>
      </c>
    </row>
    <row r="10" spans="1:19" s="73" customFormat="1" ht="42.75" customHeight="1">
      <c r="A10" s="77" t="s">
        <v>170</v>
      </c>
      <c r="B10" s="78">
        <f>B9+1</f>
        <v>2</v>
      </c>
      <c r="C10" s="79" t="s">
        <v>184</v>
      </c>
      <c r="D10" s="80" t="s">
        <v>183</v>
      </c>
      <c r="E10" s="81" t="s">
        <v>190</v>
      </c>
      <c r="F10" s="75">
        <v>10000</v>
      </c>
      <c r="G10" s="74">
        <v>0</v>
      </c>
      <c r="H10" s="74">
        <v>3</v>
      </c>
      <c r="I10" s="75">
        <f>F10*G10*H10</f>
        <v>0</v>
      </c>
      <c r="J10" s="74">
        <v>1</v>
      </c>
      <c r="K10" s="74">
        <v>2</v>
      </c>
      <c r="L10" s="75">
        <f>F10*J10*K10</f>
        <v>20000</v>
      </c>
      <c r="M10" s="74">
        <v>1</v>
      </c>
      <c r="N10" s="74">
        <v>2</v>
      </c>
      <c r="O10" s="75">
        <f>F10*M10*N10</f>
        <v>20000</v>
      </c>
      <c r="P10" s="82">
        <v>1</v>
      </c>
      <c r="Q10" s="82">
        <v>2</v>
      </c>
      <c r="R10" s="75">
        <f>F10*P10*Q10</f>
        <v>20000</v>
      </c>
      <c r="S10" s="75">
        <f t="shared" ref="S10:S56" si="0">I10+L10+O10+R10</f>
        <v>60000</v>
      </c>
    </row>
    <row r="11" spans="1:19" s="76" customFormat="1" ht="69.75" customHeight="1">
      <c r="A11" s="77" t="s">
        <v>170</v>
      </c>
      <c r="B11" s="78">
        <f t="shared" ref="B11:B56" si="1">B10+1</f>
        <v>3</v>
      </c>
      <c r="C11" s="79" t="s">
        <v>177</v>
      </c>
      <c r="D11" s="80" t="s">
        <v>175</v>
      </c>
      <c r="E11" s="81" t="s">
        <v>191</v>
      </c>
      <c r="F11" s="75">
        <f>3732*90%</f>
        <v>3358.8</v>
      </c>
      <c r="G11" s="74">
        <v>2</v>
      </c>
      <c r="H11" s="74">
        <v>3</v>
      </c>
      <c r="I11" s="75">
        <f>F11*G11*H11</f>
        <v>20152.800000000003</v>
      </c>
      <c r="J11" s="74">
        <v>2</v>
      </c>
      <c r="K11" s="74">
        <v>3</v>
      </c>
      <c r="L11" s="75">
        <f>F11*J11*K11</f>
        <v>20152.800000000003</v>
      </c>
      <c r="M11" s="74">
        <v>2</v>
      </c>
      <c r="N11" s="74">
        <v>3</v>
      </c>
      <c r="O11" s="75">
        <f>F11*M11*N11</f>
        <v>20152.800000000003</v>
      </c>
      <c r="P11" s="82">
        <v>2</v>
      </c>
      <c r="Q11" s="74">
        <v>3</v>
      </c>
      <c r="R11" s="75">
        <f>F11*P11*Q11</f>
        <v>20152.800000000003</v>
      </c>
      <c r="S11" s="75">
        <f t="shared" si="0"/>
        <v>80611.200000000012</v>
      </c>
    </row>
    <row r="12" spans="1:19" s="76" customFormat="1" ht="65.25" customHeight="1">
      <c r="A12" s="77" t="s">
        <v>170</v>
      </c>
      <c r="B12" s="78">
        <f t="shared" si="1"/>
        <v>4</v>
      </c>
      <c r="C12" s="79" t="s">
        <v>177</v>
      </c>
      <c r="D12" s="80" t="s">
        <v>175</v>
      </c>
      <c r="E12" s="81" t="s">
        <v>192</v>
      </c>
      <c r="F12" s="75">
        <f>5688*90%</f>
        <v>5119.2</v>
      </c>
      <c r="G12" s="74">
        <v>5</v>
      </c>
      <c r="H12" s="74">
        <v>3</v>
      </c>
      <c r="I12" s="75">
        <f>F12*G12*H12</f>
        <v>76788</v>
      </c>
      <c r="J12" s="74">
        <v>5</v>
      </c>
      <c r="K12" s="74">
        <v>3</v>
      </c>
      <c r="L12" s="75">
        <f>F12*J12*K12</f>
        <v>76788</v>
      </c>
      <c r="M12" s="74">
        <v>5</v>
      </c>
      <c r="N12" s="74">
        <v>3</v>
      </c>
      <c r="O12" s="75">
        <f>F12*M12*N12</f>
        <v>76788</v>
      </c>
      <c r="P12" s="82">
        <v>5</v>
      </c>
      <c r="Q12" s="74">
        <v>3</v>
      </c>
      <c r="R12" s="75">
        <f>F12*P12*Q12</f>
        <v>76788</v>
      </c>
      <c r="S12" s="75">
        <f t="shared" si="0"/>
        <v>307152</v>
      </c>
    </row>
    <row r="13" spans="1:19" s="76" customFormat="1" ht="77.25" customHeight="1">
      <c r="A13" s="77" t="s">
        <v>170</v>
      </c>
      <c r="B13" s="78">
        <f t="shared" si="1"/>
        <v>5</v>
      </c>
      <c r="C13" s="79" t="s">
        <v>177</v>
      </c>
      <c r="D13" s="80" t="s">
        <v>175</v>
      </c>
      <c r="E13" s="81" t="s">
        <v>193</v>
      </c>
      <c r="F13" s="75">
        <f>7584*90%</f>
        <v>6825.6</v>
      </c>
      <c r="G13" s="74">
        <v>3</v>
      </c>
      <c r="H13" s="74">
        <v>3</v>
      </c>
      <c r="I13" s="75">
        <f>F13*G13*H13</f>
        <v>61430.400000000009</v>
      </c>
      <c r="J13" s="74">
        <v>3</v>
      </c>
      <c r="K13" s="74">
        <v>3</v>
      </c>
      <c r="L13" s="75">
        <f>F13*J13*K13</f>
        <v>61430.400000000009</v>
      </c>
      <c r="M13" s="74">
        <v>3</v>
      </c>
      <c r="N13" s="74">
        <v>3</v>
      </c>
      <c r="O13" s="75">
        <f>F13*M13*N13</f>
        <v>61430.400000000009</v>
      </c>
      <c r="P13" s="82">
        <v>3</v>
      </c>
      <c r="Q13" s="74">
        <v>3</v>
      </c>
      <c r="R13" s="75">
        <f>F13*P13*Q13</f>
        <v>61430.400000000009</v>
      </c>
      <c r="S13" s="75">
        <f t="shared" si="0"/>
        <v>245721.60000000003</v>
      </c>
    </row>
    <row r="14" spans="1:19" s="73" customFormat="1" ht="48.9" customHeight="1">
      <c r="A14" s="77" t="s">
        <v>170</v>
      </c>
      <c r="B14" s="78">
        <f t="shared" si="1"/>
        <v>6</v>
      </c>
      <c r="C14" s="79" t="s">
        <v>177</v>
      </c>
      <c r="D14" s="80" t="s">
        <v>175</v>
      </c>
      <c r="E14" s="81" t="s">
        <v>836</v>
      </c>
      <c r="F14" s="75"/>
      <c r="G14" s="74"/>
      <c r="H14" s="74"/>
      <c r="I14" s="75">
        <f>SUM(I11:I13)*17%</f>
        <v>26923.104000000003</v>
      </c>
      <c r="J14" s="74"/>
      <c r="K14" s="74"/>
      <c r="L14" s="75">
        <f>SUM(L11:L13)*17%</f>
        <v>26923.104000000003</v>
      </c>
      <c r="M14" s="74"/>
      <c r="N14" s="74"/>
      <c r="O14" s="75">
        <f>SUM(O11:O13)*17%</f>
        <v>26923.104000000003</v>
      </c>
      <c r="P14" s="82"/>
      <c r="Q14" s="74"/>
      <c r="R14" s="75">
        <f>SUM(R11:R13)*17%</f>
        <v>26923.104000000003</v>
      </c>
      <c r="S14" s="75">
        <f t="shared" si="0"/>
        <v>107692.41600000001</v>
      </c>
    </row>
    <row r="15" spans="1:19" s="73" customFormat="1" ht="187.2">
      <c r="A15" s="77" t="s">
        <v>170</v>
      </c>
      <c r="B15" s="78">
        <f t="shared" si="1"/>
        <v>7</v>
      </c>
      <c r="C15" s="79" t="s">
        <v>177</v>
      </c>
      <c r="D15" s="80" t="s">
        <v>175</v>
      </c>
      <c r="E15" s="631" t="s">
        <v>195</v>
      </c>
      <c r="F15" s="632">
        <f>((3732*10%)*(1+17%))</f>
        <v>436.64400000000001</v>
      </c>
      <c r="G15" s="74"/>
      <c r="H15" s="74"/>
      <c r="I15" s="75"/>
      <c r="J15" s="74">
        <v>2</v>
      </c>
      <c r="K15" s="74">
        <v>3</v>
      </c>
      <c r="L15" s="75">
        <f>$F15*$J15*$K15</f>
        <v>2619.864</v>
      </c>
      <c r="M15" s="74">
        <v>2</v>
      </c>
      <c r="N15" s="74">
        <v>3</v>
      </c>
      <c r="O15" s="75">
        <f>$F15*$M15*$N15</f>
        <v>2619.864</v>
      </c>
      <c r="P15" s="82">
        <v>2</v>
      </c>
      <c r="Q15" s="74">
        <v>3</v>
      </c>
      <c r="R15" s="75">
        <f>$F15*$P15*$Q15*2</f>
        <v>5239.7280000000001</v>
      </c>
      <c r="S15" s="75">
        <f t="shared" si="0"/>
        <v>10479.456</v>
      </c>
    </row>
    <row r="16" spans="1:19" s="73" customFormat="1" ht="187.2">
      <c r="A16" s="77" t="s">
        <v>170</v>
      </c>
      <c r="B16" s="78">
        <f t="shared" si="1"/>
        <v>8</v>
      </c>
      <c r="C16" s="79" t="s">
        <v>177</v>
      </c>
      <c r="D16" s="80" t="s">
        <v>175</v>
      </c>
      <c r="E16" s="631" t="s">
        <v>196</v>
      </c>
      <c r="F16" s="632">
        <f>((5688*10%)*(1+17%))</f>
        <v>665.49600000000009</v>
      </c>
      <c r="G16" s="74"/>
      <c r="H16" s="74"/>
      <c r="I16" s="75"/>
      <c r="J16" s="74">
        <v>5</v>
      </c>
      <c r="K16" s="74">
        <v>3</v>
      </c>
      <c r="L16" s="75">
        <f>$F16*$J16*$K16</f>
        <v>9982.4400000000023</v>
      </c>
      <c r="M16" s="74">
        <v>5</v>
      </c>
      <c r="N16" s="74">
        <v>3</v>
      </c>
      <c r="O16" s="75">
        <f>$F16*$M16*$N16</f>
        <v>9982.4400000000023</v>
      </c>
      <c r="P16" s="82">
        <v>5</v>
      </c>
      <c r="Q16" s="74">
        <v>3</v>
      </c>
      <c r="R16" s="75">
        <f>$F16*$P16*$Q16*2</f>
        <v>19964.880000000005</v>
      </c>
      <c r="S16" s="75">
        <f t="shared" si="0"/>
        <v>39929.760000000009</v>
      </c>
    </row>
    <row r="17" spans="1:19" s="73" customFormat="1" ht="165.75" customHeight="1">
      <c r="A17" s="77" t="s">
        <v>170</v>
      </c>
      <c r="B17" s="78">
        <f t="shared" si="1"/>
        <v>9</v>
      </c>
      <c r="C17" s="79" t="s">
        <v>177</v>
      </c>
      <c r="D17" s="80" t="s">
        <v>175</v>
      </c>
      <c r="E17" s="631" t="s">
        <v>197</v>
      </c>
      <c r="F17" s="632">
        <f>((7584*10%)*(1+17%))</f>
        <v>887.32800000000009</v>
      </c>
      <c r="G17" s="74"/>
      <c r="H17" s="74"/>
      <c r="I17" s="75"/>
      <c r="J17" s="74">
        <v>3</v>
      </c>
      <c r="K17" s="74">
        <v>3</v>
      </c>
      <c r="L17" s="75">
        <f>$F17*$J17*$K17</f>
        <v>7985.9520000000011</v>
      </c>
      <c r="M17" s="74">
        <v>3</v>
      </c>
      <c r="N17" s="74">
        <v>3</v>
      </c>
      <c r="O17" s="75">
        <f>$F17*$M17*$N17</f>
        <v>7985.9520000000011</v>
      </c>
      <c r="P17" s="82">
        <v>3</v>
      </c>
      <c r="Q17" s="74">
        <v>3</v>
      </c>
      <c r="R17" s="75">
        <f>$F17*$P17*$Q17*2</f>
        <v>15971.904000000002</v>
      </c>
      <c r="S17" s="75">
        <f t="shared" si="0"/>
        <v>31943.808000000005</v>
      </c>
    </row>
    <row r="18" spans="1:19" s="76" customFormat="1" ht="75.75" customHeight="1">
      <c r="A18" s="77" t="s">
        <v>170</v>
      </c>
      <c r="B18" s="78">
        <f t="shared" si="1"/>
        <v>10</v>
      </c>
      <c r="C18" s="79" t="s">
        <v>173</v>
      </c>
      <c r="D18" s="80" t="s">
        <v>174</v>
      </c>
      <c r="E18" s="81" t="s">
        <v>198</v>
      </c>
      <c r="F18" s="75">
        <f>4500*90%</f>
        <v>4050</v>
      </c>
      <c r="G18" s="74">
        <v>1</v>
      </c>
      <c r="H18" s="74">
        <v>3</v>
      </c>
      <c r="I18" s="75">
        <f t="shared" ref="I18:I28" si="2">F18*G18*H18</f>
        <v>12150</v>
      </c>
      <c r="J18" s="74">
        <v>1</v>
      </c>
      <c r="K18" s="74">
        <v>3</v>
      </c>
      <c r="L18" s="75">
        <f t="shared" ref="L18:L28" si="3">F18*J18*K18</f>
        <v>12150</v>
      </c>
      <c r="M18" s="74">
        <v>1</v>
      </c>
      <c r="N18" s="74">
        <v>3</v>
      </c>
      <c r="O18" s="75">
        <f t="shared" ref="O18:O28" si="4">F18*M18*N18</f>
        <v>12150</v>
      </c>
      <c r="P18" s="82">
        <v>1</v>
      </c>
      <c r="Q18" s="82">
        <v>3</v>
      </c>
      <c r="R18" s="75">
        <f t="shared" ref="R18:R28" si="5">F18*P18*Q18</f>
        <v>12150</v>
      </c>
      <c r="S18" s="75">
        <f t="shared" si="0"/>
        <v>48600</v>
      </c>
    </row>
    <row r="19" spans="1:19" s="76" customFormat="1" ht="60" customHeight="1">
      <c r="A19" s="77" t="s">
        <v>170</v>
      </c>
      <c r="B19" s="78">
        <f t="shared" si="1"/>
        <v>11</v>
      </c>
      <c r="C19" s="79" t="s">
        <v>173</v>
      </c>
      <c r="D19" s="80" t="s">
        <v>174</v>
      </c>
      <c r="E19" s="81" t="s">
        <v>199</v>
      </c>
      <c r="F19" s="75">
        <f>4950*90%</f>
        <v>4455</v>
      </c>
      <c r="G19" s="74">
        <v>1</v>
      </c>
      <c r="H19" s="74">
        <v>3</v>
      </c>
      <c r="I19" s="75">
        <f t="shared" si="2"/>
        <v>13365</v>
      </c>
      <c r="J19" s="74">
        <v>1</v>
      </c>
      <c r="K19" s="74">
        <v>3</v>
      </c>
      <c r="L19" s="75">
        <f t="shared" si="3"/>
        <v>13365</v>
      </c>
      <c r="M19" s="74">
        <v>1</v>
      </c>
      <c r="N19" s="74">
        <v>3</v>
      </c>
      <c r="O19" s="75">
        <f t="shared" si="4"/>
        <v>13365</v>
      </c>
      <c r="P19" s="82">
        <v>1</v>
      </c>
      <c r="Q19" s="82">
        <v>3</v>
      </c>
      <c r="R19" s="75">
        <f t="shared" si="5"/>
        <v>13365</v>
      </c>
      <c r="S19" s="75">
        <f t="shared" si="0"/>
        <v>53460</v>
      </c>
    </row>
    <row r="20" spans="1:19" s="76" customFormat="1" ht="60" customHeight="1">
      <c r="A20" s="77" t="s">
        <v>170</v>
      </c>
      <c r="B20" s="78">
        <f t="shared" si="1"/>
        <v>12</v>
      </c>
      <c r="C20" s="79" t="s">
        <v>173</v>
      </c>
      <c r="D20" s="80" t="s">
        <v>174</v>
      </c>
      <c r="E20" s="81" t="s">
        <v>200</v>
      </c>
      <c r="F20" s="75">
        <f>5400*90%</f>
        <v>4860</v>
      </c>
      <c r="G20" s="74">
        <v>1</v>
      </c>
      <c r="H20" s="74">
        <v>3</v>
      </c>
      <c r="I20" s="75">
        <f t="shared" si="2"/>
        <v>14580</v>
      </c>
      <c r="J20" s="74">
        <v>1</v>
      </c>
      <c r="K20" s="74">
        <v>3</v>
      </c>
      <c r="L20" s="75">
        <f t="shared" si="3"/>
        <v>14580</v>
      </c>
      <c r="M20" s="74">
        <v>1</v>
      </c>
      <c r="N20" s="74">
        <v>3</v>
      </c>
      <c r="O20" s="75">
        <f t="shared" si="4"/>
        <v>14580</v>
      </c>
      <c r="P20" s="82">
        <v>1</v>
      </c>
      <c r="Q20" s="82">
        <v>3</v>
      </c>
      <c r="R20" s="75">
        <f t="shared" si="5"/>
        <v>14580</v>
      </c>
      <c r="S20" s="75">
        <f t="shared" si="0"/>
        <v>58320</v>
      </c>
    </row>
    <row r="21" spans="1:19" s="76" customFormat="1" ht="60" customHeight="1">
      <c r="A21" s="77" t="s">
        <v>170</v>
      </c>
      <c r="B21" s="78">
        <f t="shared" si="1"/>
        <v>13</v>
      </c>
      <c r="C21" s="79" t="s">
        <v>173</v>
      </c>
      <c r="D21" s="80" t="s">
        <v>174</v>
      </c>
      <c r="E21" s="81" t="s">
        <v>201</v>
      </c>
      <c r="F21" s="75">
        <f>5850*90%</f>
        <v>5265</v>
      </c>
      <c r="G21" s="74">
        <v>1</v>
      </c>
      <c r="H21" s="74">
        <v>3</v>
      </c>
      <c r="I21" s="75">
        <f t="shared" si="2"/>
        <v>15795</v>
      </c>
      <c r="J21" s="74">
        <v>1</v>
      </c>
      <c r="K21" s="74">
        <v>3</v>
      </c>
      <c r="L21" s="75">
        <f t="shared" si="3"/>
        <v>15795</v>
      </c>
      <c r="M21" s="74">
        <v>1</v>
      </c>
      <c r="N21" s="74">
        <v>3</v>
      </c>
      <c r="O21" s="75">
        <f t="shared" si="4"/>
        <v>15795</v>
      </c>
      <c r="P21" s="82">
        <v>1</v>
      </c>
      <c r="Q21" s="82">
        <v>3</v>
      </c>
      <c r="R21" s="75">
        <f t="shared" si="5"/>
        <v>15795</v>
      </c>
      <c r="S21" s="75">
        <f t="shared" si="0"/>
        <v>63180</v>
      </c>
    </row>
    <row r="22" spans="1:19" s="76" customFormat="1" ht="60" customHeight="1">
      <c r="A22" s="77" t="s">
        <v>170</v>
      </c>
      <c r="B22" s="78">
        <f t="shared" si="1"/>
        <v>14</v>
      </c>
      <c r="C22" s="79" t="s">
        <v>173</v>
      </c>
      <c r="D22" s="80" t="s">
        <v>174</v>
      </c>
      <c r="E22" s="81" t="s">
        <v>202</v>
      </c>
      <c r="F22" s="75">
        <f>6300*90%</f>
        <v>5670</v>
      </c>
      <c r="G22" s="74">
        <v>1</v>
      </c>
      <c r="H22" s="74">
        <v>3</v>
      </c>
      <c r="I22" s="75">
        <f t="shared" si="2"/>
        <v>17010</v>
      </c>
      <c r="J22" s="74">
        <v>1</v>
      </c>
      <c r="K22" s="74">
        <v>3</v>
      </c>
      <c r="L22" s="75">
        <f t="shared" si="3"/>
        <v>17010</v>
      </c>
      <c r="M22" s="74">
        <v>1</v>
      </c>
      <c r="N22" s="74">
        <v>3</v>
      </c>
      <c r="O22" s="75">
        <f t="shared" si="4"/>
        <v>17010</v>
      </c>
      <c r="P22" s="82">
        <v>1</v>
      </c>
      <c r="Q22" s="82">
        <v>3</v>
      </c>
      <c r="R22" s="75">
        <f t="shared" si="5"/>
        <v>17010</v>
      </c>
      <c r="S22" s="75">
        <f t="shared" si="0"/>
        <v>68040</v>
      </c>
    </row>
    <row r="23" spans="1:19" s="76" customFormat="1" ht="60" customHeight="1">
      <c r="A23" s="77" t="s">
        <v>170</v>
      </c>
      <c r="B23" s="78">
        <f t="shared" si="1"/>
        <v>15</v>
      </c>
      <c r="C23" s="79" t="s">
        <v>173</v>
      </c>
      <c r="D23" s="80" t="s">
        <v>174</v>
      </c>
      <c r="E23" s="81" t="s">
        <v>203</v>
      </c>
      <c r="F23" s="75">
        <f>6750*90%</f>
        <v>6075</v>
      </c>
      <c r="G23" s="74">
        <v>1</v>
      </c>
      <c r="H23" s="74">
        <v>3</v>
      </c>
      <c r="I23" s="75">
        <f t="shared" si="2"/>
        <v>18225</v>
      </c>
      <c r="J23" s="74">
        <v>1</v>
      </c>
      <c r="K23" s="74">
        <v>3</v>
      </c>
      <c r="L23" s="75">
        <f t="shared" si="3"/>
        <v>18225</v>
      </c>
      <c r="M23" s="74">
        <v>1</v>
      </c>
      <c r="N23" s="74">
        <v>3</v>
      </c>
      <c r="O23" s="75">
        <f t="shared" si="4"/>
        <v>18225</v>
      </c>
      <c r="P23" s="82">
        <v>1</v>
      </c>
      <c r="Q23" s="82">
        <v>3</v>
      </c>
      <c r="R23" s="75">
        <f t="shared" si="5"/>
        <v>18225</v>
      </c>
      <c r="S23" s="75">
        <f t="shared" si="0"/>
        <v>72900</v>
      </c>
    </row>
    <row r="24" spans="1:19" s="76" customFormat="1" ht="60" customHeight="1">
      <c r="A24" s="77" t="s">
        <v>170</v>
      </c>
      <c r="B24" s="78">
        <f t="shared" si="1"/>
        <v>16</v>
      </c>
      <c r="C24" s="79" t="s">
        <v>173</v>
      </c>
      <c r="D24" s="80" t="s">
        <v>174</v>
      </c>
      <c r="E24" s="81" t="s">
        <v>204</v>
      </c>
      <c r="F24" s="75">
        <f>7200*90%</f>
        <v>6480</v>
      </c>
      <c r="G24" s="74">
        <v>1</v>
      </c>
      <c r="H24" s="74">
        <v>3</v>
      </c>
      <c r="I24" s="75">
        <f t="shared" si="2"/>
        <v>19440</v>
      </c>
      <c r="J24" s="74">
        <v>1</v>
      </c>
      <c r="K24" s="74">
        <v>3</v>
      </c>
      <c r="L24" s="75">
        <f t="shared" si="3"/>
        <v>19440</v>
      </c>
      <c r="M24" s="74">
        <v>1</v>
      </c>
      <c r="N24" s="74">
        <v>3</v>
      </c>
      <c r="O24" s="75">
        <f t="shared" si="4"/>
        <v>19440</v>
      </c>
      <c r="P24" s="82">
        <v>1</v>
      </c>
      <c r="Q24" s="82">
        <v>3</v>
      </c>
      <c r="R24" s="75">
        <f t="shared" si="5"/>
        <v>19440</v>
      </c>
      <c r="S24" s="75">
        <f t="shared" si="0"/>
        <v>77760</v>
      </c>
    </row>
    <row r="25" spans="1:19" s="76" customFormat="1" ht="60" customHeight="1">
      <c r="A25" s="77" t="s">
        <v>170</v>
      </c>
      <c r="B25" s="78">
        <f t="shared" si="1"/>
        <v>17</v>
      </c>
      <c r="C25" s="79" t="s">
        <v>173</v>
      </c>
      <c r="D25" s="80" t="s">
        <v>174</v>
      </c>
      <c r="E25" s="81" t="s">
        <v>205</v>
      </c>
      <c r="F25" s="75">
        <f>7650*90%</f>
        <v>6885</v>
      </c>
      <c r="G25" s="74">
        <v>1</v>
      </c>
      <c r="H25" s="74">
        <v>3</v>
      </c>
      <c r="I25" s="75">
        <f t="shared" si="2"/>
        <v>20655</v>
      </c>
      <c r="J25" s="74">
        <v>1</v>
      </c>
      <c r="K25" s="74">
        <v>3</v>
      </c>
      <c r="L25" s="75">
        <f t="shared" si="3"/>
        <v>20655</v>
      </c>
      <c r="M25" s="74">
        <v>1</v>
      </c>
      <c r="N25" s="74">
        <v>3</v>
      </c>
      <c r="O25" s="75">
        <f t="shared" si="4"/>
        <v>20655</v>
      </c>
      <c r="P25" s="82">
        <v>1</v>
      </c>
      <c r="Q25" s="82">
        <v>3</v>
      </c>
      <c r="R25" s="75">
        <f t="shared" si="5"/>
        <v>20655</v>
      </c>
      <c r="S25" s="75">
        <f t="shared" si="0"/>
        <v>82620</v>
      </c>
    </row>
    <row r="26" spans="1:19" s="76" customFormat="1" ht="60" customHeight="1">
      <c r="A26" s="77" t="s">
        <v>170</v>
      </c>
      <c r="B26" s="78">
        <f t="shared" si="1"/>
        <v>18</v>
      </c>
      <c r="C26" s="79" t="s">
        <v>173</v>
      </c>
      <c r="D26" s="80" t="s">
        <v>174</v>
      </c>
      <c r="E26" s="81" t="s">
        <v>206</v>
      </c>
      <c r="F26" s="75">
        <f>8100*90%</f>
        <v>7290</v>
      </c>
      <c r="G26" s="74">
        <v>1</v>
      </c>
      <c r="H26" s="74">
        <v>3</v>
      </c>
      <c r="I26" s="75">
        <f t="shared" si="2"/>
        <v>21870</v>
      </c>
      <c r="J26" s="74">
        <v>1</v>
      </c>
      <c r="K26" s="74">
        <v>3</v>
      </c>
      <c r="L26" s="75">
        <f t="shared" si="3"/>
        <v>21870</v>
      </c>
      <c r="M26" s="74">
        <v>1</v>
      </c>
      <c r="N26" s="74">
        <v>3</v>
      </c>
      <c r="O26" s="75">
        <f t="shared" si="4"/>
        <v>21870</v>
      </c>
      <c r="P26" s="82">
        <v>1</v>
      </c>
      <c r="Q26" s="82">
        <v>3</v>
      </c>
      <c r="R26" s="75">
        <f t="shared" si="5"/>
        <v>21870</v>
      </c>
      <c r="S26" s="75">
        <f t="shared" si="0"/>
        <v>87480</v>
      </c>
    </row>
    <row r="27" spans="1:19" s="76" customFormat="1" ht="60" customHeight="1">
      <c r="A27" s="77" t="s">
        <v>170</v>
      </c>
      <c r="B27" s="78">
        <f t="shared" si="1"/>
        <v>19</v>
      </c>
      <c r="C27" s="79" t="s">
        <v>173</v>
      </c>
      <c r="D27" s="80" t="s">
        <v>174</v>
      </c>
      <c r="E27" s="81" t="s">
        <v>207</v>
      </c>
      <c r="F27" s="75">
        <f>8550*90%</f>
        <v>7695</v>
      </c>
      <c r="G27" s="74">
        <v>2</v>
      </c>
      <c r="H27" s="74">
        <v>3</v>
      </c>
      <c r="I27" s="75">
        <f t="shared" si="2"/>
        <v>46170</v>
      </c>
      <c r="J27" s="74">
        <v>2</v>
      </c>
      <c r="K27" s="74">
        <v>3</v>
      </c>
      <c r="L27" s="75">
        <f t="shared" si="3"/>
        <v>46170</v>
      </c>
      <c r="M27" s="74">
        <v>2</v>
      </c>
      <c r="N27" s="74">
        <v>3</v>
      </c>
      <c r="O27" s="75">
        <f t="shared" si="4"/>
        <v>46170</v>
      </c>
      <c r="P27" s="82">
        <v>2</v>
      </c>
      <c r="Q27" s="82">
        <v>3</v>
      </c>
      <c r="R27" s="75">
        <f t="shared" si="5"/>
        <v>46170</v>
      </c>
      <c r="S27" s="75">
        <f t="shared" si="0"/>
        <v>184680</v>
      </c>
    </row>
    <row r="28" spans="1:19" s="76" customFormat="1" ht="60" customHeight="1">
      <c r="A28" s="77" t="s">
        <v>170</v>
      </c>
      <c r="B28" s="78">
        <f t="shared" si="1"/>
        <v>20</v>
      </c>
      <c r="C28" s="79" t="s">
        <v>173</v>
      </c>
      <c r="D28" s="80" t="s">
        <v>174</v>
      </c>
      <c r="E28" s="81" t="s">
        <v>208</v>
      </c>
      <c r="F28" s="75">
        <f>9000*90%</f>
        <v>8100</v>
      </c>
      <c r="G28" s="74">
        <v>4</v>
      </c>
      <c r="H28" s="74">
        <v>3</v>
      </c>
      <c r="I28" s="75">
        <f t="shared" si="2"/>
        <v>97200</v>
      </c>
      <c r="J28" s="74">
        <v>4</v>
      </c>
      <c r="K28" s="74">
        <v>3</v>
      </c>
      <c r="L28" s="75">
        <f t="shared" si="3"/>
        <v>97200</v>
      </c>
      <c r="M28" s="74">
        <v>4</v>
      </c>
      <c r="N28" s="74">
        <v>3</v>
      </c>
      <c r="O28" s="75">
        <f t="shared" si="4"/>
        <v>97200</v>
      </c>
      <c r="P28" s="82">
        <v>4</v>
      </c>
      <c r="Q28" s="82">
        <v>3</v>
      </c>
      <c r="R28" s="75">
        <f t="shared" si="5"/>
        <v>97200</v>
      </c>
      <c r="S28" s="75">
        <f t="shared" si="0"/>
        <v>388800</v>
      </c>
    </row>
    <row r="29" spans="1:19" s="73" customFormat="1" ht="34.5" customHeight="1">
      <c r="A29" s="77" t="s">
        <v>170</v>
      </c>
      <c r="B29" s="78">
        <f t="shared" si="1"/>
        <v>21</v>
      </c>
      <c r="C29" s="79" t="s">
        <v>173</v>
      </c>
      <c r="D29" s="80" t="s">
        <v>174</v>
      </c>
      <c r="E29" s="81" t="s">
        <v>836</v>
      </c>
      <c r="F29" s="75"/>
      <c r="G29" s="74"/>
      <c r="H29" s="74"/>
      <c r="I29" s="75">
        <f>SUM(I18:I28)*17%</f>
        <v>50398.200000000004</v>
      </c>
      <c r="J29" s="74"/>
      <c r="K29" s="74"/>
      <c r="L29" s="75">
        <f>SUM(L18:L28)*17%</f>
        <v>50398.200000000004</v>
      </c>
      <c r="M29" s="74"/>
      <c r="N29" s="74"/>
      <c r="O29" s="75">
        <f>SUM(O18:O28)*17%</f>
        <v>50398.200000000004</v>
      </c>
      <c r="P29" s="82"/>
      <c r="Q29" s="82"/>
      <c r="R29" s="75">
        <f>SUM(R18:R28)*17%</f>
        <v>50398.200000000004</v>
      </c>
      <c r="S29" s="75">
        <f t="shared" si="0"/>
        <v>201592.80000000002</v>
      </c>
    </row>
    <row r="30" spans="1:19" s="73" customFormat="1" ht="138" customHeight="1">
      <c r="A30" s="77" t="s">
        <v>170</v>
      </c>
      <c r="B30" s="78">
        <f t="shared" si="1"/>
        <v>22</v>
      </c>
      <c r="C30" s="79" t="s">
        <v>173</v>
      </c>
      <c r="D30" s="80" t="s">
        <v>175</v>
      </c>
      <c r="E30" s="631" t="s">
        <v>209</v>
      </c>
      <c r="F30" s="633">
        <f>((4500*10%)*(1+17%))</f>
        <v>526.5</v>
      </c>
      <c r="G30" s="74"/>
      <c r="H30" s="74"/>
      <c r="I30" s="75"/>
      <c r="J30" s="74">
        <v>1</v>
      </c>
      <c r="K30" s="74">
        <v>3</v>
      </c>
      <c r="L30" s="75">
        <f t="shared" ref="L30:L40" si="6">$F30*$J30*$K30</f>
        <v>1579.5</v>
      </c>
      <c r="M30" s="74">
        <v>1</v>
      </c>
      <c r="N30" s="74">
        <v>3</v>
      </c>
      <c r="O30" s="75">
        <f t="shared" ref="O30:O40" si="7">F30*M30*N30</f>
        <v>1579.5</v>
      </c>
      <c r="P30" s="74">
        <v>1</v>
      </c>
      <c r="Q30" s="74">
        <v>3</v>
      </c>
      <c r="R30" s="75">
        <f t="shared" ref="R30:R40" si="8">(F30*P30*Q30)*2</f>
        <v>3159</v>
      </c>
      <c r="S30" s="75">
        <f t="shared" si="0"/>
        <v>6318</v>
      </c>
    </row>
    <row r="31" spans="1:19" s="73" customFormat="1" ht="141" customHeight="1">
      <c r="A31" s="77" t="s">
        <v>170</v>
      </c>
      <c r="B31" s="78">
        <f t="shared" si="1"/>
        <v>23</v>
      </c>
      <c r="C31" s="79" t="s">
        <v>173</v>
      </c>
      <c r="D31" s="80" t="s">
        <v>175</v>
      </c>
      <c r="E31" s="631" t="s">
        <v>210</v>
      </c>
      <c r="F31" s="633">
        <f>((4950*10%)*(1+17%))</f>
        <v>579.15</v>
      </c>
      <c r="G31" s="74"/>
      <c r="H31" s="74"/>
      <c r="I31" s="75"/>
      <c r="J31" s="74">
        <v>1</v>
      </c>
      <c r="K31" s="74">
        <v>3</v>
      </c>
      <c r="L31" s="75">
        <f t="shared" si="6"/>
        <v>1737.4499999999998</v>
      </c>
      <c r="M31" s="74">
        <v>1</v>
      </c>
      <c r="N31" s="74">
        <v>3</v>
      </c>
      <c r="O31" s="75">
        <f t="shared" si="7"/>
        <v>1737.4499999999998</v>
      </c>
      <c r="P31" s="74">
        <v>1</v>
      </c>
      <c r="Q31" s="74">
        <v>3</v>
      </c>
      <c r="R31" s="75">
        <f t="shared" si="8"/>
        <v>3474.8999999999996</v>
      </c>
      <c r="S31" s="75">
        <f t="shared" si="0"/>
        <v>6949.7999999999993</v>
      </c>
    </row>
    <row r="32" spans="1:19" s="73" customFormat="1" ht="135.9" customHeight="1">
      <c r="A32" s="77" t="s">
        <v>170</v>
      </c>
      <c r="B32" s="78">
        <f t="shared" si="1"/>
        <v>24</v>
      </c>
      <c r="C32" s="79" t="s">
        <v>173</v>
      </c>
      <c r="D32" s="80" t="s">
        <v>175</v>
      </c>
      <c r="E32" s="631" t="s">
        <v>211</v>
      </c>
      <c r="F32" s="633">
        <f>((5400*10%)*(1+17%))</f>
        <v>631.79999999999995</v>
      </c>
      <c r="G32" s="74"/>
      <c r="H32" s="74"/>
      <c r="I32" s="75"/>
      <c r="J32" s="74">
        <v>1</v>
      </c>
      <c r="K32" s="74">
        <v>3</v>
      </c>
      <c r="L32" s="75">
        <f t="shared" si="6"/>
        <v>1895.3999999999999</v>
      </c>
      <c r="M32" s="74">
        <v>1</v>
      </c>
      <c r="N32" s="74">
        <v>3</v>
      </c>
      <c r="O32" s="75">
        <f t="shared" si="7"/>
        <v>1895.3999999999999</v>
      </c>
      <c r="P32" s="74">
        <v>1</v>
      </c>
      <c r="Q32" s="74">
        <v>3</v>
      </c>
      <c r="R32" s="75">
        <f t="shared" si="8"/>
        <v>3790.7999999999997</v>
      </c>
      <c r="S32" s="75">
        <f t="shared" si="0"/>
        <v>7581.5999999999995</v>
      </c>
    </row>
    <row r="33" spans="1:19" s="73" customFormat="1" ht="111.6" customHeight="1">
      <c r="A33" s="77" t="s">
        <v>170</v>
      </c>
      <c r="B33" s="78">
        <f t="shared" si="1"/>
        <v>25</v>
      </c>
      <c r="C33" s="79" t="s">
        <v>173</v>
      </c>
      <c r="D33" s="80" t="s">
        <v>175</v>
      </c>
      <c r="E33" s="631" t="s">
        <v>212</v>
      </c>
      <c r="F33" s="633">
        <f>((5850*10%)*(1+17%))</f>
        <v>684.44999999999993</v>
      </c>
      <c r="G33" s="74"/>
      <c r="H33" s="74"/>
      <c r="I33" s="75"/>
      <c r="J33" s="74">
        <v>1</v>
      </c>
      <c r="K33" s="74">
        <v>3</v>
      </c>
      <c r="L33" s="75">
        <f t="shared" si="6"/>
        <v>2053.35</v>
      </c>
      <c r="M33" s="74">
        <v>1</v>
      </c>
      <c r="N33" s="74">
        <v>3</v>
      </c>
      <c r="O33" s="75">
        <f t="shared" si="7"/>
        <v>2053.35</v>
      </c>
      <c r="P33" s="74">
        <v>1</v>
      </c>
      <c r="Q33" s="74">
        <v>3</v>
      </c>
      <c r="R33" s="75">
        <f t="shared" si="8"/>
        <v>4106.7</v>
      </c>
      <c r="S33" s="75">
        <f t="shared" si="0"/>
        <v>8213.4</v>
      </c>
    </row>
    <row r="34" spans="1:19" s="73" customFormat="1" ht="183.75" customHeight="1">
      <c r="A34" s="77" t="s">
        <v>170</v>
      </c>
      <c r="B34" s="78">
        <f t="shared" si="1"/>
        <v>26</v>
      </c>
      <c r="C34" s="79" t="s">
        <v>173</v>
      </c>
      <c r="D34" s="80" t="s">
        <v>175</v>
      </c>
      <c r="E34" s="631" t="s">
        <v>213</v>
      </c>
      <c r="F34" s="633">
        <f>((6300*10%)*(1+17%))</f>
        <v>737.09999999999991</v>
      </c>
      <c r="G34" s="74"/>
      <c r="H34" s="74"/>
      <c r="I34" s="75"/>
      <c r="J34" s="74">
        <v>1</v>
      </c>
      <c r="K34" s="74">
        <v>3</v>
      </c>
      <c r="L34" s="75">
        <f t="shared" si="6"/>
        <v>2211.2999999999997</v>
      </c>
      <c r="M34" s="74">
        <v>1</v>
      </c>
      <c r="N34" s="74">
        <v>3</v>
      </c>
      <c r="O34" s="75">
        <f t="shared" si="7"/>
        <v>2211.2999999999997</v>
      </c>
      <c r="P34" s="74">
        <v>1</v>
      </c>
      <c r="Q34" s="74">
        <v>3</v>
      </c>
      <c r="R34" s="75">
        <f t="shared" si="8"/>
        <v>4422.5999999999995</v>
      </c>
      <c r="S34" s="75">
        <f t="shared" si="0"/>
        <v>8845.1999999999989</v>
      </c>
    </row>
    <row r="35" spans="1:19" s="73" customFormat="1" ht="134.4" customHeight="1">
      <c r="A35" s="77" t="s">
        <v>170</v>
      </c>
      <c r="B35" s="78">
        <f t="shared" si="1"/>
        <v>27</v>
      </c>
      <c r="C35" s="79" t="s">
        <v>173</v>
      </c>
      <c r="D35" s="80" t="s">
        <v>175</v>
      </c>
      <c r="E35" s="631" t="s">
        <v>214</v>
      </c>
      <c r="F35" s="633">
        <f>((6750*10%)*(1+17%))</f>
        <v>789.75</v>
      </c>
      <c r="G35" s="74"/>
      <c r="H35" s="74"/>
      <c r="I35" s="75"/>
      <c r="J35" s="74">
        <v>1</v>
      </c>
      <c r="K35" s="74">
        <v>3</v>
      </c>
      <c r="L35" s="75">
        <f t="shared" si="6"/>
        <v>2369.25</v>
      </c>
      <c r="M35" s="74">
        <v>1</v>
      </c>
      <c r="N35" s="74">
        <v>3</v>
      </c>
      <c r="O35" s="75">
        <f t="shared" si="7"/>
        <v>2369.25</v>
      </c>
      <c r="P35" s="74">
        <v>1</v>
      </c>
      <c r="Q35" s="74">
        <v>3</v>
      </c>
      <c r="R35" s="75">
        <f t="shared" si="8"/>
        <v>4738.5</v>
      </c>
      <c r="S35" s="75">
        <f t="shared" si="0"/>
        <v>9477</v>
      </c>
    </row>
    <row r="36" spans="1:19" s="73" customFormat="1" ht="153.6" customHeight="1">
      <c r="A36" s="77" t="s">
        <v>170</v>
      </c>
      <c r="B36" s="78">
        <f t="shared" si="1"/>
        <v>28</v>
      </c>
      <c r="C36" s="79" t="s">
        <v>173</v>
      </c>
      <c r="D36" s="80" t="s">
        <v>175</v>
      </c>
      <c r="E36" s="631" t="s">
        <v>215</v>
      </c>
      <c r="F36" s="633">
        <f>((7200*10%)*(1+17%))</f>
        <v>842.4</v>
      </c>
      <c r="G36" s="74"/>
      <c r="H36" s="74"/>
      <c r="I36" s="75"/>
      <c r="J36" s="74">
        <v>1</v>
      </c>
      <c r="K36" s="74">
        <v>3</v>
      </c>
      <c r="L36" s="75">
        <f t="shared" si="6"/>
        <v>2527.1999999999998</v>
      </c>
      <c r="M36" s="74">
        <v>1</v>
      </c>
      <c r="N36" s="74">
        <v>3</v>
      </c>
      <c r="O36" s="75">
        <f t="shared" si="7"/>
        <v>2527.1999999999998</v>
      </c>
      <c r="P36" s="74">
        <v>1</v>
      </c>
      <c r="Q36" s="74">
        <v>3</v>
      </c>
      <c r="R36" s="75">
        <f t="shared" si="8"/>
        <v>5054.3999999999996</v>
      </c>
      <c r="S36" s="75">
        <f t="shared" si="0"/>
        <v>10108.799999999999</v>
      </c>
    </row>
    <row r="37" spans="1:19" s="73" customFormat="1" ht="218.4">
      <c r="A37" s="77" t="s">
        <v>170</v>
      </c>
      <c r="B37" s="78">
        <f t="shared" si="1"/>
        <v>29</v>
      </c>
      <c r="C37" s="79" t="s">
        <v>173</v>
      </c>
      <c r="D37" s="80" t="s">
        <v>175</v>
      </c>
      <c r="E37" s="631" t="s">
        <v>216</v>
      </c>
      <c r="F37" s="633">
        <f>((7650*10%)*(1+17%))</f>
        <v>895.05</v>
      </c>
      <c r="G37" s="74"/>
      <c r="H37" s="74"/>
      <c r="I37" s="75"/>
      <c r="J37" s="74">
        <v>1</v>
      </c>
      <c r="K37" s="74">
        <v>3</v>
      </c>
      <c r="L37" s="75">
        <f t="shared" si="6"/>
        <v>2685.1499999999996</v>
      </c>
      <c r="M37" s="74">
        <v>1</v>
      </c>
      <c r="N37" s="74">
        <v>3</v>
      </c>
      <c r="O37" s="75">
        <f t="shared" si="7"/>
        <v>2685.1499999999996</v>
      </c>
      <c r="P37" s="74">
        <v>1</v>
      </c>
      <c r="Q37" s="74">
        <v>3</v>
      </c>
      <c r="R37" s="75">
        <f t="shared" si="8"/>
        <v>5370.2999999999993</v>
      </c>
      <c r="S37" s="75">
        <f t="shared" si="0"/>
        <v>10740.599999999999</v>
      </c>
    </row>
    <row r="38" spans="1:19" s="73" customFormat="1" ht="218.4">
      <c r="A38" s="77" t="s">
        <v>170</v>
      </c>
      <c r="B38" s="78">
        <f t="shared" si="1"/>
        <v>30</v>
      </c>
      <c r="C38" s="79" t="s">
        <v>173</v>
      </c>
      <c r="D38" s="80" t="s">
        <v>175</v>
      </c>
      <c r="E38" s="631" t="s">
        <v>217</v>
      </c>
      <c r="F38" s="633">
        <f>((8100*10%)*(1+17%))</f>
        <v>947.69999999999993</v>
      </c>
      <c r="G38" s="74"/>
      <c r="H38" s="74"/>
      <c r="I38" s="75"/>
      <c r="J38" s="74">
        <v>1</v>
      </c>
      <c r="K38" s="74">
        <v>3</v>
      </c>
      <c r="L38" s="75">
        <f t="shared" si="6"/>
        <v>2843.1</v>
      </c>
      <c r="M38" s="74">
        <v>1</v>
      </c>
      <c r="N38" s="74">
        <v>3</v>
      </c>
      <c r="O38" s="75">
        <f t="shared" si="7"/>
        <v>2843.1</v>
      </c>
      <c r="P38" s="74">
        <v>1</v>
      </c>
      <c r="Q38" s="74">
        <v>3</v>
      </c>
      <c r="R38" s="75">
        <f t="shared" si="8"/>
        <v>5686.2</v>
      </c>
      <c r="S38" s="75">
        <f t="shared" si="0"/>
        <v>11372.4</v>
      </c>
    </row>
    <row r="39" spans="1:19" s="73" customFormat="1" ht="142.5" customHeight="1">
      <c r="A39" s="77" t="s">
        <v>170</v>
      </c>
      <c r="B39" s="78">
        <f t="shared" si="1"/>
        <v>31</v>
      </c>
      <c r="C39" s="79" t="s">
        <v>173</v>
      </c>
      <c r="D39" s="80" t="s">
        <v>175</v>
      </c>
      <c r="E39" s="631" t="s">
        <v>218</v>
      </c>
      <c r="F39" s="633">
        <f>((8550*10%)*(1+17%))</f>
        <v>1000.3499999999999</v>
      </c>
      <c r="G39" s="74"/>
      <c r="H39" s="74"/>
      <c r="I39" s="75"/>
      <c r="J39" s="74">
        <v>2</v>
      </c>
      <c r="K39" s="74">
        <v>3</v>
      </c>
      <c r="L39" s="75">
        <f t="shared" si="6"/>
        <v>6002.0999999999995</v>
      </c>
      <c r="M39" s="74">
        <v>2</v>
      </c>
      <c r="N39" s="74">
        <v>3</v>
      </c>
      <c r="O39" s="75">
        <f t="shared" si="7"/>
        <v>6002.0999999999995</v>
      </c>
      <c r="P39" s="74">
        <v>2</v>
      </c>
      <c r="Q39" s="74">
        <v>3</v>
      </c>
      <c r="R39" s="75">
        <f t="shared" si="8"/>
        <v>12004.199999999999</v>
      </c>
      <c r="S39" s="75">
        <f t="shared" si="0"/>
        <v>24008.399999999998</v>
      </c>
    </row>
    <row r="40" spans="1:19" s="73" customFormat="1" ht="141.9" customHeight="1">
      <c r="A40" s="77" t="s">
        <v>170</v>
      </c>
      <c r="B40" s="78">
        <f t="shared" si="1"/>
        <v>32</v>
      </c>
      <c r="C40" s="79" t="s">
        <v>173</v>
      </c>
      <c r="D40" s="80" t="s">
        <v>175</v>
      </c>
      <c r="E40" s="631" t="s">
        <v>219</v>
      </c>
      <c r="F40" s="633">
        <f>((9000*10%)*(1+17%))</f>
        <v>1053</v>
      </c>
      <c r="G40" s="74"/>
      <c r="H40" s="74"/>
      <c r="I40" s="75"/>
      <c r="J40" s="74">
        <v>4</v>
      </c>
      <c r="K40" s="74">
        <v>3</v>
      </c>
      <c r="L40" s="75">
        <f t="shared" si="6"/>
        <v>12636</v>
      </c>
      <c r="M40" s="74">
        <v>4</v>
      </c>
      <c r="N40" s="74">
        <v>3</v>
      </c>
      <c r="O40" s="75">
        <f t="shared" si="7"/>
        <v>12636</v>
      </c>
      <c r="P40" s="74">
        <v>4</v>
      </c>
      <c r="Q40" s="74">
        <v>3</v>
      </c>
      <c r="R40" s="75">
        <f t="shared" si="8"/>
        <v>25272</v>
      </c>
      <c r="S40" s="75">
        <f t="shared" si="0"/>
        <v>50544</v>
      </c>
    </row>
    <row r="41" spans="1:19" s="76" customFormat="1" ht="33" customHeight="1">
      <c r="A41" s="77" t="s">
        <v>170</v>
      </c>
      <c r="B41" s="78" t="e">
        <f>#REF!+1</f>
        <v>#REF!</v>
      </c>
      <c r="C41" s="79" t="s">
        <v>176</v>
      </c>
      <c r="D41" s="80" t="s">
        <v>175</v>
      </c>
      <c r="E41" s="81" t="s">
        <v>220</v>
      </c>
      <c r="F41" s="75">
        <f>6900*90%</f>
        <v>6210</v>
      </c>
      <c r="G41" s="74">
        <v>1</v>
      </c>
      <c r="H41" s="74">
        <v>3</v>
      </c>
      <c r="I41" s="75">
        <f t="shared" ref="I41:I47" si="9">F41*G41*H41</f>
        <v>18630</v>
      </c>
      <c r="J41" s="74">
        <v>1</v>
      </c>
      <c r="K41" s="74">
        <v>3</v>
      </c>
      <c r="L41" s="75">
        <f t="shared" ref="L41:L47" si="10">F41*J41*K41</f>
        <v>18630</v>
      </c>
      <c r="M41" s="74">
        <v>1</v>
      </c>
      <c r="N41" s="74">
        <v>3</v>
      </c>
      <c r="O41" s="75">
        <f t="shared" ref="O41:O47" si="11">F41*M41*N41</f>
        <v>18630</v>
      </c>
      <c r="P41" s="82">
        <v>1</v>
      </c>
      <c r="Q41" s="82">
        <v>3</v>
      </c>
      <c r="R41" s="75">
        <f t="shared" ref="R41:R47" si="12">F41*P41*Q41</f>
        <v>18630</v>
      </c>
      <c r="S41" s="75">
        <f t="shared" si="0"/>
        <v>74520</v>
      </c>
    </row>
    <row r="42" spans="1:19" s="76" customFormat="1" ht="75.75" customHeight="1">
      <c r="A42" s="77" t="s">
        <v>170</v>
      </c>
      <c r="B42" s="78" t="e">
        <f t="shared" si="1"/>
        <v>#REF!</v>
      </c>
      <c r="C42" s="79" t="s">
        <v>176</v>
      </c>
      <c r="D42" s="80" t="s">
        <v>175</v>
      </c>
      <c r="E42" s="76" t="s">
        <v>221</v>
      </c>
      <c r="F42" s="75">
        <f>19500*90%</f>
        <v>17550</v>
      </c>
      <c r="G42" s="74">
        <v>1</v>
      </c>
      <c r="H42" s="74">
        <v>3</v>
      </c>
      <c r="I42" s="75">
        <f t="shared" si="9"/>
        <v>52650</v>
      </c>
      <c r="J42" s="74">
        <v>1</v>
      </c>
      <c r="K42" s="74">
        <v>3</v>
      </c>
      <c r="L42" s="75">
        <f t="shared" si="10"/>
        <v>52650</v>
      </c>
      <c r="M42" s="74">
        <v>1</v>
      </c>
      <c r="N42" s="74">
        <v>3</v>
      </c>
      <c r="O42" s="75">
        <f t="shared" si="11"/>
        <v>52650</v>
      </c>
      <c r="P42" s="82">
        <v>1</v>
      </c>
      <c r="Q42" s="82">
        <v>3</v>
      </c>
      <c r="R42" s="75">
        <f t="shared" si="12"/>
        <v>52650</v>
      </c>
      <c r="S42" s="75">
        <f t="shared" si="0"/>
        <v>210600</v>
      </c>
    </row>
    <row r="43" spans="1:19" s="76" customFormat="1" ht="33" customHeight="1">
      <c r="A43" s="77" t="s">
        <v>170</v>
      </c>
      <c r="B43" s="78" t="e">
        <f>#REF!+1</f>
        <v>#REF!</v>
      </c>
      <c r="C43" s="79" t="s">
        <v>176</v>
      </c>
      <c r="D43" s="80" t="s">
        <v>175</v>
      </c>
      <c r="E43" s="81" t="s">
        <v>222</v>
      </c>
      <c r="F43" s="75">
        <v>18000</v>
      </c>
      <c r="G43" s="74">
        <v>3</v>
      </c>
      <c r="H43" s="74">
        <v>3</v>
      </c>
      <c r="I43" s="75">
        <f t="shared" si="9"/>
        <v>162000</v>
      </c>
      <c r="J43" s="74">
        <v>3</v>
      </c>
      <c r="K43" s="74">
        <v>3</v>
      </c>
      <c r="L43" s="75">
        <f t="shared" si="10"/>
        <v>162000</v>
      </c>
      <c r="M43" s="74">
        <v>3</v>
      </c>
      <c r="N43" s="74">
        <v>3</v>
      </c>
      <c r="O43" s="75">
        <f t="shared" si="11"/>
        <v>162000</v>
      </c>
      <c r="P43" s="82">
        <v>3</v>
      </c>
      <c r="Q43" s="82">
        <v>3</v>
      </c>
      <c r="R43" s="75">
        <f t="shared" si="12"/>
        <v>162000</v>
      </c>
      <c r="S43" s="75">
        <f t="shared" si="0"/>
        <v>648000</v>
      </c>
    </row>
    <row r="44" spans="1:19" s="76" customFormat="1" ht="33" customHeight="1">
      <c r="A44" s="77" t="s">
        <v>170</v>
      </c>
      <c r="B44" s="78" t="e">
        <f t="shared" si="1"/>
        <v>#REF!</v>
      </c>
      <c r="C44" s="79" t="s">
        <v>176</v>
      </c>
      <c r="D44" s="80" t="s">
        <v>175</v>
      </c>
      <c r="E44" s="81" t="s">
        <v>223</v>
      </c>
      <c r="F44" s="75">
        <v>6000</v>
      </c>
      <c r="G44" s="74">
        <v>2</v>
      </c>
      <c r="H44" s="74">
        <v>3</v>
      </c>
      <c r="I44" s="75">
        <f t="shared" si="9"/>
        <v>36000</v>
      </c>
      <c r="J44" s="74">
        <v>2</v>
      </c>
      <c r="K44" s="74">
        <v>3</v>
      </c>
      <c r="L44" s="75">
        <f t="shared" si="10"/>
        <v>36000</v>
      </c>
      <c r="M44" s="74">
        <v>2</v>
      </c>
      <c r="N44" s="74">
        <v>3</v>
      </c>
      <c r="O44" s="75">
        <f t="shared" si="11"/>
        <v>36000</v>
      </c>
      <c r="P44" s="82">
        <v>2</v>
      </c>
      <c r="Q44" s="82">
        <v>3</v>
      </c>
      <c r="R44" s="75">
        <f t="shared" si="12"/>
        <v>36000</v>
      </c>
      <c r="S44" s="75">
        <f t="shared" si="0"/>
        <v>144000</v>
      </c>
    </row>
    <row r="45" spans="1:19" s="76" customFormat="1" ht="33" customHeight="1">
      <c r="A45" s="77" t="s">
        <v>170</v>
      </c>
      <c r="B45" s="78" t="e">
        <f t="shared" si="1"/>
        <v>#REF!</v>
      </c>
      <c r="C45" s="79" t="s">
        <v>176</v>
      </c>
      <c r="D45" s="80" t="s">
        <v>175</v>
      </c>
      <c r="E45" s="81" t="s">
        <v>224</v>
      </c>
      <c r="F45" s="75">
        <f>9350*90%</f>
        <v>8415</v>
      </c>
      <c r="G45" s="74">
        <v>1</v>
      </c>
      <c r="H45" s="74">
        <v>3</v>
      </c>
      <c r="I45" s="75">
        <f t="shared" si="9"/>
        <v>25245</v>
      </c>
      <c r="J45" s="74">
        <v>1</v>
      </c>
      <c r="K45" s="74">
        <v>3</v>
      </c>
      <c r="L45" s="75">
        <f t="shared" si="10"/>
        <v>25245</v>
      </c>
      <c r="M45" s="74">
        <v>1</v>
      </c>
      <c r="N45" s="74">
        <v>3</v>
      </c>
      <c r="O45" s="75">
        <f t="shared" si="11"/>
        <v>25245</v>
      </c>
      <c r="P45" s="82">
        <v>1</v>
      </c>
      <c r="Q45" s="82">
        <v>3</v>
      </c>
      <c r="R45" s="75">
        <f t="shared" si="12"/>
        <v>25245</v>
      </c>
      <c r="S45" s="75">
        <f t="shared" si="0"/>
        <v>100980</v>
      </c>
    </row>
    <row r="46" spans="1:19" s="76" customFormat="1" ht="54" customHeight="1">
      <c r="A46" s="77" t="s">
        <v>170</v>
      </c>
      <c r="B46" s="78" t="e">
        <f t="shared" si="1"/>
        <v>#REF!</v>
      </c>
      <c r="C46" s="79" t="s">
        <v>176</v>
      </c>
      <c r="D46" s="80" t="s">
        <v>175</v>
      </c>
      <c r="E46" s="81" t="s">
        <v>225</v>
      </c>
      <c r="F46" s="75">
        <f>8060*90%</f>
        <v>7254</v>
      </c>
      <c r="G46" s="74">
        <v>1</v>
      </c>
      <c r="H46" s="74">
        <v>3</v>
      </c>
      <c r="I46" s="75">
        <f t="shared" si="9"/>
        <v>21762</v>
      </c>
      <c r="J46" s="74">
        <v>1</v>
      </c>
      <c r="K46" s="74">
        <v>3</v>
      </c>
      <c r="L46" s="75">
        <f t="shared" si="10"/>
        <v>21762</v>
      </c>
      <c r="M46" s="74">
        <v>1</v>
      </c>
      <c r="N46" s="74">
        <v>3</v>
      </c>
      <c r="O46" s="75">
        <f t="shared" si="11"/>
        <v>21762</v>
      </c>
      <c r="P46" s="82">
        <v>1</v>
      </c>
      <c r="Q46" s="82">
        <v>3</v>
      </c>
      <c r="R46" s="75">
        <f t="shared" si="12"/>
        <v>21762</v>
      </c>
      <c r="S46" s="75">
        <f t="shared" si="0"/>
        <v>87048</v>
      </c>
    </row>
    <row r="47" spans="1:19" s="76" customFormat="1" ht="31.2">
      <c r="A47" s="77" t="s">
        <v>170</v>
      </c>
      <c r="B47" s="78" t="e">
        <f t="shared" si="1"/>
        <v>#REF!</v>
      </c>
      <c r="C47" s="79" t="s">
        <v>176</v>
      </c>
      <c r="D47" s="80" t="s">
        <v>175</v>
      </c>
      <c r="E47" s="81" t="s">
        <v>226</v>
      </c>
      <c r="F47" s="75">
        <f>9300*90%</f>
        <v>8370</v>
      </c>
      <c r="G47" s="74">
        <v>1</v>
      </c>
      <c r="H47" s="74">
        <v>3</v>
      </c>
      <c r="I47" s="75">
        <f t="shared" si="9"/>
        <v>25110</v>
      </c>
      <c r="J47" s="74">
        <v>1</v>
      </c>
      <c r="K47" s="74">
        <v>3</v>
      </c>
      <c r="L47" s="75">
        <f t="shared" si="10"/>
        <v>25110</v>
      </c>
      <c r="M47" s="74">
        <v>1</v>
      </c>
      <c r="N47" s="74">
        <v>3</v>
      </c>
      <c r="O47" s="75">
        <f t="shared" si="11"/>
        <v>25110</v>
      </c>
      <c r="P47" s="82">
        <v>1</v>
      </c>
      <c r="Q47" s="82">
        <v>3</v>
      </c>
      <c r="R47" s="75">
        <f t="shared" si="12"/>
        <v>25110</v>
      </c>
      <c r="S47" s="75">
        <f t="shared" si="0"/>
        <v>100440</v>
      </c>
    </row>
    <row r="48" spans="1:19" s="73" customFormat="1" ht="32.1" customHeight="1">
      <c r="A48" s="77" t="s">
        <v>170</v>
      </c>
      <c r="B48" s="78" t="e">
        <f>#REF!+1</f>
        <v>#REF!</v>
      </c>
      <c r="C48" s="79" t="s">
        <v>176</v>
      </c>
      <c r="D48" s="80" t="s">
        <v>175</v>
      </c>
      <c r="E48" s="81" t="s">
        <v>836</v>
      </c>
      <c r="F48" s="75"/>
      <c r="G48" s="74"/>
      <c r="H48" s="74"/>
      <c r="I48" s="75">
        <f>SUM(I41:I47)*17%</f>
        <v>58037.490000000005</v>
      </c>
      <c r="J48" s="74"/>
      <c r="K48" s="74"/>
      <c r="L48" s="75">
        <f>SUM(L41:L47)*17%</f>
        <v>58037.490000000005</v>
      </c>
      <c r="M48" s="74"/>
      <c r="N48" s="74"/>
      <c r="O48" s="75">
        <f>SUM(O41:O47)*17%</f>
        <v>58037.490000000005</v>
      </c>
      <c r="P48" s="82"/>
      <c r="Q48" s="82"/>
      <c r="R48" s="75">
        <f>SUM(R41:R47)*17%</f>
        <v>58037.490000000005</v>
      </c>
      <c r="S48" s="75">
        <f t="shared" si="0"/>
        <v>232149.96000000002</v>
      </c>
    </row>
    <row r="49" spans="1:19" s="73" customFormat="1" ht="104.1" customHeight="1">
      <c r="A49" s="77" t="s">
        <v>170</v>
      </c>
      <c r="B49" s="78" t="e">
        <f t="shared" si="1"/>
        <v>#REF!</v>
      </c>
      <c r="C49" s="79" t="s">
        <v>176</v>
      </c>
      <c r="D49" s="80" t="s">
        <v>175</v>
      </c>
      <c r="E49" s="631" t="s">
        <v>227</v>
      </c>
      <c r="F49" s="632">
        <f>((25500*10%)*(1+17%))</f>
        <v>2983.5</v>
      </c>
      <c r="G49" s="74"/>
      <c r="H49" s="74"/>
      <c r="I49" s="75"/>
      <c r="J49" s="74">
        <v>1</v>
      </c>
      <c r="K49" s="74">
        <v>3</v>
      </c>
      <c r="L49" s="75">
        <f t="shared" ref="L49:L56" si="13">$F49*$J49*$K49</f>
        <v>8950.5</v>
      </c>
      <c r="M49" s="74">
        <v>1</v>
      </c>
      <c r="N49" s="74">
        <v>3</v>
      </c>
      <c r="O49" s="75">
        <f t="shared" ref="O49:O56" si="14">$F49*$M49*$N49</f>
        <v>8950.5</v>
      </c>
      <c r="P49" s="82">
        <v>1</v>
      </c>
      <c r="Q49" s="82">
        <v>3</v>
      </c>
      <c r="R49" s="75">
        <f t="shared" ref="R49:R56" si="15">$F49*$P49*$Q49*2</f>
        <v>17901</v>
      </c>
      <c r="S49" s="75">
        <f t="shared" si="0"/>
        <v>35802</v>
      </c>
    </row>
    <row r="50" spans="1:19" s="73" customFormat="1" ht="114.9" customHeight="1">
      <c r="A50" s="77" t="s">
        <v>170</v>
      </c>
      <c r="B50" s="78" t="e">
        <f t="shared" si="1"/>
        <v>#REF!</v>
      </c>
      <c r="C50" s="79" t="s">
        <v>176</v>
      </c>
      <c r="D50" s="80" t="s">
        <v>175</v>
      </c>
      <c r="E50" s="631" t="s">
        <v>228</v>
      </c>
      <c r="F50" s="632">
        <f>((19500*10%)*(1+17%))</f>
        <v>2281.5</v>
      </c>
      <c r="G50" s="74"/>
      <c r="H50" s="74"/>
      <c r="I50" s="75"/>
      <c r="J50" s="74">
        <v>1</v>
      </c>
      <c r="K50" s="74">
        <v>3</v>
      </c>
      <c r="L50" s="75">
        <f t="shared" si="13"/>
        <v>6844.5</v>
      </c>
      <c r="M50" s="74">
        <v>1</v>
      </c>
      <c r="N50" s="74">
        <v>3</v>
      </c>
      <c r="O50" s="75">
        <f t="shared" si="14"/>
        <v>6844.5</v>
      </c>
      <c r="P50" s="82">
        <v>1</v>
      </c>
      <c r="Q50" s="82">
        <v>3</v>
      </c>
      <c r="R50" s="75">
        <f t="shared" si="15"/>
        <v>13689</v>
      </c>
      <c r="S50" s="75">
        <f t="shared" si="0"/>
        <v>27378</v>
      </c>
    </row>
    <row r="51" spans="1:19" s="73" customFormat="1" ht="146.25" customHeight="1">
      <c r="A51" s="77" t="s">
        <v>170</v>
      </c>
      <c r="B51" s="78" t="e">
        <f t="shared" si="1"/>
        <v>#REF!</v>
      </c>
      <c r="C51" s="79" t="s">
        <v>176</v>
      </c>
      <c r="D51" s="80" t="s">
        <v>175</v>
      </c>
      <c r="E51" s="631" t="s">
        <v>229</v>
      </c>
      <c r="F51" s="632">
        <f>((6900*10%)*(1+17%))</f>
        <v>807.3</v>
      </c>
      <c r="G51" s="74"/>
      <c r="H51" s="74"/>
      <c r="I51" s="75"/>
      <c r="J51" s="74">
        <v>1</v>
      </c>
      <c r="K51" s="74">
        <v>3</v>
      </c>
      <c r="L51" s="75">
        <f t="shared" si="13"/>
        <v>2421.8999999999996</v>
      </c>
      <c r="M51" s="74">
        <v>1</v>
      </c>
      <c r="N51" s="74">
        <v>3</v>
      </c>
      <c r="O51" s="75">
        <f t="shared" si="14"/>
        <v>2421.8999999999996</v>
      </c>
      <c r="P51" s="82">
        <v>1</v>
      </c>
      <c r="Q51" s="82">
        <v>3</v>
      </c>
      <c r="R51" s="75">
        <f t="shared" si="15"/>
        <v>4843.7999999999993</v>
      </c>
      <c r="S51" s="75">
        <f t="shared" si="0"/>
        <v>9687.5999999999985</v>
      </c>
    </row>
    <row r="52" spans="1:19" s="73" customFormat="1" ht="120" customHeight="1">
      <c r="A52" s="77" t="s">
        <v>170</v>
      </c>
      <c r="B52" s="78" t="e">
        <f t="shared" si="1"/>
        <v>#REF!</v>
      </c>
      <c r="C52" s="79" t="s">
        <v>176</v>
      </c>
      <c r="D52" s="80" t="s">
        <v>175</v>
      </c>
      <c r="E52" s="631" t="s">
        <v>230</v>
      </c>
      <c r="F52" s="632">
        <f>((19500*10%)*(1+17%))</f>
        <v>2281.5</v>
      </c>
      <c r="G52" s="74"/>
      <c r="H52" s="74"/>
      <c r="I52" s="75"/>
      <c r="J52" s="74">
        <v>1</v>
      </c>
      <c r="K52" s="74">
        <v>3</v>
      </c>
      <c r="L52" s="75">
        <f t="shared" si="13"/>
        <v>6844.5</v>
      </c>
      <c r="M52" s="74">
        <v>1</v>
      </c>
      <c r="N52" s="74">
        <v>3</v>
      </c>
      <c r="O52" s="75">
        <f t="shared" si="14"/>
        <v>6844.5</v>
      </c>
      <c r="P52" s="82">
        <v>1</v>
      </c>
      <c r="Q52" s="82">
        <v>3</v>
      </c>
      <c r="R52" s="75">
        <f t="shared" si="15"/>
        <v>13689</v>
      </c>
      <c r="S52" s="75">
        <f t="shared" si="0"/>
        <v>27378</v>
      </c>
    </row>
    <row r="53" spans="1:19" s="73" customFormat="1" ht="117.9" customHeight="1">
      <c r="A53" s="77" t="s">
        <v>170</v>
      </c>
      <c r="B53" s="78" t="e">
        <f t="shared" si="1"/>
        <v>#REF!</v>
      </c>
      <c r="C53" s="79" t="s">
        <v>176</v>
      </c>
      <c r="D53" s="80" t="s">
        <v>175</v>
      </c>
      <c r="E53" s="631" t="s">
        <v>231</v>
      </c>
      <c r="F53" s="632">
        <f>((4600*10%)*(1+17%))</f>
        <v>538.19999999999993</v>
      </c>
      <c r="G53" s="74"/>
      <c r="H53" s="74"/>
      <c r="I53" s="75"/>
      <c r="J53" s="74">
        <v>1</v>
      </c>
      <c r="K53" s="74">
        <v>3</v>
      </c>
      <c r="L53" s="75">
        <f t="shared" si="13"/>
        <v>1614.6</v>
      </c>
      <c r="M53" s="74">
        <v>1</v>
      </c>
      <c r="N53" s="74">
        <v>3</v>
      </c>
      <c r="O53" s="75">
        <f t="shared" si="14"/>
        <v>1614.6</v>
      </c>
      <c r="P53" s="82">
        <v>1</v>
      </c>
      <c r="Q53" s="82">
        <v>3</v>
      </c>
      <c r="R53" s="75">
        <f t="shared" si="15"/>
        <v>3229.2</v>
      </c>
      <c r="S53" s="75">
        <f t="shared" si="0"/>
        <v>6458.4</v>
      </c>
    </row>
    <row r="54" spans="1:19" s="73" customFormat="1" ht="129.9" customHeight="1">
      <c r="A54" s="77" t="s">
        <v>170</v>
      </c>
      <c r="B54" s="78" t="e">
        <f t="shared" si="1"/>
        <v>#REF!</v>
      </c>
      <c r="C54" s="79" t="s">
        <v>176</v>
      </c>
      <c r="D54" s="80" t="s">
        <v>175</v>
      </c>
      <c r="E54" s="631" t="s">
        <v>232</v>
      </c>
      <c r="F54" s="632">
        <f>((9350*10%)*(1+17%))</f>
        <v>1093.95</v>
      </c>
      <c r="G54" s="74"/>
      <c r="H54" s="74"/>
      <c r="I54" s="75"/>
      <c r="J54" s="74">
        <v>1</v>
      </c>
      <c r="K54" s="74">
        <v>3</v>
      </c>
      <c r="L54" s="75">
        <f t="shared" si="13"/>
        <v>3281.8500000000004</v>
      </c>
      <c r="M54" s="74">
        <v>1</v>
      </c>
      <c r="N54" s="74">
        <v>3</v>
      </c>
      <c r="O54" s="75">
        <f t="shared" si="14"/>
        <v>3281.8500000000004</v>
      </c>
      <c r="P54" s="82">
        <v>1</v>
      </c>
      <c r="Q54" s="82">
        <v>3</v>
      </c>
      <c r="R54" s="75">
        <f t="shared" si="15"/>
        <v>6563.7000000000007</v>
      </c>
      <c r="S54" s="75">
        <f t="shared" si="0"/>
        <v>13127.400000000001</v>
      </c>
    </row>
    <row r="55" spans="1:19" s="73" customFormat="1" ht="123" customHeight="1">
      <c r="A55" s="77" t="s">
        <v>170</v>
      </c>
      <c r="B55" s="78" t="e">
        <f t="shared" si="1"/>
        <v>#REF!</v>
      </c>
      <c r="C55" s="79" t="s">
        <v>176</v>
      </c>
      <c r="D55" s="80" t="s">
        <v>175</v>
      </c>
      <c r="E55" s="631" t="s">
        <v>233</v>
      </c>
      <c r="F55" s="632">
        <f>((8060*10%)*(1+17%))</f>
        <v>943.02</v>
      </c>
      <c r="G55" s="74"/>
      <c r="H55" s="74"/>
      <c r="I55" s="75"/>
      <c r="J55" s="74">
        <v>1</v>
      </c>
      <c r="K55" s="74">
        <v>3</v>
      </c>
      <c r="L55" s="75">
        <f t="shared" si="13"/>
        <v>2829.06</v>
      </c>
      <c r="M55" s="74">
        <v>1</v>
      </c>
      <c r="N55" s="74">
        <v>3</v>
      </c>
      <c r="O55" s="75">
        <f t="shared" si="14"/>
        <v>2829.06</v>
      </c>
      <c r="P55" s="82">
        <v>1</v>
      </c>
      <c r="Q55" s="82">
        <v>3</v>
      </c>
      <c r="R55" s="75">
        <f t="shared" si="15"/>
        <v>5658.12</v>
      </c>
      <c r="S55" s="75">
        <f t="shared" si="0"/>
        <v>11316.24</v>
      </c>
    </row>
    <row r="56" spans="1:19" s="73" customFormat="1" ht="122.1" customHeight="1">
      <c r="A56" s="77" t="s">
        <v>170</v>
      </c>
      <c r="B56" s="78" t="e">
        <f t="shared" si="1"/>
        <v>#REF!</v>
      </c>
      <c r="C56" s="79" t="s">
        <v>176</v>
      </c>
      <c r="D56" s="80" t="s">
        <v>175</v>
      </c>
      <c r="E56" s="631" t="s">
        <v>234</v>
      </c>
      <c r="F56" s="632">
        <f>((9300*10%)*(1+17%))</f>
        <v>1088.0999999999999</v>
      </c>
      <c r="G56" s="74"/>
      <c r="H56" s="74"/>
      <c r="I56" s="75"/>
      <c r="J56" s="74">
        <v>1</v>
      </c>
      <c r="K56" s="74">
        <v>3</v>
      </c>
      <c r="L56" s="75">
        <f t="shared" si="13"/>
        <v>3264.2999999999997</v>
      </c>
      <c r="M56" s="74">
        <v>1</v>
      </c>
      <c r="N56" s="74">
        <v>3</v>
      </c>
      <c r="O56" s="75">
        <f t="shared" si="14"/>
        <v>3264.2999999999997</v>
      </c>
      <c r="P56" s="82">
        <v>1</v>
      </c>
      <c r="Q56" s="82">
        <v>3</v>
      </c>
      <c r="R56" s="75">
        <f t="shared" si="15"/>
        <v>6528.5999999999995</v>
      </c>
      <c r="S56" s="75">
        <f t="shared" si="0"/>
        <v>13057.199999999999</v>
      </c>
    </row>
    <row r="57" spans="1:19" s="636" customFormat="1" ht="29.25" customHeight="1">
      <c r="A57" s="624" t="s">
        <v>170</v>
      </c>
      <c r="B57" s="625" t="e">
        <f>#REF!+1</f>
        <v>#REF!</v>
      </c>
      <c r="C57" s="626" t="s">
        <v>171</v>
      </c>
      <c r="D57" s="627" t="s">
        <v>172</v>
      </c>
      <c r="E57" s="628" t="s">
        <v>235</v>
      </c>
      <c r="F57" s="629">
        <v>5000</v>
      </c>
      <c r="G57" s="630">
        <v>1</v>
      </c>
      <c r="H57" s="630">
        <v>3</v>
      </c>
      <c r="I57" s="629">
        <f t="shared" ref="I57:I64" si="16">F57*G57*H57</f>
        <v>15000</v>
      </c>
      <c r="J57" s="630">
        <v>1</v>
      </c>
      <c r="K57" s="630">
        <v>3</v>
      </c>
      <c r="L57" s="629">
        <f t="shared" ref="L57:L64" si="17">F57*J57*K57</f>
        <v>15000</v>
      </c>
      <c r="M57" s="630">
        <v>1</v>
      </c>
      <c r="N57" s="630">
        <v>3</v>
      </c>
      <c r="O57" s="629">
        <f t="shared" ref="O57:O62" si="18">F57*G57*H57</f>
        <v>15000</v>
      </c>
      <c r="P57" s="635">
        <v>1</v>
      </c>
      <c r="Q57" s="635">
        <v>3</v>
      </c>
      <c r="R57" s="629">
        <f t="shared" ref="R57:R64" si="19">F57*P57*Q57</f>
        <v>15000</v>
      </c>
      <c r="S57" s="629">
        <f t="shared" ref="S57:S80" si="20">I57+L57+O57+R57</f>
        <v>60000</v>
      </c>
    </row>
    <row r="58" spans="1:19" s="76" customFormat="1" ht="29.25" customHeight="1">
      <c r="A58" s="77" t="s">
        <v>170</v>
      </c>
      <c r="B58" s="78" t="e">
        <f t="shared" ref="B58:B80" si="21">B57+1</f>
        <v>#REF!</v>
      </c>
      <c r="C58" s="79" t="s">
        <v>171</v>
      </c>
      <c r="D58" s="80" t="s">
        <v>172</v>
      </c>
      <c r="E58" s="81" t="s">
        <v>236</v>
      </c>
      <c r="F58" s="75">
        <v>7000</v>
      </c>
      <c r="G58" s="74">
        <v>1</v>
      </c>
      <c r="H58" s="74">
        <v>3</v>
      </c>
      <c r="I58" s="75">
        <f t="shared" si="16"/>
        <v>21000</v>
      </c>
      <c r="J58" s="74">
        <v>1</v>
      </c>
      <c r="K58" s="74">
        <v>3</v>
      </c>
      <c r="L58" s="75">
        <f t="shared" si="17"/>
        <v>21000</v>
      </c>
      <c r="M58" s="74">
        <v>1</v>
      </c>
      <c r="N58" s="74">
        <v>3</v>
      </c>
      <c r="O58" s="75">
        <f t="shared" si="18"/>
        <v>21000</v>
      </c>
      <c r="P58" s="82">
        <v>1</v>
      </c>
      <c r="Q58" s="82">
        <v>3</v>
      </c>
      <c r="R58" s="75">
        <f t="shared" si="19"/>
        <v>21000</v>
      </c>
      <c r="S58" s="75">
        <f t="shared" si="20"/>
        <v>84000</v>
      </c>
    </row>
    <row r="59" spans="1:19" s="76" customFormat="1" ht="29.25" customHeight="1">
      <c r="A59" s="77" t="s">
        <v>170</v>
      </c>
      <c r="B59" s="78" t="e">
        <f>#REF!+1</f>
        <v>#REF!</v>
      </c>
      <c r="C59" s="79" t="s">
        <v>171</v>
      </c>
      <c r="D59" s="80" t="s">
        <v>172</v>
      </c>
      <c r="E59" s="81" t="s">
        <v>235</v>
      </c>
      <c r="F59" s="75">
        <v>4000</v>
      </c>
      <c r="G59" s="74">
        <v>1</v>
      </c>
      <c r="H59" s="74">
        <v>3</v>
      </c>
      <c r="I59" s="75">
        <f t="shared" si="16"/>
        <v>12000</v>
      </c>
      <c r="J59" s="74">
        <v>1</v>
      </c>
      <c r="K59" s="74">
        <v>3</v>
      </c>
      <c r="L59" s="75">
        <f t="shared" si="17"/>
        <v>12000</v>
      </c>
      <c r="M59" s="74">
        <v>1</v>
      </c>
      <c r="N59" s="74">
        <v>3</v>
      </c>
      <c r="O59" s="75">
        <f t="shared" si="18"/>
        <v>12000</v>
      </c>
      <c r="P59" s="82">
        <v>1</v>
      </c>
      <c r="Q59" s="82">
        <v>3</v>
      </c>
      <c r="R59" s="75">
        <f t="shared" si="19"/>
        <v>12000</v>
      </c>
      <c r="S59" s="75">
        <f t="shared" si="20"/>
        <v>48000</v>
      </c>
    </row>
    <row r="60" spans="1:19" s="76" customFormat="1" ht="29.25" customHeight="1">
      <c r="A60" s="77" t="s">
        <v>170</v>
      </c>
      <c r="B60" s="78" t="e">
        <f t="shared" si="21"/>
        <v>#REF!</v>
      </c>
      <c r="C60" s="79" t="s">
        <v>171</v>
      </c>
      <c r="D60" s="80" t="s">
        <v>172</v>
      </c>
      <c r="E60" s="81" t="s">
        <v>236</v>
      </c>
      <c r="F60" s="75">
        <v>7000</v>
      </c>
      <c r="G60" s="74">
        <v>1</v>
      </c>
      <c r="H60" s="74">
        <v>3</v>
      </c>
      <c r="I60" s="75">
        <f t="shared" si="16"/>
        <v>21000</v>
      </c>
      <c r="J60" s="74">
        <v>1</v>
      </c>
      <c r="K60" s="74">
        <v>3</v>
      </c>
      <c r="L60" s="75">
        <f t="shared" si="17"/>
        <v>21000</v>
      </c>
      <c r="M60" s="74">
        <v>1</v>
      </c>
      <c r="N60" s="74">
        <v>3</v>
      </c>
      <c r="O60" s="75">
        <f t="shared" si="18"/>
        <v>21000</v>
      </c>
      <c r="P60" s="82">
        <v>1</v>
      </c>
      <c r="Q60" s="82">
        <v>3</v>
      </c>
      <c r="R60" s="75">
        <f t="shared" si="19"/>
        <v>21000</v>
      </c>
      <c r="S60" s="75">
        <f t="shared" si="20"/>
        <v>84000</v>
      </c>
    </row>
    <row r="61" spans="1:19" s="76" customFormat="1" ht="29.25" customHeight="1">
      <c r="A61" s="77" t="s">
        <v>170</v>
      </c>
      <c r="B61" s="78" t="e">
        <f t="shared" si="21"/>
        <v>#REF!</v>
      </c>
      <c r="C61" s="79" t="s">
        <v>171</v>
      </c>
      <c r="D61" s="80" t="s">
        <v>172</v>
      </c>
      <c r="E61" s="81" t="s">
        <v>235</v>
      </c>
      <c r="F61" s="75">
        <v>2500</v>
      </c>
      <c r="G61" s="74">
        <v>1</v>
      </c>
      <c r="H61" s="74">
        <v>3</v>
      </c>
      <c r="I61" s="75">
        <f t="shared" si="16"/>
        <v>7500</v>
      </c>
      <c r="J61" s="74">
        <v>1</v>
      </c>
      <c r="K61" s="74">
        <v>3</v>
      </c>
      <c r="L61" s="75">
        <f t="shared" si="17"/>
        <v>7500</v>
      </c>
      <c r="M61" s="74">
        <v>1</v>
      </c>
      <c r="N61" s="74">
        <v>3</v>
      </c>
      <c r="O61" s="75">
        <f t="shared" si="18"/>
        <v>7500</v>
      </c>
      <c r="P61" s="82">
        <v>1</v>
      </c>
      <c r="Q61" s="82">
        <v>3</v>
      </c>
      <c r="R61" s="75">
        <f t="shared" si="19"/>
        <v>7500</v>
      </c>
      <c r="S61" s="75">
        <f t="shared" si="20"/>
        <v>30000</v>
      </c>
    </row>
    <row r="62" spans="1:19" s="76" customFormat="1" ht="29.25" customHeight="1">
      <c r="A62" s="77" t="s">
        <v>170</v>
      </c>
      <c r="B62" s="78" t="e">
        <f>#REF!+1</f>
        <v>#REF!</v>
      </c>
      <c r="C62" s="79" t="s">
        <v>171</v>
      </c>
      <c r="D62" s="80" t="s">
        <v>172</v>
      </c>
      <c r="E62" s="81" t="s">
        <v>236</v>
      </c>
      <c r="F62" s="75">
        <v>5000</v>
      </c>
      <c r="G62" s="74">
        <v>1</v>
      </c>
      <c r="H62" s="74">
        <v>3</v>
      </c>
      <c r="I62" s="75">
        <f t="shared" si="16"/>
        <v>15000</v>
      </c>
      <c r="J62" s="74">
        <v>1</v>
      </c>
      <c r="K62" s="74">
        <v>3</v>
      </c>
      <c r="L62" s="75">
        <f t="shared" si="17"/>
        <v>15000</v>
      </c>
      <c r="M62" s="74">
        <v>1</v>
      </c>
      <c r="N62" s="74">
        <v>3</v>
      </c>
      <c r="O62" s="75">
        <f t="shared" si="18"/>
        <v>15000</v>
      </c>
      <c r="P62" s="82">
        <v>1</v>
      </c>
      <c r="Q62" s="82">
        <v>3</v>
      </c>
      <c r="R62" s="75">
        <f t="shared" si="19"/>
        <v>15000</v>
      </c>
      <c r="S62" s="75">
        <f t="shared" si="20"/>
        <v>60000</v>
      </c>
    </row>
    <row r="63" spans="1:19" s="76" customFormat="1" ht="46.8">
      <c r="A63" s="77" t="s">
        <v>170</v>
      </c>
      <c r="B63" s="78" t="e">
        <f t="shared" si="21"/>
        <v>#REF!</v>
      </c>
      <c r="C63" s="79" t="s">
        <v>180</v>
      </c>
      <c r="D63" s="80" t="s">
        <v>179</v>
      </c>
      <c r="E63" s="81" t="s">
        <v>237</v>
      </c>
      <c r="F63" s="75">
        <f>8727*90%</f>
        <v>7854.3</v>
      </c>
      <c r="G63" s="74">
        <v>1</v>
      </c>
      <c r="H63" s="74">
        <v>3</v>
      </c>
      <c r="I63" s="75">
        <f t="shared" si="16"/>
        <v>23562.9</v>
      </c>
      <c r="J63" s="74">
        <v>1</v>
      </c>
      <c r="K63" s="74">
        <v>3</v>
      </c>
      <c r="L63" s="75">
        <f t="shared" si="17"/>
        <v>23562.9</v>
      </c>
      <c r="M63" s="74">
        <v>1</v>
      </c>
      <c r="N63" s="74">
        <v>3</v>
      </c>
      <c r="O63" s="75">
        <f>F63*M63*N63</f>
        <v>23562.9</v>
      </c>
      <c r="P63" s="82">
        <v>1</v>
      </c>
      <c r="Q63" s="82">
        <v>3</v>
      </c>
      <c r="R63" s="75">
        <f t="shared" si="19"/>
        <v>23562.9</v>
      </c>
      <c r="S63" s="75">
        <f t="shared" si="20"/>
        <v>94251.6</v>
      </c>
    </row>
    <row r="64" spans="1:19" s="76" customFormat="1" ht="81.75" customHeight="1">
      <c r="A64" s="77" t="s">
        <v>170</v>
      </c>
      <c r="B64" s="78" t="e">
        <f t="shared" si="21"/>
        <v>#REF!</v>
      </c>
      <c r="C64" s="79" t="s">
        <v>180</v>
      </c>
      <c r="D64" s="80" t="s">
        <v>179</v>
      </c>
      <c r="E64" s="81" t="s">
        <v>238</v>
      </c>
      <c r="F64" s="75">
        <f>7440*90%</f>
        <v>6696</v>
      </c>
      <c r="G64" s="74">
        <v>1</v>
      </c>
      <c r="H64" s="74">
        <v>3</v>
      </c>
      <c r="I64" s="75">
        <f t="shared" si="16"/>
        <v>20088</v>
      </c>
      <c r="J64" s="74">
        <v>1</v>
      </c>
      <c r="K64" s="74">
        <v>3</v>
      </c>
      <c r="L64" s="75">
        <f t="shared" si="17"/>
        <v>20088</v>
      </c>
      <c r="M64" s="74">
        <v>1</v>
      </c>
      <c r="N64" s="74">
        <v>3</v>
      </c>
      <c r="O64" s="75">
        <f>F64*M64*N64</f>
        <v>20088</v>
      </c>
      <c r="P64" s="82">
        <v>1</v>
      </c>
      <c r="Q64" s="82">
        <v>3</v>
      </c>
      <c r="R64" s="75">
        <f t="shared" si="19"/>
        <v>20088</v>
      </c>
      <c r="S64" s="75">
        <f t="shared" si="20"/>
        <v>80352</v>
      </c>
    </row>
    <row r="65" spans="1:19" s="76" customFormat="1" ht="54.6" customHeight="1">
      <c r="A65" s="77" t="s">
        <v>170</v>
      </c>
      <c r="B65" s="78" t="e">
        <f t="shared" si="21"/>
        <v>#REF!</v>
      </c>
      <c r="C65" s="79" t="s">
        <v>180</v>
      </c>
      <c r="D65" s="80" t="s">
        <v>179</v>
      </c>
      <c r="E65" s="81" t="s">
        <v>836</v>
      </c>
      <c r="F65" s="75"/>
      <c r="G65" s="74"/>
      <c r="H65" s="74"/>
      <c r="I65" s="75">
        <f>SUM(I63:I64)*17%</f>
        <v>7420.6530000000012</v>
      </c>
      <c r="J65" s="74"/>
      <c r="K65" s="74"/>
      <c r="L65" s="75">
        <f>SUM(L63:L64)*17%</f>
        <v>7420.6530000000012</v>
      </c>
      <c r="M65" s="74"/>
      <c r="N65" s="74"/>
      <c r="O65" s="75">
        <f>SUM(O63:O64)*17%</f>
        <v>7420.6530000000012</v>
      </c>
      <c r="P65" s="82"/>
      <c r="Q65" s="82"/>
      <c r="R65" s="75">
        <f>SUM(R63:R64)*17%</f>
        <v>7420.6530000000012</v>
      </c>
      <c r="S65" s="75">
        <f t="shared" si="20"/>
        <v>29682.612000000005</v>
      </c>
    </row>
    <row r="66" spans="1:19" s="76" customFormat="1" ht="128.25" customHeight="1">
      <c r="A66" s="77" t="s">
        <v>170</v>
      </c>
      <c r="B66" s="78" t="e">
        <f t="shared" si="21"/>
        <v>#REF!</v>
      </c>
      <c r="C66" s="79" t="s">
        <v>180</v>
      </c>
      <c r="D66" s="80" t="s">
        <v>175</v>
      </c>
      <c r="E66" s="631" t="s">
        <v>239</v>
      </c>
      <c r="F66" s="632">
        <f>((8727*10%)*(1+17%))</f>
        <v>1021.059</v>
      </c>
      <c r="G66" s="74"/>
      <c r="H66" s="74"/>
      <c r="I66" s="75"/>
      <c r="J66" s="74">
        <v>1</v>
      </c>
      <c r="K66" s="74">
        <v>3</v>
      </c>
      <c r="L66" s="75">
        <f t="shared" ref="L66:L70" si="22">F66*J66*K66</f>
        <v>3063.1769999999997</v>
      </c>
      <c r="M66" s="74">
        <v>1</v>
      </c>
      <c r="N66" s="74">
        <v>3</v>
      </c>
      <c r="O66" s="75">
        <f t="shared" ref="O66:O70" si="23">F66*M66*N66</f>
        <v>3063.1769999999997</v>
      </c>
      <c r="P66" s="82">
        <v>1</v>
      </c>
      <c r="Q66" s="82">
        <v>3</v>
      </c>
      <c r="R66" s="75">
        <f>F66*P66*Q66*2</f>
        <v>6126.3539999999994</v>
      </c>
      <c r="S66" s="75">
        <f t="shared" si="20"/>
        <v>12252.707999999999</v>
      </c>
    </row>
    <row r="67" spans="1:19" s="76" customFormat="1" ht="136.5" customHeight="1">
      <c r="A67" s="77" t="s">
        <v>170</v>
      </c>
      <c r="B67" s="78" t="e">
        <f t="shared" si="21"/>
        <v>#REF!</v>
      </c>
      <c r="C67" s="79" t="s">
        <v>180</v>
      </c>
      <c r="D67" s="80" t="s">
        <v>175</v>
      </c>
      <c r="E67" s="631" t="s">
        <v>240</v>
      </c>
      <c r="F67" s="632">
        <f>((7440*10%)*(1+17%))</f>
        <v>870.4799999999999</v>
      </c>
      <c r="G67" s="74"/>
      <c r="H67" s="74"/>
      <c r="I67" s="75"/>
      <c r="J67" s="74">
        <v>1</v>
      </c>
      <c r="K67" s="74">
        <v>3</v>
      </c>
      <c r="L67" s="75">
        <f t="shared" si="22"/>
        <v>2611.4399999999996</v>
      </c>
      <c r="M67" s="74">
        <v>1</v>
      </c>
      <c r="N67" s="74">
        <v>3</v>
      </c>
      <c r="O67" s="75">
        <f t="shared" si="23"/>
        <v>2611.4399999999996</v>
      </c>
      <c r="P67" s="82">
        <v>1</v>
      </c>
      <c r="Q67" s="82">
        <v>3</v>
      </c>
      <c r="R67" s="75">
        <f>F67*P67*Q67*2</f>
        <v>5222.8799999999992</v>
      </c>
      <c r="S67" s="75">
        <f t="shared" si="20"/>
        <v>10445.759999999998</v>
      </c>
    </row>
    <row r="68" spans="1:19" s="76" customFormat="1" ht="70.5" customHeight="1">
      <c r="A68" s="77" t="s">
        <v>170</v>
      </c>
      <c r="B68" s="78" t="e">
        <f>#REF!+1</f>
        <v>#REF!</v>
      </c>
      <c r="C68" s="79" t="s">
        <v>178</v>
      </c>
      <c r="D68" s="80" t="s">
        <v>179</v>
      </c>
      <c r="E68" s="81" t="s">
        <v>241</v>
      </c>
      <c r="F68" s="75">
        <f>28150*90%</f>
        <v>25335</v>
      </c>
      <c r="G68" s="74">
        <v>1</v>
      </c>
      <c r="H68" s="74">
        <v>3</v>
      </c>
      <c r="I68" s="75">
        <f>F68*G68*H68</f>
        <v>76005</v>
      </c>
      <c r="J68" s="74">
        <v>1</v>
      </c>
      <c r="K68" s="74">
        <v>3</v>
      </c>
      <c r="L68" s="75">
        <f t="shared" si="22"/>
        <v>76005</v>
      </c>
      <c r="M68" s="74">
        <v>1</v>
      </c>
      <c r="N68" s="74">
        <v>3</v>
      </c>
      <c r="O68" s="75">
        <f t="shared" si="23"/>
        <v>76005</v>
      </c>
      <c r="P68" s="82">
        <v>1</v>
      </c>
      <c r="Q68" s="82">
        <v>3</v>
      </c>
      <c r="R68" s="75">
        <f>F68*P68*Q68</f>
        <v>76005</v>
      </c>
      <c r="S68" s="75">
        <f t="shared" si="20"/>
        <v>304020</v>
      </c>
    </row>
    <row r="69" spans="1:19" s="76" customFormat="1" ht="70.5" customHeight="1">
      <c r="A69" s="77" t="s">
        <v>170</v>
      </c>
      <c r="B69" s="78" t="e">
        <f t="shared" si="21"/>
        <v>#REF!</v>
      </c>
      <c r="C69" s="79" t="s">
        <v>178</v>
      </c>
      <c r="D69" s="80" t="s">
        <v>179</v>
      </c>
      <c r="E69" s="81" t="s">
        <v>242</v>
      </c>
      <c r="F69" s="75">
        <f>41052*90%</f>
        <v>36946.800000000003</v>
      </c>
      <c r="G69" s="74">
        <v>1</v>
      </c>
      <c r="H69" s="74">
        <v>3</v>
      </c>
      <c r="I69" s="75">
        <f>F69*G69*H69</f>
        <v>110840.40000000001</v>
      </c>
      <c r="J69" s="74">
        <v>1</v>
      </c>
      <c r="K69" s="74">
        <v>3</v>
      </c>
      <c r="L69" s="75">
        <f t="shared" si="22"/>
        <v>110840.40000000001</v>
      </c>
      <c r="M69" s="74">
        <v>1</v>
      </c>
      <c r="N69" s="74">
        <v>3</v>
      </c>
      <c r="O69" s="75">
        <f t="shared" si="23"/>
        <v>110840.40000000001</v>
      </c>
      <c r="P69" s="82">
        <v>1</v>
      </c>
      <c r="Q69" s="82">
        <v>3</v>
      </c>
      <c r="R69" s="75">
        <f>F69*P69*Q69</f>
        <v>110840.40000000001</v>
      </c>
      <c r="S69" s="75">
        <f t="shared" si="20"/>
        <v>443361.60000000003</v>
      </c>
    </row>
    <row r="70" spans="1:19" s="76" customFormat="1" ht="70.5" customHeight="1">
      <c r="A70" s="77" t="s">
        <v>170</v>
      </c>
      <c r="B70" s="78" t="e">
        <f t="shared" si="21"/>
        <v>#REF!</v>
      </c>
      <c r="C70" s="79" t="s">
        <v>178</v>
      </c>
      <c r="D70" s="80" t="s">
        <v>179</v>
      </c>
      <c r="E70" s="81" t="s">
        <v>243</v>
      </c>
      <c r="F70" s="75">
        <f>21113*90%</f>
        <v>19001.7</v>
      </c>
      <c r="G70" s="74">
        <v>1</v>
      </c>
      <c r="H70" s="74">
        <v>3</v>
      </c>
      <c r="I70" s="75">
        <f>F70*G70*H70</f>
        <v>57005.100000000006</v>
      </c>
      <c r="J70" s="74">
        <v>1</v>
      </c>
      <c r="K70" s="74">
        <v>3</v>
      </c>
      <c r="L70" s="75">
        <f t="shared" si="22"/>
        <v>57005.100000000006</v>
      </c>
      <c r="M70" s="74">
        <v>1</v>
      </c>
      <c r="N70" s="74">
        <v>3</v>
      </c>
      <c r="O70" s="75">
        <f t="shared" si="23"/>
        <v>57005.100000000006</v>
      </c>
      <c r="P70" s="82">
        <v>1</v>
      </c>
      <c r="Q70" s="82">
        <v>3</v>
      </c>
      <c r="R70" s="75">
        <f>F70*P70*Q70</f>
        <v>57005.100000000006</v>
      </c>
      <c r="S70" s="75">
        <f t="shared" si="20"/>
        <v>228020.40000000002</v>
      </c>
    </row>
    <row r="71" spans="1:19" s="73" customFormat="1" ht="70.5" customHeight="1">
      <c r="A71" s="77" t="s">
        <v>170</v>
      </c>
      <c r="B71" s="78" t="e">
        <f t="shared" si="21"/>
        <v>#REF!</v>
      </c>
      <c r="C71" s="79" t="s">
        <v>178</v>
      </c>
      <c r="D71" s="80" t="s">
        <v>179</v>
      </c>
      <c r="E71" s="81" t="s">
        <v>194</v>
      </c>
      <c r="F71" s="75"/>
      <c r="G71" s="74"/>
      <c r="H71" s="74"/>
      <c r="I71" s="75">
        <f>SUM(I68:I70)*17%</f>
        <v>41454.585000000006</v>
      </c>
      <c r="J71" s="74"/>
      <c r="K71" s="74"/>
      <c r="L71" s="75">
        <f>SUM(L68:L70)*17%</f>
        <v>41454.585000000006</v>
      </c>
      <c r="M71" s="74"/>
      <c r="N71" s="74"/>
      <c r="O71" s="75">
        <f>SUM(O68:O70)*17%</f>
        <v>41454.585000000006</v>
      </c>
      <c r="P71" s="82"/>
      <c r="Q71" s="82"/>
      <c r="R71" s="75">
        <f>SUM(R68:R70)*17%</f>
        <v>41454.585000000006</v>
      </c>
      <c r="S71" s="75">
        <f t="shared" si="20"/>
        <v>165818.34000000003</v>
      </c>
    </row>
    <row r="72" spans="1:19" s="73" customFormat="1" ht="129.9" customHeight="1">
      <c r="A72" s="77" t="s">
        <v>170</v>
      </c>
      <c r="B72" s="78" t="e">
        <f t="shared" si="21"/>
        <v>#REF!</v>
      </c>
      <c r="C72" s="79" t="s">
        <v>178</v>
      </c>
      <c r="D72" s="80" t="s">
        <v>175</v>
      </c>
      <c r="E72" s="631" t="s">
        <v>244</v>
      </c>
      <c r="F72" s="632">
        <f>((28150*10%)*(1+17%))</f>
        <v>3293.5499999999997</v>
      </c>
      <c r="G72" s="74"/>
      <c r="H72" s="74"/>
      <c r="I72" s="75"/>
      <c r="J72" s="74">
        <v>1</v>
      </c>
      <c r="K72" s="74">
        <v>3</v>
      </c>
      <c r="L72" s="75">
        <f t="shared" ref="L72:L76" si="24">F72*J72*K72</f>
        <v>9880.65</v>
      </c>
      <c r="M72" s="74">
        <v>1</v>
      </c>
      <c r="N72" s="74">
        <v>3</v>
      </c>
      <c r="O72" s="75">
        <f t="shared" ref="O72:O76" si="25">F72*M72*N72</f>
        <v>9880.65</v>
      </c>
      <c r="P72" s="82">
        <v>1</v>
      </c>
      <c r="Q72" s="82">
        <v>3</v>
      </c>
      <c r="R72" s="75">
        <f>F72*P72*Q72*2</f>
        <v>19761.3</v>
      </c>
      <c r="S72" s="75">
        <f t="shared" si="20"/>
        <v>39522.6</v>
      </c>
    </row>
    <row r="73" spans="1:19" s="73" customFormat="1" ht="116.1" customHeight="1">
      <c r="A73" s="77" t="s">
        <v>170</v>
      </c>
      <c r="B73" s="78" t="e">
        <f t="shared" si="21"/>
        <v>#REF!</v>
      </c>
      <c r="C73" s="79" t="s">
        <v>178</v>
      </c>
      <c r="D73" s="80" t="s">
        <v>175</v>
      </c>
      <c r="E73" s="631" t="s">
        <v>245</v>
      </c>
      <c r="F73" s="632">
        <f>((41052*10%)*(1+17%))</f>
        <v>4803.0839999999998</v>
      </c>
      <c r="G73" s="74"/>
      <c r="H73" s="74"/>
      <c r="I73" s="75"/>
      <c r="J73" s="74">
        <v>1</v>
      </c>
      <c r="K73" s="74">
        <v>3</v>
      </c>
      <c r="L73" s="75">
        <f t="shared" si="24"/>
        <v>14409.252</v>
      </c>
      <c r="M73" s="74">
        <v>1</v>
      </c>
      <c r="N73" s="74">
        <v>3</v>
      </c>
      <c r="O73" s="75">
        <f t="shared" si="25"/>
        <v>14409.252</v>
      </c>
      <c r="P73" s="82">
        <v>1</v>
      </c>
      <c r="Q73" s="82">
        <v>3</v>
      </c>
      <c r="R73" s="75">
        <f>F73*P73*Q73*2</f>
        <v>28818.504000000001</v>
      </c>
      <c r="S73" s="75">
        <f t="shared" si="20"/>
        <v>57637.008000000002</v>
      </c>
    </row>
    <row r="74" spans="1:19" s="73" customFormat="1" ht="126.6" customHeight="1">
      <c r="A74" s="77" t="s">
        <v>170</v>
      </c>
      <c r="B74" s="78" t="e">
        <f t="shared" si="21"/>
        <v>#REF!</v>
      </c>
      <c r="C74" s="79" t="s">
        <v>178</v>
      </c>
      <c r="D74" s="80" t="s">
        <v>175</v>
      </c>
      <c r="E74" s="631" t="s">
        <v>246</v>
      </c>
      <c r="F74" s="632">
        <f>((21113*10%)*(1+17%))</f>
        <v>2470.221</v>
      </c>
      <c r="G74" s="74"/>
      <c r="H74" s="74"/>
      <c r="I74" s="75"/>
      <c r="J74" s="74">
        <v>1</v>
      </c>
      <c r="K74" s="74">
        <v>3</v>
      </c>
      <c r="L74" s="75">
        <f t="shared" si="24"/>
        <v>7410.6630000000005</v>
      </c>
      <c r="M74" s="74">
        <v>1</v>
      </c>
      <c r="N74" s="74">
        <v>3</v>
      </c>
      <c r="O74" s="75">
        <f t="shared" si="25"/>
        <v>7410.6630000000005</v>
      </c>
      <c r="P74" s="82">
        <v>1</v>
      </c>
      <c r="Q74" s="82">
        <v>3</v>
      </c>
      <c r="R74" s="75">
        <f>F74*P74*Q74*2</f>
        <v>14821.326000000001</v>
      </c>
      <c r="S74" s="75">
        <f t="shared" si="20"/>
        <v>29642.652000000002</v>
      </c>
    </row>
    <row r="75" spans="1:19" s="76" customFormat="1" ht="49.5" customHeight="1">
      <c r="A75" s="77" t="s">
        <v>170</v>
      </c>
      <c r="B75" s="78" t="e">
        <f t="shared" si="21"/>
        <v>#REF!</v>
      </c>
      <c r="C75" s="79" t="s">
        <v>181</v>
      </c>
      <c r="D75" s="80" t="s">
        <v>179</v>
      </c>
      <c r="E75" s="81" t="s">
        <v>247</v>
      </c>
      <c r="F75" s="75">
        <f>34127*90%</f>
        <v>30714.3</v>
      </c>
      <c r="G75" s="74">
        <v>1</v>
      </c>
      <c r="H75" s="74">
        <v>3</v>
      </c>
      <c r="I75" s="75">
        <f>F75*G75*H75</f>
        <v>92142.9</v>
      </c>
      <c r="J75" s="74">
        <v>1</v>
      </c>
      <c r="K75" s="74">
        <v>3</v>
      </c>
      <c r="L75" s="75">
        <f t="shared" si="24"/>
        <v>92142.9</v>
      </c>
      <c r="M75" s="74">
        <v>1</v>
      </c>
      <c r="N75" s="74">
        <v>3</v>
      </c>
      <c r="O75" s="75">
        <f t="shared" si="25"/>
        <v>92142.9</v>
      </c>
      <c r="P75" s="82">
        <v>1</v>
      </c>
      <c r="Q75" s="82">
        <v>3</v>
      </c>
      <c r="R75" s="75">
        <f>F75*P75*Q75</f>
        <v>92142.9</v>
      </c>
      <c r="S75" s="75">
        <f t="shared" si="20"/>
        <v>368571.6</v>
      </c>
    </row>
    <row r="76" spans="1:19" s="76" customFormat="1" ht="49.5" customHeight="1">
      <c r="A76" s="77" t="s">
        <v>170</v>
      </c>
      <c r="B76" s="78" t="e">
        <f>#REF!+1</f>
        <v>#REF!</v>
      </c>
      <c r="C76" s="79" t="s">
        <v>181</v>
      </c>
      <c r="D76" s="80" t="s">
        <v>179</v>
      </c>
      <c r="E76" s="81" t="s">
        <v>248</v>
      </c>
      <c r="F76" s="75">
        <f>17063*90%</f>
        <v>15356.7</v>
      </c>
      <c r="G76" s="74">
        <v>1</v>
      </c>
      <c r="H76" s="74">
        <v>3</v>
      </c>
      <c r="I76" s="75">
        <f>F76*G76*H76</f>
        <v>46070.100000000006</v>
      </c>
      <c r="J76" s="74">
        <v>1</v>
      </c>
      <c r="K76" s="74">
        <v>3</v>
      </c>
      <c r="L76" s="75">
        <f t="shared" si="24"/>
        <v>46070.100000000006</v>
      </c>
      <c r="M76" s="74">
        <v>1</v>
      </c>
      <c r="N76" s="74">
        <v>3</v>
      </c>
      <c r="O76" s="75">
        <f t="shared" si="25"/>
        <v>46070.100000000006</v>
      </c>
      <c r="P76" s="82">
        <v>1</v>
      </c>
      <c r="Q76" s="82">
        <v>3</v>
      </c>
      <c r="R76" s="75">
        <f>F76*P76*Q76</f>
        <v>46070.100000000006</v>
      </c>
      <c r="S76" s="75">
        <f t="shared" si="20"/>
        <v>184280.40000000002</v>
      </c>
    </row>
    <row r="77" spans="1:19" s="76" customFormat="1" ht="49.5" customHeight="1">
      <c r="A77" s="77" t="s">
        <v>170</v>
      </c>
      <c r="B77" s="78" t="e">
        <f t="shared" si="21"/>
        <v>#REF!</v>
      </c>
      <c r="C77" s="79" t="s">
        <v>181</v>
      </c>
      <c r="D77" s="80" t="s">
        <v>179</v>
      </c>
      <c r="E77" s="81" t="s">
        <v>836</v>
      </c>
      <c r="F77" s="75"/>
      <c r="G77" s="74"/>
      <c r="H77" s="74"/>
      <c r="I77" s="75">
        <f>SUM(I75:I76)*17%</f>
        <v>23496.210000000003</v>
      </c>
      <c r="J77" s="74"/>
      <c r="K77" s="74"/>
      <c r="L77" s="75">
        <f>SUM(L75:L76)*17%</f>
        <v>23496.210000000003</v>
      </c>
      <c r="M77" s="74"/>
      <c r="N77" s="74"/>
      <c r="O77" s="75">
        <f>SUM(O75:O76)*17%</f>
        <v>23496.210000000003</v>
      </c>
      <c r="P77" s="82"/>
      <c r="Q77" s="82"/>
      <c r="R77" s="75">
        <f>SUM(R75:R76)*17%</f>
        <v>23496.210000000003</v>
      </c>
      <c r="S77" s="75">
        <f t="shared" si="20"/>
        <v>93984.840000000011</v>
      </c>
    </row>
    <row r="78" spans="1:19" s="76" customFormat="1" ht="128.1" customHeight="1">
      <c r="A78" s="77" t="s">
        <v>170</v>
      </c>
      <c r="B78" s="78" t="e">
        <f t="shared" si="21"/>
        <v>#REF!</v>
      </c>
      <c r="C78" s="79" t="s">
        <v>181</v>
      </c>
      <c r="D78" s="80" t="s">
        <v>175</v>
      </c>
      <c r="E78" s="631" t="s">
        <v>249</v>
      </c>
      <c r="F78" s="632">
        <f>((34127*10%)*(1+17%))</f>
        <v>3992.8589999999999</v>
      </c>
      <c r="G78" s="74"/>
      <c r="H78" s="74"/>
      <c r="I78" s="75"/>
      <c r="J78" s="74">
        <v>1</v>
      </c>
      <c r="K78" s="74">
        <v>3</v>
      </c>
      <c r="L78" s="75">
        <f>F78*J78*K78</f>
        <v>11978.576999999999</v>
      </c>
      <c r="M78" s="74">
        <v>1</v>
      </c>
      <c r="N78" s="74">
        <v>3</v>
      </c>
      <c r="O78" s="75">
        <f>F78*M78*N78</f>
        <v>11978.576999999999</v>
      </c>
      <c r="P78" s="82">
        <v>1</v>
      </c>
      <c r="Q78" s="82">
        <v>3</v>
      </c>
      <c r="R78" s="75">
        <f>F78*P78*Q78*2</f>
        <v>23957.153999999999</v>
      </c>
      <c r="S78" s="75">
        <f t="shared" si="20"/>
        <v>47914.307999999997</v>
      </c>
    </row>
    <row r="79" spans="1:19" s="76" customFormat="1" ht="129" customHeight="1">
      <c r="A79" s="77" t="s">
        <v>170</v>
      </c>
      <c r="B79" s="78" t="e">
        <f t="shared" si="21"/>
        <v>#REF!</v>
      </c>
      <c r="C79" s="79" t="s">
        <v>181</v>
      </c>
      <c r="D79" s="80" t="s">
        <v>175</v>
      </c>
      <c r="E79" s="631" t="s">
        <v>250</v>
      </c>
      <c r="F79" s="632">
        <f>((17063*10%)*(1+17%))</f>
        <v>1996.3710000000001</v>
      </c>
      <c r="G79" s="74"/>
      <c r="H79" s="74"/>
      <c r="I79" s="75"/>
      <c r="J79" s="74">
        <v>0.5</v>
      </c>
      <c r="K79" s="74">
        <v>3</v>
      </c>
      <c r="L79" s="75">
        <f>F79*J79*K79</f>
        <v>2994.5565000000001</v>
      </c>
      <c r="M79" s="74">
        <v>0.5</v>
      </c>
      <c r="N79" s="74">
        <v>3</v>
      </c>
      <c r="O79" s="75">
        <f>F79*M79*N79</f>
        <v>2994.5565000000001</v>
      </c>
      <c r="P79" s="82">
        <v>0.5</v>
      </c>
      <c r="Q79" s="82">
        <v>3</v>
      </c>
      <c r="R79" s="75">
        <f>F79*P79*Q79*2</f>
        <v>5989.1130000000003</v>
      </c>
      <c r="S79" s="75">
        <f t="shared" si="20"/>
        <v>11978.226000000001</v>
      </c>
    </row>
    <row r="80" spans="1:19" s="76" customFormat="1" ht="134.1" customHeight="1">
      <c r="A80" s="77" t="s">
        <v>170</v>
      </c>
      <c r="B80" s="78" t="e">
        <f t="shared" si="21"/>
        <v>#REF!</v>
      </c>
      <c r="C80" s="79" t="s">
        <v>181</v>
      </c>
      <c r="D80" s="80" t="s">
        <v>175</v>
      </c>
      <c r="E80" s="631" t="s">
        <v>251</v>
      </c>
      <c r="F80" s="632">
        <f>((17063*10%)*(1+17%))</f>
        <v>1996.3710000000001</v>
      </c>
      <c r="G80" s="74"/>
      <c r="H80" s="74"/>
      <c r="I80" s="75"/>
      <c r="J80" s="74">
        <v>1</v>
      </c>
      <c r="K80" s="74">
        <v>3</v>
      </c>
      <c r="L80" s="75">
        <f>F80*J80*K80</f>
        <v>5989.1130000000003</v>
      </c>
      <c r="M80" s="74">
        <v>1</v>
      </c>
      <c r="N80" s="74">
        <v>3</v>
      </c>
      <c r="O80" s="75">
        <f>F80*M80*N80</f>
        <v>5989.1130000000003</v>
      </c>
      <c r="P80" s="82">
        <v>1</v>
      </c>
      <c r="Q80" s="82">
        <v>3</v>
      </c>
      <c r="R80" s="75">
        <f>F80*P80*Q80*2</f>
        <v>11978.226000000001</v>
      </c>
      <c r="S80" s="75">
        <f t="shared" si="20"/>
        <v>23956.452000000001</v>
      </c>
    </row>
    <row r="81" spans="1:19" s="54" customFormat="1" ht="23.25" customHeight="1">
      <c r="A81" s="83"/>
      <c r="B81" s="83"/>
      <c r="C81" s="83"/>
      <c r="D81" s="66" t="s">
        <v>185</v>
      </c>
      <c r="E81" s="83"/>
      <c r="F81" s="83"/>
      <c r="G81" s="84"/>
      <c r="H81" s="84"/>
      <c r="I81" s="85">
        <f>SUM(I9:I80)</f>
        <v>1521172.8419999997</v>
      </c>
      <c r="J81" s="84"/>
      <c r="K81" s="84"/>
      <c r="L81" s="85">
        <f>SUM(L9:L80)</f>
        <v>1714689.5364999997</v>
      </c>
      <c r="M81" s="84"/>
      <c r="N81" s="84"/>
      <c r="O81" s="85">
        <f>SUM(O9:O80)</f>
        <v>1714689.5364999997</v>
      </c>
      <c r="P81" s="84"/>
      <c r="Q81" s="84"/>
      <c r="R81" s="85">
        <f>SUM(R9:R80)</f>
        <v>1868206.2309999999</v>
      </c>
      <c r="S81" s="85">
        <f>SUM(S9:S80)</f>
        <v>6818758.1459999979</v>
      </c>
    </row>
    <row r="82" spans="1:19">
      <c r="S82" s="87"/>
    </row>
    <row r="83" spans="1:19">
      <c r="R83" s="69">
        <f>S81*3/83.4</f>
        <v>245279.06999999992</v>
      </c>
      <c r="S83" s="87"/>
    </row>
    <row r="84" spans="1:19" ht="16.2">
      <c r="C84" s="88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Q84" s="90"/>
      <c r="R84" s="89"/>
      <c r="S84" s="87"/>
    </row>
    <row r="85" spans="1:19" s="40" customFormat="1" ht="15.75" customHeight="1">
      <c r="C85" s="993" t="s">
        <v>253</v>
      </c>
      <c r="D85" s="993"/>
      <c r="J85" s="994" t="s">
        <v>254</v>
      </c>
      <c r="K85" s="994"/>
      <c r="L85" s="41"/>
      <c r="M85" s="41"/>
      <c r="N85" s="41"/>
      <c r="O85" s="41"/>
      <c r="Q85" s="46"/>
    </row>
    <row r="86" spans="1:19" s="40" customFormat="1">
      <c r="C86" s="43"/>
      <c r="D86" s="41"/>
      <c r="J86" s="41"/>
      <c r="K86" s="44"/>
      <c r="L86" s="41"/>
      <c r="M86" s="41"/>
      <c r="N86" s="41"/>
      <c r="O86" s="41"/>
      <c r="Q86" s="46"/>
    </row>
    <row r="87" spans="1:19" s="40" customFormat="1" ht="42.6" customHeight="1">
      <c r="C87" s="992" t="s">
        <v>255</v>
      </c>
      <c r="D87" s="992"/>
      <c r="J87" s="53" t="s">
        <v>255</v>
      </c>
      <c r="K87" s="87"/>
      <c r="L87" s="53"/>
      <c r="M87" s="53"/>
      <c r="N87" s="53"/>
      <c r="O87" s="53"/>
    </row>
    <row r="88" spans="1:19" s="40" customFormat="1" ht="15.75" customHeight="1">
      <c r="C88" s="91"/>
      <c r="D88" s="91"/>
      <c r="J88" s="53"/>
      <c r="K88" s="87"/>
      <c r="L88" s="53"/>
      <c r="M88" s="53"/>
      <c r="N88" s="53"/>
      <c r="O88" s="53"/>
    </row>
    <row r="89" spans="1:19" s="40" customFormat="1" ht="15.75" customHeight="1">
      <c r="C89" s="992" t="s">
        <v>256</v>
      </c>
      <c r="D89" s="992"/>
      <c r="J89" s="92" t="s">
        <v>257</v>
      </c>
      <c r="K89" s="87"/>
      <c r="L89" s="53"/>
      <c r="M89" s="53"/>
      <c r="N89" s="53"/>
      <c r="O89" s="53"/>
    </row>
    <row r="90" spans="1:19" s="40" customFormat="1" ht="29.25" customHeight="1">
      <c r="C90" s="58"/>
      <c r="D90" s="53"/>
      <c r="K90" s="87"/>
      <c r="L90" s="53"/>
      <c r="M90" s="53"/>
      <c r="N90" s="53"/>
      <c r="O90" s="53"/>
    </row>
    <row r="91" spans="1:19" s="40" customFormat="1" ht="46.5" customHeight="1">
      <c r="C91" s="992" t="s">
        <v>258</v>
      </c>
      <c r="D91" s="992"/>
      <c r="J91" s="992" t="s">
        <v>259</v>
      </c>
      <c r="K91" s="992"/>
      <c r="L91" s="53"/>
      <c r="M91" s="53"/>
      <c r="N91" s="53"/>
      <c r="O91" s="53"/>
    </row>
    <row r="92" spans="1:19" s="40" customFormat="1" ht="0.75" customHeight="1">
      <c r="C92" s="58"/>
      <c r="D92" s="53"/>
      <c r="J92" s="91"/>
      <c r="K92" s="93"/>
      <c r="L92" s="53"/>
      <c r="M92" s="53"/>
      <c r="N92" s="53"/>
      <c r="O92" s="53"/>
    </row>
    <row r="93" spans="1:19" s="40" customFormat="1" ht="32.4" customHeight="1">
      <c r="C93" s="992" t="s">
        <v>260</v>
      </c>
      <c r="D93" s="992"/>
      <c r="J93" s="992" t="s">
        <v>260</v>
      </c>
      <c r="K93" s="992"/>
      <c r="L93" s="53"/>
      <c r="M93" s="53"/>
      <c r="N93" s="53"/>
      <c r="O93" s="53"/>
    </row>
    <row r="94" spans="1:19" s="40" customFormat="1" ht="28.5" customHeight="1">
      <c r="C94" s="45"/>
      <c r="K94" s="42"/>
    </row>
    <row r="95" spans="1:19" s="40" customFormat="1" ht="31.5" customHeight="1">
      <c r="C95" s="58" t="s">
        <v>261</v>
      </c>
      <c r="D95" s="53"/>
      <c r="J95" s="53" t="s">
        <v>261</v>
      </c>
      <c r="K95" s="87"/>
      <c r="L95" s="53"/>
      <c r="M95" s="53"/>
      <c r="N95" s="53"/>
      <c r="O95" s="53"/>
    </row>
    <row r="96" spans="1:19">
      <c r="K96" s="87"/>
      <c r="R96" s="53"/>
      <c r="S96" s="53"/>
    </row>
    <row r="97" spans="11:19">
      <c r="K97" s="87"/>
      <c r="R97" s="53"/>
      <c r="S97" s="53"/>
    </row>
    <row r="98" spans="11:19">
      <c r="S98" s="87"/>
    </row>
    <row r="99" spans="11:19">
      <c r="S99" s="87"/>
    </row>
    <row r="100" spans="11:19">
      <c r="S100" s="87"/>
    </row>
    <row r="101" spans="11:19">
      <c r="S101" s="87"/>
    </row>
    <row r="102" spans="11:19">
      <c r="S102" s="87"/>
    </row>
    <row r="103" spans="11:19">
      <c r="S103" s="87"/>
    </row>
    <row r="104" spans="11:19">
      <c r="S104" s="87"/>
    </row>
    <row r="105" spans="11:19">
      <c r="S105" s="87"/>
    </row>
    <row r="106" spans="11:19">
      <c r="S106" s="87"/>
    </row>
    <row r="107" spans="11:19">
      <c r="S107" s="87"/>
    </row>
    <row r="108" spans="11:19">
      <c r="S108" s="87"/>
    </row>
    <row r="109" spans="11:19">
      <c r="S109" s="87"/>
    </row>
    <row r="110" spans="11:19">
      <c r="S110" s="87"/>
    </row>
    <row r="111" spans="11:19">
      <c r="S111" s="87"/>
    </row>
    <row r="112" spans="11:19">
      <c r="S112" s="87"/>
    </row>
    <row r="113" spans="19:19">
      <c r="S113" s="87"/>
    </row>
    <row r="114" spans="19:19">
      <c r="S114" s="87"/>
    </row>
    <row r="115" spans="19:19">
      <c r="S115" s="87"/>
    </row>
    <row r="116" spans="19:19">
      <c r="S116" s="87"/>
    </row>
    <row r="117" spans="19:19">
      <c r="S117" s="87"/>
    </row>
    <row r="118" spans="19:19">
      <c r="S118" s="87"/>
    </row>
    <row r="119" spans="19:19">
      <c r="S119" s="87"/>
    </row>
    <row r="120" spans="19:19">
      <c r="S120" s="87"/>
    </row>
    <row r="121" spans="19:19">
      <c r="S121" s="87"/>
    </row>
    <row r="122" spans="19:19">
      <c r="S122" s="87"/>
    </row>
    <row r="123" spans="19:19">
      <c r="S123" s="87"/>
    </row>
    <row r="124" spans="19:19">
      <c r="S124" s="87"/>
    </row>
    <row r="125" spans="19:19">
      <c r="S125" s="87"/>
    </row>
    <row r="126" spans="19:19">
      <c r="S126" s="87"/>
    </row>
    <row r="127" spans="19:19">
      <c r="S127" s="87"/>
    </row>
    <row r="128" spans="19:19">
      <c r="S128" s="87"/>
    </row>
    <row r="129" spans="19:19">
      <c r="S129" s="87"/>
    </row>
    <row r="130" spans="19:19">
      <c r="S130" s="87"/>
    </row>
    <row r="131" spans="19:19">
      <c r="S131" s="87"/>
    </row>
    <row r="132" spans="19:19">
      <c r="S132" s="87"/>
    </row>
    <row r="133" spans="19:19">
      <c r="S133" s="87"/>
    </row>
    <row r="134" spans="19:19">
      <c r="S134" s="87"/>
    </row>
    <row r="135" spans="19:19">
      <c r="S135" s="87"/>
    </row>
    <row r="136" spans="19:19">
      <c r="S136" s="87"/>
    </row>
    <row r="137" spans="19:19">
      <c r="S137" s="87"/>
    </row>
    <row r="138" spans="19:19">
      <c r="S138" s="87"/>
    </row>
    <row r="139" spans="19:19">
      <c r="S139" s="87"/>
    </row>
    <row r="140" spans="19:19">
      <c r="S140" s="87"/>
    </row>
    <row r="141" spans="19:19">
      <c r="S141" s="87"/>
    </row>
    <row r="142" spans="19:19">
      <c r="S142" s="87"/>
    </row>
    <row r="143" spans="19:19">
      <c r="S143" s="87"/>
    </row>
    <row r="144" spans="19:19">
      <c r="S144" s="87"/>
    </row>
    <row r="145" spans="19:19">
      <c r="S145" s="87"/>
    </row>
    <row r="146" spans="19:19">
      <c r="S146" s="87"/>
    </row>
    <row r="147" spans="19:19">
      <c r="S147" s="87"/>
    </row>
    <row r="148" spans="19:19">
      <c r="S148" s="87"/>
    </row>
    <row r="149" spans="19:19">
      <c r="S149" s="87"/>
    </row>
    <row r="150" spans="19:19">
      <c r="S150" s="87"/>
    </row>
    <row r="151" spans="19:19">
      <c r="S151" s="87"/>
    </row>
    <row r="152" spans="19:19">
      <c r="S152" s="87"/>
    </row>
    <row r="153" spans="19:19">
      <c r="S153" s="87"/>
    </row>
    <row r="154" spans="19:19">
      <c r="S154" s="87"/>
    </row>
    <row r="155" spans="19:19">
      <c r="S155" s="87"/>
    </row>
    <row r="156" spans="19:19">
      <c r="S156" s="87"/>
    </row>
    <row r="157" spans="19:19">
      <c r="S157" s="87"/>
    </row>
    <row r="158" spans="19:19">
      <c r="S158" s="87"/>
    </row>
    <row r="159" spans="19:19">
      <c r="S159" s="87"/>
    </row>
    <row r="160" spans="19:19">
      <c r="S160" s="87"/>
    </row>
    <row r="161" spans="19:19">
      <c r="S161" s="87"/>
    </row>
    <row r="162" spans="19:19">
      <c r="S162" s="87"/>
    </row>
    <row r="163" spans="19:19">
      <c r="S163" s="87"/>
    </row>
    <row r="164" spans="19:19">
      <c r="S164" s="87"/>
    </row>
    <row r="165" spans="19:19">
      <c r="S165" s="87"/>
    </row>
    <row r="166" spans="19:19">
      <c r="S166" s="87"/>
    </row>
    <row r="167" spans="19:19">
      <c r="S167" s="87"/>
    </row>
    <row r="168" spans="19:19">
      <c r="S168" s="87"/>
    </row>
    <row r="169" spans="19:19">
      <c r="S169" s="87"/>
    </row>
    <row r="170" spans="19:19">
      <c r="S170" s="87"/>
    </row>
    <row r="171" spans="19:19">
      <c r="S171" s="87"/>
    </row>
    <row r="172" spans="19:19">
      <c r="S172" s="87"/>
    </row>
    <row r="173" spans="19:19">
      <c r="S173" s="87"/>
    </row>
    <row r="174" spans="19:19">
      <c r="S174" s="87"/>
    </row>
    <row r="175" spans="19:19">
      <c r="S175" s="87"/>
    </row>
    <row r="176" spans="19:19">
      <c r="S176" s="87"/>
    </row>
    <row r="177" spans="19:19">
      <c r="S177" s="87"/>
    </row>
    <row r="178" spans="19:19">
      <c r="S178" s="87"/>
    </row>
  </sheetData>
  <autoFilter ref="A8:S81"/>
  <mergeCells count="11">
    <mergeCell ref="P1:R1"/>
    <mergeCell ref="A2:S2"/>
    <mergeCell ref="F5:K5"/>
    <mergeCell ref="C93:D93"/>
    <mergeCell ref="J93:K93"/>
    <mergeCell ref="C85:D85"/>
    <mergeCell ref="J85:K85"/>
    <mergeCell ref="C87:D87"/>
    <mergeCell ref="C89:D89"/>
    <mergeCell ref="C91:D91"/>
    <mergeCell ref="J91:K91"/>
  </mergeCells>
  <dataValidations count="1">
    <dataValidation type="list" allowBlank="1" showInputMessage="1" showErrorMessage="1" sqref="D9 D57:D62">
      <formula1>CostInput</formula1>
    </dataValidation>
  </dataValidations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rowBreaks count="2" manualBreakCount="2">
    <brk id="34" max="18" man="1"/>
    <brk id="52" max="18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27" zoomScale="80" zoomScaleNormal="80" workbookViewId="0">
      <selection activeCell="I47" sqref="I47"/>
    </sheetView>
  </sheetViews>
  <sheetFormatPr defaultColWidth="8.6640625" defaultRowHeight="14.4"/>
  <cols>
    <col min="1" max="1" width="8.6640625" style="94"/>
    <col min="2" max="2" width="80.44140625" style="94" customWidth="1"/>
    <col min="3" max="3" width="17.33203125" style="94" customWidth="1"/>
    <col min="4" max="4" width="11.33203125" style="94" customWidth="1"/>
    <col min="5" max="5" width="11.6640625" style="94" customWidth="1"/>
    <col min="6" max="6" width="15.88671875" style="94" customWidth="1"/>
    <col min="7" max="8" width="10.5546875" style="94" customWidth="1"/>
    <col min="9" max="9" width="15.109375" style="94" customWidth="1"/>
    <col min="10" max="11" width="8.6640625" style="94"/>
    <col min="12" max="12" width="13" style="94" customWidth="1"/>
    <col min="13" max="13" width="9.88671875" style="94" customWidth="1"/>
    <col min="14" max="16384" width="8.6640625" style="94"/>
  </cols>
  <sheetData>
    <row r="1" spans="1:9">
      <c r="C1" s="94">
        <v>1</v>
      </c>
      <c r="D1" s="94">
        <v>2</v>
      </c>
      <c r="E1" s="94">
        <v>3</v>
      </c>
    </row>
    <row r="2" spans="1:9">
      <c r="B2" s="191" t="s">
        <v>98</v>
      </c>
      <c r="C2" s="192">
        <v>17150</v>
      </c>
      <c r="D2" s="192">
        <v>17300</v>
      </c>
      <c r="E2" s="192">
        <v>17500</v>
      </c>
    </row>
    <row r="3" spans="1:9">
      <c r="B3" s="191" t="s">
        <v>97</v>
      </c>
      <c r="C3" s="191">
        <f>C2-C6</f>
        <v>15850</v>
      </c>
      <c r="D3" s="191">
        <f>D2-D6</f>
        <v>16000</v>
      </c>
      <c r="E3" s="191">
        <f>E2-E6</f>
        <v>16200</v>
      </c>
      <c r="F3" s="94">
        <f>C3/150</f>
        <v>105.66666666666667</v>
      </c>
      <c r="G3" s="94">
        <f>D3/150</f>
        <v>106.66666666666667</v>
      </c>
      <c r="H3" s="94">
        <f>E3/150</f>
        <v>108</v>
      </c>
    </row>
    <row r="4" spans="1:9">
      <c r="B4" s="191" t="s">
        <v>71</v>
      </c>
      <c r="C4" s="192">
        <f>C3*70%</f>
        <v>11095</v>
      </c>
      <c r="D4" s="192">
        <f>D3*70%</f>
        <v>11200</v>
      </c>
      <c r="E4" s="192">
        <f>E3*70%</f>
        <v>11340</v>
      </c>
      <c r="F4" s="94">
        <f>C4/150</f>
        <v>73.966666666666669</v>
      </c>
    </row>
    <row r="5" spans="1:9">
      <c r="B5" s="191" t="s">
        <v>72</v>
      </c>
      <c r="C5" s="192">
        <f>C3*30%</f>
        <v>4755</v>
      </c>
      <c r="D5" s="192">
        <f>D3*30%</f>
        <v>4800</v>
      </c>
      <c r="E5" s="192">
        <f>E3*30%</f>
        <v>4860</v>
      </c>
      <c r="F5" s="94">
        <f>C5/150</f>
        <v>31.7</v>
      </c>
      <c r="G5" s="94">
        <f>F5/5</f>
        <v>6.34</v>
      </c>
    </row>
    <row r="6" spans="1:9">
      <c r="B6" s="191" t="s">
        <v>73</v>
      </c>
      <c r="C6" s="192">
        <v>1300</v>
      </c>
      <c r="D6" s="192">
        <v>1300</v>
      </c>
      <c r="E6" s="192">
        <v>1300</v>
      </c>
    </row>
    <row r="8" spans="1:9" ht="21.75" customHeight="1">
      <c r="B8" s="193"/>
      <c r="C8" s="194" t="s">
        <v>84</v>
      </c>
      <c r="D8" s="94">
        <v>0.17</v>
      </c>
      <c r="E8" s="194" t="s">
        <v>3</v>
      </c>
      <c r="F8" s="194" t="s">
        <v>75</v>
      </c>
      <c r="G8" s="194" t="s">
        <v>76</v>
      </c>
      <c r="H8" s="194" t="s">
        <v>77</v>
      </c>
      <c r="I8" s="194" t="s">
        <v>78</v>
      </c>
    </row>
    <row r="9" spans="1:9" ht="21.75" customHeight="1">
      <c r="B9" s="195" t="s">
        <v>133</v>
      </c>
      <c r="C9" s="194"/>
      <c r="E9" s="194"/>
      <c r="F9" s="194"/>
      <c r="G9" s="194"/>
      <c r="H9" s="194"/>
      <c r="I9" s="194"/>
    </row>
    <row r="10" spans="1:9">
      <c r="A10" s="94">
        <v>1</v>
      </c>
      <c r="B10" s="194" t="s">
        <v>74</v>
      </c>
      <c r="C10" s="196">
        <v>480</v>
      </c>
      <c r="D10" s="94">
        <f t="shared" ref="D10:D13" si="0">C10*$D$8</f>
        <v>81.600000000000009</v>
      </c>
      <c r="E10" s="94">
        <v>1</v>
      </c>
      <c r="F10" s="94">
        <f t="shared" ref="F10:F13" si="1">(C10+D10)*E10*12</f>
        <v>6739.2000000000007</v>
      </c>
      <c r="G10" s="94">
        <f t="shared" ref="G10:G21" si="2">F10</f>
        <v>6739.2000000000007</v>
      </c>
      <c r="H10" s="94">
        <f t="shared" ref="H10:H14" si="3">F10</f>
        <v>6739.2000000000007</v>
      </c>
      <c r="I10" s="94">
        <f t="shared" ref="I10:I21" si="4">F10+G10+H10</f>
        <v>20217.600000000002</v>
      </c>
    </row>
    <row r="11" spans="1:9">
      <c r="B11" s="194" t="s">
        <v>79</v>
      </c>
      <c r="C11" s="196">
        <v>330</v>
      </c>
      <c r="D11" s="94">
        <f t="shared" si="0"/>
        <v>56.1</v>
      </c>
      <c r="E11" s="94">
        <v>1</v>
      </c>
      <c r="F11" s="94">
        <f t="shared" si="1"/>
        <v>4633.2000000000007</v>
      </c>
      <c r="G11" s="94">
        <f t="shared" si="2"/>
        <v>4633.2000000000007</v>
      </c>
      <c r="H11" s="94">
        <f t="shared" si="3"/>
        <v>4633.2000000000007</v>
      </c>
      <c r="I11" s="94">
        <f t="shared" si="4"/>
        <v>13899.600000000002</v>
      </c>
    </row>
    <row r="12" spans="1:9">
      <c r="B12" s="194" t="s">
        <v>80</v>
      </c>
      <c r="C12" s="196">
        <v>330</v>
      </c>
      <c r="D12" s="94">
        <f t="shared" si="0"/>
        <v>56.1</v>
      </c>
      <c r="E12" s="94">
        <v>1</v>
      </c>
      <c r="F12" s="94">
        <f t="shared" si="1"/>
        <v>4633.2000000000007</v>
      </c>
      <c r="G12" s="94">
        <f t="shared" si="2"/>
        <v>4633.2000000000007</v>
      </c>
      <c r="H12" s="94">
        <f t="shared" si="3"/>
        <v>4633.2000000000007</v>
      </c>
      <c r="I12" s="94">
        <f t="shared" si="4"/>
        <v>13899.600000000002</v>
      </c>
    </row>
    <row r="13" spans="1:9">
      <c r="B13" s="194" t="s">
        <v>81</v>
      </c>
      <c r="C13" s="196">
        <v>330</v>
      </c>
      <c r="D13" s="94">
        <f t="shared" si="0"/>
        <v>56.1</v>
      </c>
      <c r="E13" s="94">
        <v>2</v>
      </c>
      <c r="F13" s="94">
        <f t="shared" si="1"/>
        <v>9266.4000000000015</v>
      </c>
      <c r="G13" s="94">
        <f t="shared" si="2"/>
        <v>9266.4000000000015</v>
      </c>
      <c r="H13" s="94">
        <f t="shared" si="3"/>
        <v>9266.4000000000015</v>
      </c>
      <c r="I13" s="94">
        <f t="shared" si="4"/>
        <v>27799.200000000004</v>
      </c>
    </row>
    <row r="14" spans="1:9">
      <c r="B14" s="194" t="s">
        <v>83</v>
      </c>
      <c r="C14" s="94">
        <v>150</v>
      </c>
      <c r="F14" s="94">
        <f>C14*12</f>
        <v>1800</v>
      </c>
      <c r="G14" s="94">
        <f t="shared" si="2"/>
        <v>1800</v>
      </c>
      <c r="H14" s="94">
        <f t="shared" si="3"/>
        <v>1800</v>
      </c>
      <c r="I14" s="94">
        <f t="shared" si="4"/>
        <v>5400</v>
      </c>
    </row>
    <row r="15" spans="1:9">
      <c r="B15" s="197" t="s">
        <v>138</v>
      </c>
      <c r="C15" s="94">
        <v>3</v>
      </c>
      <c r="E15" s="94">
        <f>15*2*12</f>
        <v>360</v>
      </c>
      <c r="F15" s="94">
        <f>C15*E15</f>
        <v>1080</v>
      </c>
      <c r="G15" s="94">
        <f t="shared" ref="G15" si="5">F15</f>
        <v>1080</v>
      </c>
      <c r="H15" s="94">
        <f t="shared" ref="H15" si="6">F15</f>
        <v>1080</v>
      </c>
      <c r="I15" s="94">
        <f t="shared" si="4"/>
        <v>3240</v>
      </c>
    </row>
    <row r="16" spans="1:9">
      <c r="B16" s="198" t="s">
        <v>391</v>
      </c>
      <c r="C16" s="94">
        <v>1000</v>
      </c>
      <c r="E16" s="94">
        <v>2</v>
      </c>
      <c r="F16" s="94">
        <f>C16*E16</f>
        <v>2000</v>
      </c>
      <c r="I16" s="94">
        <f t="shared" ref="I16" si="7">F16+G16+H16</f>
        <v>2000</v>
      </c>
    </row>
    <row r="17" spans="1:9">
      <c r="B17" s="197" t="s">
        <v>137</v>
      </c>
      <c r="C17" s="94">
        <v>4.5</v>
      </c>
      <c r="E17" s="94">
        <f>15*13</f>
        <v>195</v>
      </c>
      <c r="F17" s="94">
        <f>E17*C17</f>
        <v>877.5</v>
      </c>
      <c r="I17" s="94">
        <f t="shared" si="4"/>
        <v>877.5</v>
      </c>
    </row>
    <row r="18" spans="1:9">
      <c r="B18" s="197" t="s">
        <v>134</v>
      </c>
      <c r="C18" s="94">
        <v>10</v>
      </c>
      <c r="E18" s="94">
        <v>5</v>
      </c>
      <c r="F18" s="94">
        <f>C18*E18*12</f>
        <v>600</v>
      </c>
      <c r="G18" s="94">
        <f t="shared" ref="G18" si="8">F18</f>
        <v>600</v>
      </c>
      <c r="H18" s="94">
        <f t="shared" ref="H18" si="9">F18</f>
        <v>600</v>
      </c>
      <c r="I18" s="94">
        <f t="shared" ref="I18" si="10">F18+G18+H18</f>
        <v>1800</v>
      </c>
    </row>
    <row r="19" spans="1:9">
      <c r="B19" s="194" t="s">
        <v>86</v>
      </c>
      <c r="C19" s="94">
        <v>500</v>
      </c>
      <c r="E19" s="94">
        <v>1</v>
      </c>
      <c r="F19" s="94">
        <f>C19*E19*12</f>
        <v>6000</v>
      </c>
      <c r="G19" s="94">
        <f t="shared" si="2"/>
        <v>6000</v>
      </c>
      <c r="H19" s="94">
        <f>G19</f>
        <v>6000</v>
      </c>
      <c r="I19" s="94">
        <f t="shared" si="4"/>
        <v>18000</v>
      </c>
    </row>
    <row r="20" spans="1:9">
      <c r="B20" s="194" t="s">
        <v>87</v>
      </c>
      <c r="C20" s="94">
        <v>30</v>
      </c>
      <c r="F20" s="94">
        <f>C20*12</f>
        <v>360</v>
      </c>
      <c r="G20" s="94">
        <f t="shared" si="2"/>
        <v>360</v>
      </c>
      <c r="H20" s="94">
        <f>F20</f>
        <v>360</v>
      </c>
      <c r="I20" s="94">
        <f t="shared" si="4"/>
        <v>1080</v>
      </c>
    </row>
    <row r="21" spans="1:9">
      <c r="B21" s="194" t="s">
        <v>88</v>
      </c>
      <c r="C21" s="94">
        <v>30</v>
      </c>
      <c r="F21" s="94">
        <f>C21*12</f>
        <v>360</v>
      </c>
      <c r="G21" s="94">
        <f t="shared" si="2"/>
        <v>360</v>
      </c>
      <c r="H21" s="94">
        <f>F21</f>
        <v>360</v>
      </c>
      <c r="I21" s="94">
        <f t="shared" si="4"/>
        <v>1080</v>
      </c>
    </row>
    <row r="22" spans="1:9" s="199" customFormat="1">
      <c r="B22" s="199" t="s">
        <v>142</v>
      </c>
      <c r="F22" s="199">
        <f>SUM(F10:F21)</f>
        <v>38349.5</v>
      </c>
      <c r="G22" s="199">
        <f>SUM(G10:G21)</f>
        <v>35472</v>
      </c>
      <c r="H22" s="199">
        <f>SUM(H10:H21)</f>
        <v>35472</v>
      </c>
      <c r="I22" s="199">
        <f>SUM(I10:I21)</f>
        <v>109293.5</v>
      </c>
    </row>
    <row r="23" spans="1:9" ht="30" customHeight="1">
      <c r="B23" s="197" t="s">
        <v>135</v>
      </c>
      <c r="C23" s="94">
        <v>750</v>
      </c>
      <c r="E23" s="94">
        <v>2</v>
      </c>
      <c r="F23" s="94">
        <f t="shared" ref="F23:F24" si="11">C23*E23</f>
        <v>1500</v>
      </c>
      <c r="I23" s="94">
        <f t="shared" ref="I23:I24" si="12">F23+G23+H23</f>
        <v>1500</v>
      </c>
    </row>
    <row r="24" spans="1:9" s="196" customFormat="1">
      <c r="B24" s="196" t="s">
        <v>136</v>
      </c>
      <c r="C24" s="196">
        <v>4000</v>
      </c>
      <c r="E24" s="196">
        <v>1</v>
      </c>
      <c r="F24" s="196">
        <f t="shared" si="11"/>
        <v>4000</v>
      </c>
      <c r="G24" s="196">
        <f>F24</f>
        <v>4000</v>
      </c>
      <c r="H24" s="196">
        <f>G24</f>
        <v>4000</v>
      </c>
      <c r="I24" s="196">
        <f t="shared" si="12"/>
        <v>12000</v>
      </c>
    </row>
    <row r="25" spans="1:9" s="199" customFormat="1" ht="14.25" customHeight="1">
      <c r="I25" s="199">
        <f>SUM(I23:I24)</f>
        <v>13500</v>
      </c>
    </row>
    <row r="26" spans="1:9" ht="27.6">
      <c r="A26" s="194">
        <v>8</v>
      </c>
      <c r="B26" s="200" t="s">
        <v>58</v>
      </c>
    </row>
    <row r="27" spans="1:9">
      <c r="B27" s="197" t="s">
        <v>143</v>
      </c>
      <c r="C27" s="94">
        <v>1200</v>
      </c>
      <c r="E27" s="94">
        <v>1</v>
      </c>
      <c r="F27" s="94">
        <f>C27*E27</f>
        <v>1200</v>
      </c>
      <c r="I27" s="94">
        <f>F27+G27+H27</f>
        <v>1200</v>
      </c>
    </row>
    <row r="28" spans="1:9">
      <c r="B28" s="197" t="s">
        <v>145</v>
      </c>
      <c r="C28" s="94">
        <v>100</v>
      </c>
      <c r="E28" s="94">
        <v>3</v>
      </c>
      <c r="F28" s="94">
        <f>C28*E28</f>
        <v>300</v>
      </c>
      <c r="I28" s="94">
        <f>F28+G28+H28</f>
        <v>300</v>
      </c>
    </row>
    <row r="29" spans="1:9">
      <c r="B29" s="197" t="s">
        <v>144</v>
      </c>
      <c r="C29" s="94">
        <f>7/83</f>
        <v>8.4337349397590355E-2</v>
      </c>
      <c r="E29" s="94">
        <f>2000*3</f>
        <v>6000</v>
      </c>
      <c r="F29" s="94">
        <f>C29*E29</f>
        <v>506.02409638554212</v>
      </c>
      <c r="G29" s="94">
        <f>F29</f>
        <v>506.02409638554212</v>
      </c>
      <c r="H29" s="94">
        <f>G29</f>
        <v>506.02409638554212</v>
      </c>
      <c r="I29" s="94">
        <f>F29+G29+H29</f>
        <v>1518.0722891566263</v>
      </c>
    </row>
    <row r="30" spans="1:9" s="199" customFormat="1">
      <c r="I30" s="199">
        <f>SUM(I27:I29)</f>
        <v>3018.0722891566265</v>
      </c>
    </row>
    <row r="31" spans="1:9">
      <c r="B31" s="201" t="s">
        <v>59</v>
      </c>
    </row>
    <row r="32" spans="1:9" s="196" customFormat="1"/>
    <row r="33" spans="2:13" s="203" customFormat="1">
      <c r="B33" s="202"/>
    </row>
    <row r="34" spans="2:13">
      <c r="B34" s="197" t="s">
        <v>147</v>
      </c>
      <c r="C34" s="94">
        <v>1000</v>
      </c>
      <c r="E34" s="94">
        <v>1</v>
      </c>
      <c r="F34" s="94">
        <f>C34*E34</f>
        <v>1000</v>
      </c>
      <c r="I34" s="94">
        <f>F34+G34+H34</f>
        <v>1000</v>
      </c>
    </row>
    <row r="35" spans="2:13">
      <c r="B35" s="197" t="s">
        <v>146</v>
      </c>
      <c r="C35" s="94">
        <v>3</v>
      </c>
      <c r="E35" s="94">
        <v>150</v>
      </c>
      <c r="F35" s="94">
        <f>C35*E35</f>
        <v>450</v>
      </c>
      <c r="G35" s="94">
        <f t="shared" ref="G35:G37" si="13">F35</f>
        <v>450</v>
      </c>
      <c r="I35" s="94">
        <f>F35+G35+H35</f>
        <v>900</v>
      </c>
    </row>
    <row r="36" spans="2:13">
      <c r="B36" s="197" t="s">
        <v>148</v>
      </c>
      <c r="C36" s="94">
        <v>1000</v>
      </c>
      <c r="E36" s="94">
        <v>1</v>
      </c>
      <c r="F36" s="94">
        <f>C36*E36</f>
        <v>1000</v>
      </c>
      <c r="G36" s="94">
        <f t="shared" si="13"/>
        <v>1000</v>
      </c>
      <c r="I36" s="94">
        <f>F36+G36+H36</f>
        <v>2000</v>
      </c>
    </row>
    <row r="37" spans="2:13">
      <c r="B37" s="197" t="s">
        <v>149</v>
      </c>
      <c r="C37" s="94">
        <v>5</v>
      </c>
      <c r="E37" s="94">
        <v>150</v>
      </c>
      <c r="F37" s="94">
        <f>C37*E37</f>
        <v>750</v>
      </c>
      <c r="G37" s="94">
        <f t="shared" si="13"/>
        <v>750</v>
      </c>
      <c r="I37" s="94">
        <f>F37+G37+H37</f>
        <v>1500</v>
      </c>
    </row>
    <row r="38" spans="2:13" s="199" customFormat="1">
      <c r="I38" s="199">
        <f>SUM(I32:I37)</f>
        <v>5400</v>
      </c>
    </row>
    <row r="39" spans="2:13">
      <c r="B39" s="201"/>
    </row>
    <row r="40" spans="2:13">
      <c r="B40" s="197"/>
    </row>
    <row r="41" spans="2:13" s="199" customFormat="1">
      <c r="I41" s="199">
        <f>SUM(I40:I40)</f>
        <v>0</v>
      </c>
    </row>
    <row r="42" spans="2:13">
      <c r="G42" s="204" t="s">
        <v>131</v>
      </c>
      <c r="I42" s="94">
        <f>I41+I38+I30+I25+I22</f>
        <v>131211.57228915661</v>
      </c>
      <c r="L42" s="94">
        <v>265544.8722891566</v>
      </c>
      <c r="M42" s="94">
        <f>L42*20/100</f>
        <v>53108.974457831318</v>
      </c>
    </row>
    <row r="43" spans="2:13">
      <c r="G43" s="204"/>
    </row>
    <row r="44" spans="2:13">
      <c r="I44" s="94">
        <f>L42-I42</f>
        <v>134333.29999999999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7" zoomScale="91" zoomScaleNormal="91" workbookViewId="0">
      <selection activeCell="D8" sqref="D8"/>
    </sheetView>
  </sheetViews>
  <sheetFormatPr defaultColWidth="9.109375" defaultRowHeight="14.4"/>
  <cols>
    <col min="1" max="1" width="9.109375" style="154"/>
    <col min="2" max="2" width="33" style="154" customWidth="1"/>
    <col min="3" max="3" width="74.88671875" style="154" customWidth="1"/>
    <col min="4" max="4" width="25.109375" style="154" customWidth="1"/>
    <col min="5" max="5" width="28.6640625" style="154" customWidth="1"/>
    <col min="6" max="16384" width="9.109375" style="154"/>
  </cols>
  <sheetData>
    <row r="1" spans="1:5">
      <c r="A1" s="151" t="s">
        <v>60</v>
      </c>
      <c r="B1" s="995" t="s">
        <v>61</v>
      </c>
      <c r="C1" s="996"/>
      <c r="D1" s="152"/>
      <c r="E1" s="153"/>
    </row>
    <row r="2" spans="1:5">
      <c r="A2" s="155"/>
      <c r="B2" s="156" t="s">
        <v>62</v>
      </c>
      <c r="C2" s="157"/>
      <c r="D2" s="157"/>
      <c r="E2" s="158"/>
    </row>
    <row r="3" spans="1:5" ht="96.6">
      <c r="A3" s="155"/>
      <c r="B3" s="159" t="s">
        <v>341</v>
      </c>
      <c r="C3" s="160" t="s">
        <v>342</v>
      </c>
      <c r="D3" s="159">
        <v>21700</v>
      </c>
      <c r="E3" s="161"/>
    </row>
    <row r="4" spans="1:5" ht="138.6">
      <c r="A4" s="155"/>
      <c r="B4" s="159" t="s">
        <v>343</v>
      </c>
      <c r="C4" s="159" t="s">
        <v>793</v>
      </c>
      <c r="D4" s="159">
        <v>7700</v>
      </c>
      <c r="E4" s="161"/>
    </row>
    <row r="5" spans="1:5" ht="193.8">
      <c r="A5" s="155"/>
      <c r="B5" s="159" t="s">
        <v>344</v>
      </c>
      <c r="C5" s="159" t="s">
        <v>794</v>
      </c>
      <c r="D5" s="159">
        <v>25920</v>
      </c>
      <c r="E5" s="161"/>
    </row>
    <row r="6" spans="1:5" ht="97.2">
      <c r="A6" s="155"/>
      <c r="B6" s="159" t="s">
        <v>345</v>
      </c>
      <c r="C6" s="159" t="s">
        <v>346</v>
      </c>
      <c r="D6" s="159">
        <v>7300</v>
      </c>
      <c r="E6" s="161"/>
    </row>
    <row r="7" spans="1:5" ht="28.5" customHeight="1">
      <c r="A7" s="155"/>
      <c r="B7" s="159"/>
      <c r="C7" s="159"/>
      <c r="D7" s="159">
        <f>SUM(D3:D6)</f>
        <v>62620</v>
      </c>
      <c r="E7" s="161"/>
    </row>
  </sheetData>
  <mergeCells count="1">
    <mergeCell ref="B1:C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zoomScale="85" zoomScaleNormal="85" workbookViewId="0">
      <pane ySplit="5" topLeftCell="A6" activePane="bottomLeft" state="frozen"/>
      <selection activeCell="B1" sqref="B1"/>
      <selection pane="bottomLeft" activeCell="B10" sqref="B10"/>
    </sheetView>
  </sheetViews>
  <sheetFormatPr defaultColWidth="9.109375" defaultRowHeight="14.4"/>
  <cols>
    <col min="1" max="1" width="9.109375" style="154"/>
    <col min="2" max="2" width="83.33203125" style="154" customWidth="1"/>
    <col min="3" max="3" width="17.33203125" style="154" customWidth="1"/>
    <col min="4" max="4" width="11.6640625" style="154" bestFit="1" customWidth="1"/>
    <col min="5" max="5" width="13.88671875" style="154" customWidth="1"/>
    <col min="6" max="6" width="15.88671875" style="154" customWidth="1"/>
    <col min="7" max="7" width="14.44140625" style="154" customWidth="1"/>
    <col min="8" max="9" width="14.5546875" style="154" customWidth="1"/>
    <col min="10" max="10" width="13.6640625" style="154" customWidth="1"/>
    <col min="11" max="16384" width="9.109375" style="154"/>
  </cols>
  <sheetData>
    <row r="1" spans="1:9">
      <c r="C1" s="154">
        <v>1</v>
      </c>
      <c r="D1" s="154">
        <v>2</v>
      </c>
      <c r="E1" s="154">
        <v>3</v>
      </c>
    </row>
    <row r="2" spans="1:9">
      <c r="B2" s="164" t="s">
        <v>348</v>
      </c>
      <c r="C2" s="165">
        <f>8253-5766</f>
        <v>2487</v>
      </c>
      <c r="D2" s="166">
        <f>C2+D3</f>
        <v>2667</v>
      </c>
      <c r="E2" s="166">
        <f>D2+E3</f>
        <v>2857</v>
      </c>
    </row>
    <row r="3" spans="1:9">
      <c r="B3" s="164" t="s">
        <v>349</v>
      </c>
      <c r="C3" s="166">
        <f>1700*10%</f>
        <v>170</v>
      </c>
      <c r="D3" s="165">
        <f>180</f>
        <v>180</v>
      </c>
      <c r="E3" s="165">
        <v>190</v>
      </c>
    </row>
    <row r="5" spans="1:9" ht="29.4" customHeight="1">
      <c r="B5" s="167"/>
      <c r="C5" s="168" t="s">
        <v>84</v>
      </c>
      <c r="D5" s="169">
        <v>0.17</v>
      </c>
      <c r="E5" s="170" t="s">
        <v>3</v>
      </c>
      <c r="F5" s="171" t="s">
        <v>75</v>
      </c>
      <c r="G5" s="171" t="s">
        <v>76</v>
      </c>
      <c r="H5" s="171" t="s">
        <v>77</v>
      </c>
      <c r="I5" s="172" t="s">
        <v>78</v>
      </c>
    </row>
    <row r="6" spans="1:9">
      <c r="A6" s="154">
        <v>1</v>
      </c>
      <c r="B6" s="168" t="s">
        <v>74</v>
      </c>
      <c r="C6" s="154">
        <v>500</v>
      </c>
      <c r="D6" s="154">
        <f>C6*$D$5</f>
        <v>85</v>
      </c>
      <c r="E6" s="154">
        <v>1</v>
      </c>
      <c r="F6" s="154">
        <f>(C6+D6)*E6*12</f>
        <v>7020</v>
      </c>
      <c r="G6" s="154">
        <f t="shared" ref="G6:G15" si="0">F6</f>
        <v>7020</v>
      </c>
      <c r="H6" s="154">
        <f t="shared" ref="H6:H13" si="1">F6</f>
        <v>7020</v>
      </c>
      <c r="I6" s="154">
        <f t="shared" ref="I6:I18" si="2">F6+G6+H6</f>
        <v>21060</v>
      </c>
    </row>
    <row r="7" spans="1:9">
      <c r="B7" s="168" t="s">
        <v>79</v>
      </c>
      <c r="C7" s="154">
        <v>350</v>
      </c>
      <c r="D7" s="154">
        <f>C7*$D$5</f>
        <v>59.500000000000007</v>
      </c>
      <c r="E7" s="154">
        <v>1</v>
      </c>
      <c r="F7" s="154">
        <f t="shared" ref="F7:F12" si="3">(C7+D7)*E7*12</f>
        <v>4914</v>
      </c>
      <c r="G7" s="154">
        <f t="shared" si="0"/>
        <v>4914</v>
      </c>
      <c r="H7" s="154">
        <f t="shared" si="1"/>
        <v>4914</v>
      </c>
      <c r="I7" s="154">
        <f t="shared" si="2"/>
        <v>14742</v>
      </c>
    </row>
    <row r="8" spans="1:9">
      <c r="B8" s="168" t="s">
        <v>80</v>
      </c>
      <c r="C8" s="154">
        <v>350</v>
      </c>
      <c r="D8" s="154">
        <f>C8*$D$5</f>
        <v>59.500000000000007</v>
      </c>
      <c r="E8" s="154">
        <v>1</v>
      </c>
      <c r="F8" s="154">
        <f t="shared" si="3"/>
        <v>4914</v>
      </c>
      <c r="G8" s="154">
        <f t="shared" si="0"/>
        <v>4914</v>
      </c>
      <c r="H8" s="154">
        <f t="shared" si="1"/>
        <v>4914</v>
      </c>
      <c r="I8" s="154">
        <f t="shared" si="2"/>
        <v>14742</v>
      </c>
    </row>
    <row r="9" spans="1:9">
      <c r="B9" s="168" t="s">
        <v>81</v>
      </c>
      <c r="C9" s="154">
        <v>350</v>
      </c>
      <c r="D9" s="154">
        <f>C9*$D$5</f>
        <v>59.500000000000007</v>
      </c>
      <c r="E9" s="154">
        <v>1</v>
      </c>
      <c r="F9" s="154">
        <f t="shared" si="3"/>
        <v>4914</v>
      </c>
      <c r="G9" s="154">
        <f t="shared" si="0"/>
        <v>4914</v>
      </c>
      <c r="H9" s="154">
        <f t="shared" si="1"/>
        <v>4914</v>
      </c>
      <c r="I9" s="154">
        <f t="shared" si="2"/>
        <v>14742</v>
      </c>
    </row>
    <row r="10" spans="1:9">
      <c r="B10" s="168" t="s">
        <v>350</v>
      </c>
      <c r="C10" s="154">
        <v>250</v>
      </c>
      <c r="D10" s="154">
        <f>C10*$D$5</f>
        <v>42.5</v>
      </c>
      <c r="E10" s="154">
        <v>4</v>
      </c>
      <c r="F10" s="154">
        <f t="shared" si="3"/>
        <v>14040</v>
      </c>
      <c r="G10" s="154">
        <f t="shared" si="0"/>
        <v>14040</v>
      </c>
      <c r="H10" s="154">
        <f t="shared" si="1"/>
        <v>14040</v>
      </c>
      <c r="I10" s="154">
        <f t="shared" si="2"/>
        <v>42120</v>
      </c>
    </row>
    <row r="11" spans="1:9">
      <c r="B11" s="168" t="s">
        <v>351</v>
      </c>
      <c r="C11" s="154">
        <v>200</v>
      </c>
      <c r="D11" s="154">
        <f t="shared" ref="D11" si="4">C11*$D$5</f>
        <v>34</v>
      </c>
      <c r="E11" s="154">
        <f>(1+8)/2</f>
        <v>4.5</v>
      </c>
      <c r="F11" s="154">
        <f>(C11+D11)*E11*12</f>
        <v>12636</v>
      </c>
      <c r="G11" s="154">
        <f t="shared" si="0"/>
        <v>12636</v>
      </c>
      <c r="H11" s="154">
        <f t="shared" si="1"/>
        <v>12636</v>
      </c>
      <c r="I11" s="154">
        <f t="shared" si="2"/>
        <v>37908</v>
      </c>
    </row>
    <row r="12" spans="1:9" ht="28.8">
      <c r="B12" s="173" t="s">
        <v>352</v>
      </c>
      <c r="C12" s="154">
        <v>100</v>
      </c>
      <c r="D12" s="154">
        <f>C12*$D$5</f>
        <v>17</v>
      </c>
      <c r="E12" s="154">
        <v>2</v>
      </c>
      <c r="F12" s="154">
        <f t="shared" si="3"/>
        <v>2808</v>
      </c>
      <c r="G12" s="154">
        <f t="shared" si="0"/>
        <v>2808</v>
      </c>
      <c r="H12" s="154">
        <f t="shared" si="1"/>
        <v>2808</v>
      </c>
      <c r="I12" s="154">
        <f t="shared" si="2"/>
        <v>8424</v>
      </c>
    </row>
    <row r="13" spans="1:9">
      <c r="B13" s="168" t="s">
        <v>83</v>
      </c>
      <c r="C13" s="154">
        <v>150</v>
      </c>
      <c r="F13" s="154">
        <f>C13*12</f>
        <v>1800</v>
      </c>
      <c r="G13" s="154">
        <f t="shared" si="0"/>
        <v>1800</v>
      </c>
      <c r="H13" s="154">
        <f t="shared" si="1"/>
        <v>1800</v>
      </c>
      <c r="I13" s="154">
        <f t="shared" si="2"/>
        <v>5400</v>
      </c>
    </row>
    <row r="14" spans="1:9">
      <c r="B14" s="168" t="s">
        <v>86</v>
      </c>
      <c r="C14" s="175">
        <v>700</v>
      </c>
      <c r="E14" s="154">
        <v>1</v>
      </c>
      <c r="F14" s="174">
        <f>C14*E14*12</f>
        <v>8400</v>
      </c>
      <c r="G14" s="174">
        <f t="shared" si="0"/>
        <v>8400</v>
      </c>
      <c r="H14" s="174">
        <f>G14</f>
        <v>8400</v>
      </c>
      <c r="I14" s="174">
        <f t="shared" si="2"/>
        <v>25200</v>
      </c>
    </row>
    <row r="15" spans="1:9">
      <c r="B15" s="168" t="s">
        <v>87</v>
      </c>
      <c r="C15" s="512">
        <v>30</v>
      </c>
      <c r="F15" s="154">
        <f>C15*12</f>
        <v>360</v>
      </c>
      <c r="G15" s="154">
        <f t="shared" si="0"/>
        <v>360</v>
      </c>
      <c r="H15" s="154">
        <f>F15</f>
        <v>360</v>
      </c>
      <c r="I15" s="154">
        <f t="shared" si="2"/>
        <v>1080</v>
      </c>
    </row>
    <row r="16" spans="1:9">
      <c r="B16" s="168" t="s">
        <v>88</v>
      </c>
      <c r="C16" s="154">
        <v>30</v>
      </c>
      <c r="F16" s="154">
        <v>600</v>
      </c>
      <c r="G16" s="154">
        <v>600</v>
      </c>
      <c r="H16" s="154">
        <v>600</v>
      </c>
      <c r="I16" s="154">
        <f t="shared" si="2"/>
        <v>1800</v>
      </c>
    </row>
    <row r="17" spans="1:10">
      <c r="B17" s="168" t="s">
        <v>353</v>
      </c>
      <c r="C17" s="154">
        <v>20</v>
      </c>
      <c r="E17" s="154">
        <v>12</v>
      </c>
      <c r="F17" s="154">
        <f>C17*E17</f>
        <v>240</v>
      </c>
      <c r="G17" s="154">
        <f>F17</f>
        <v>240</v>
      </c>
      <c r="H17" s="154">
        <f>F17</f>
        <v>240</v>
      </c>
      <c r="I17" s="154">
        <f t="shared" si="2"/>
        <v>720</v>
      </c>
    </row>
    <row r="18" spans="1:10">
      <c r="B18" s="168" t="s">
        <v>89</v>
      </c>
      <c r="C18" s="154">
        <v>10</v>
      </c>
      <c r="E18" s="154">
        <v>8</v>
      </c>
      <c r="F18" s="154">
        <f>C18*E18*4</f>
        <v>320</v>
      </c>
      <c r="G18" s="154">
        <f>F18</f>
        <v>320</v>
      </c>
      <c r="H18" s="154">
        <f>G18</f>
        <v>320</v>
      </c>
      <c r="I18" s="154">
        <f t="shared" si="2"/>
        <v>960</v>
      </c>
    </row>
    <row r="19" spans="1:10" s="176" customFormat="1">
      <c r="B19" s="177" t="s">
        <v>795</v>
      </c>
      <c r="C19" s="177"/>
      <c r="D19" s="177"/>
      <c r="E19" s="177"/>
      <c r="F19" s="178">
        <f>SUM(F6:F18)</f>
        <v>62966</v>
      </c>
      <c r="G19" s="178">
        <f>SUM(G6:G18)</f>
        <v>62966</v>
      </c>
      <c r="H19" s="178">
        <f>SUM(H6:H18)</f>
        <v>62966</v>
      </c>
      <c r="I19" s="178">
        <f>SUM(I6:I18)</f>
        <v>188898</v>
      </c>
      <c r="J19" s="178">
        <f>I19*6</f>
        <v>1133388</v>
      </c>
    </row>
    <row r="20" spans="1:10">
      <c r="A20" s="154">
        <v>2</v>
      </c>
      <c r="B20" s="730" t="s">
        <v>875</v>
      </c>
      <c r="C20" s="179">
        <v>4.5</v>
      </c>
      <c r="E20" s="154">
        <v>400</v>
      </c>
      <c r="F20" s="180">
        <f>$C$20*E20</f>
        <v>1800</v>
      </c>
      <c r="G20" s="180">
        <f>C20*E20</f>
        <v>1800</v>
      </c>
      <c r="H20" s="180">
        <f>C20*E20</f>
        <v>1800</v>
      </c>
      <c r="I20" s="180">
        <f t="shared" ref="I20:I25" si="5">F20+G20+H20</f>
        <v>5400</v>
      </c>
    </row>
    <row r="21" spans="1:10">
      <c r="B21" s="168" t="s">
        <v>354</v>
      </c>
      <c r="C21" s="174">
        <f>1400/83</f>
        <v>16.867469879518072</v>
      </c>
      <c r="E21" s="154">
        <v>470</v>
      </c>
      <c r="F21" s="181">
        <f>(C21/2)*E21*1</f>
        <v>3963.8554216867469</v>
      </c>
      <c r="G21" s="181">
        <f t="shared" ref="G21:H25" si="6">F21</f>
        <v>3963.8554216867469</v>
      </c>
      <c r="H21" s="181"/>
      <c r="I21" s="181">
        <f t="shared" si="5"/>
        <v>7927.7108433734938</v>
      </c>
    </row>
    <row r="22" spans="1:10">
      <c r="B22" s="168" t="s">
        <v>355</v>
      </c>
      <c r="C22" s="174">
        <f>350/83</f>
        <v>4.2168674698795181</v>
      </c>
      <c r="E22" s="154">
        <v>470</v>
      </c>
      <c r="F22" s="181">
        <f>(C22/2)*E22*1</f>
        <v>990.96385542168673</v>
      </c>
      <c r="G22" s="181">
        <f t="shared" si="6"/>
        <v>990.96385542168673</v>
      </c>
      <c r="H22" s="181"/>
      <c r="I22" s="181">
        <f t="shared" si="5"/>
        <v>1981.9277108433735</v>
      </c>
    </row>
    <row r="23" spans="1:10">
      <c r="B23" s="168" t="s">
        <v>356</v>
      </c>
      <c r="C23" s="174">
        <f>2200/83</f>
        <v>26.506024096385541</v>
      </c>
      <c r="E23" s="154">
        <v>500</v>
      </c>
      <c r="F23" s="181">
        <f>C23*E23</f>
        <v>13253.012048192772</v>
      </c>
      <c r="G23" s="181">
        <f t="shared" si="6"/>
        <v>13253.012048192772</v>
      </c>
      <c r="H23" s="181">
        <f t="shared" si="6"/>
        <v>13253.012048192772</v>
      </c>
      <c r="I23" s="181">
        <f t="shared" si="5"/>
        <v>39759.036144578313</v>
      </c>
    </row>
    <row r="24" spans="1:10">
      <c r="B24" s="215" t="s">
        <v>427</v>
      </c>
      <c r="C24" s="174">
        <v>35</v>
      </c>
      <c r="E24" s="154">
        <v>150</v>
      </c>
      <c r="F24" s="181">
        <f>C24*E24</f>
        <v>5250</v>
      </c>
      <c r="G24" s="181">
        <f t="shared" ref="G24" si="7">F24</f>
        <v>5250</v>
      </c>
      <c r="H24" s="181">
        <f t="shared" ref="H24" si="8">G24</f>
        <v>5250</v>
      </c>
      <c r="I24" s="181">
        <f t="shared" si="5"/>
        <v>15750</v>
      </c>
    </row>
    <row r="25" spans="1:10">
      <c r="B25" s="168" t="s">
        <v>357</v>
      </c>
      <c r="C25" s="174">
        <v>30</v>
      </c>
      <c r="E25" s="154">
        <v>400</v>
      </c>
      <c r="F25" s="181">
        <f>C25*E25</f>
        <v>12000</v>
      </c>
      <c r="G25" s="181">
        <f t="shared" si="6"/>
        <v>12000</v>
      </c>
      <c r="H25" s="181">
        <f t="shared" si="6"/>
        <v>12000</v>
      </c>
      <c r="I25" s="181">
        <f t="shared" si="5"/>
        <v>36000</v>
      </c>
    </row>
    <row r="26" spans="1:10" s="177" customFormat="1">
      <c r="B26" s="177" t="s">
        <v>340</v>
      </c>
      <c r="I26" s="177">
        <f>SUM(I20:I25)</f>
        <v>106818.67469879518</v>
      </c>
    </row>
    <row r="27" spans="1:10" ht="43.2">
      <c r="A27" s="154">
        <v>3</v>
      </c>
      <c r="B27" s="173" t="s">
        <v>358</v>
      </c>
      <c r="C27" s="181">
        <f>(8800+(8800*17%))/83</f>
        <v>124.04819277108433</v>
      </c>
      <c r="E27" s="154">
        <v>200</v>
      </c>
      <c r="F27" s="181">
        <f>C27*E27</f>
        <v>24809.638554216865</v>
      </c>
      <c r="G27" s="181">
        <f>F27</f>
        <v>24809.638554216865</v>
      </c>
      <c r="H27" s="181">
        <f>G27</f>
        <v>24809.638554216865</v>
      </c>
      <c r="I27" s="181">
        <f>F27+G27+H27</f>
        <v>74428.915662650601</v>
      </c>
    </row>
    <row r="28" spans="1:10" s="177" customFormat="1"/>
    <row r="29" spans="1:10" ht="5.25" customHeight="1">
      <c r="B29" s="168"/>
    </row>
    <row r="30" spans="1:10" hidden="1">
      <c r="B30" s="168"/>
    </row>
    <row r="31" spans="1:10" hidden="1">
      <c r="B31" s="168"/>
    </row>
    <row r="32" spans="1:10" hidden="1">
      <c r="B32" s="168"/>
    </row>
    <row r="33" spans="2:10" hidden="1">
      <c r="B33" s="168"/>
    </row>
    <row r="34" spans="2:10" hidden="1">
      <c r="B34" s="168"/>
    </row>
    <row r="35" spans="2:10" hidden="1">
      <c r="B35" s="168"/>
    </row>
    <row r="36" spans="2:10" hidden="1">
      <c r="B36" s="168"/>
    </row>
    <row r="37" spans="2:10" hidden="1">
      <c r="B37" s="168"/>
    </row>
    <row r="38" spans="2:10" hidden="1">
      <c r="B38" s="168"/>
    </row>
    <row r="39" spans="2:10" s="176" customFormat="1">
      <c r="B39" s="177"/>
      <c r="C39" s="177"/>
      <c r="D39" s="177"/>
      <c r="E39" s="177"/>
      <c r="F39" s="178">
        <f>SUM(F29:F38)</f>
        <v>0</v>
      </c>
      <c r="G39" s="178">
        <f>SUM(G29:G38)</f>
        <v>0</v>
      </c>
      <c r="H39" s="178">
        <f>SUM(H29:H38)</f>
        <v>0</v>
      </c>
      <c r="I39" s="178">
        <f>SUM(I29:I38)</f>
        <v>0</v>
      </c>
      <c r="J39" s="178"/>
    </row>
    <row r="41" spans="2:10" ht="28.8">
      <c r="B41" s="173" t="s">
        <v>359</v>
      </c>
      <c r="C41" s="181">
        <v>5000</v>
      </c>
      <c r="E41" s="154">
        <v>1</v>
      </c>
      <c r="F41" s="181">
        <f>C41*E41</f>
        <v>5000</v>
      </c>
      <c r="G41" s="181"/>
      <c r="H41" s="181">
        <f>C41*E41</f>
        <v>5000</v>
      </c>
      <c r="I41" s="181">
        <f>SUM(F41:H41)</f>
        <v>10000</v>
      </c>
    </row>
    <row r="42" spans="2:10" ht="57.6">
      <c r="B42" s="173" t="s">
        <v>360</v>
      </c>
      <c r="C42" s="183">
        <v>5000</v>
      </c>
      <c r="E42" s="154">
        <v>1</v>
      </c>
      <c r="F42" s="181">
        <f t="shared" ref="F42" si="9">C42*E42</f>
        <v>5000</v>
      </c>
      <c r="G42" s="154">
        <v>0</v>
      </c>
      <c r="H42" s="154">
        <f>G42</f>
        <v>0</v>
      </c>
      <c r="I42" s="181">
        <f t="shared" ref="I42:I46" si="10">SUM(F42:H42)</f>
        <v>5000</v>
      </c>
    </row>
    <row r="43" spans="2:10">
      <c r="B43" s="168" t="s">
        <v>361</v>
      </c>
      <c r="C43" s="183">
        <v>7300</v>
      </c>
      <c r="E43" s="154">
        <v>1</v>
      </c>
      <c r="G43" s="181">
        <f>C43</f>
        <v>7300</v>
      </c>
      <c r="I43" s="181">
        <f t="shared" si="10"/>
        <v>7300</v>
      </c>
    </row>
    <row r="44" spans="2:10">
      <c r="B44" s="168" t="s">
        <v>362</v>
      </c>
      <c r="C44" s="183">
        <v>4000</v>
      </c>
      <c r="E44" s="154">
        <v>1</v>
      </c>
      <c r="F44" s="181">
        <f>C44</f>
        <v>4000</v>
      </c>
      <c r="G44" s="181"/>
      <c r="H44" s="181">
        <f>F44</f>
        <v>4000</v>
      </c>
      <c r="I44" s="181">
        <f t="shared" si="10"/>
        <v>8000</v>
      </c>
    </row>
    <row r="45" spans="2:10" ht="28.8">
      <c r="B45" s="173" t="s">
        <v>363</v>
      </c>
      <c r="C45" s="181">
        <v>4000</v>
      </c>
      <c r="E45" s="154">
        <v>2</v>
      </c>
      <c r="F45" s="181">
        <f>C45*E45</f>
        <v>8000</v>
      </c>
      <c r="G45" s="181"/>
      <c r="H45" s="181"/>
      <c r="I45" s="181">
        <f t="shared" si="10"/>
        <v>8000</v>
      </c>
    </row>
    <row r="46" spans="2:10">
      <c r="B46" s="173" t="s">
        <v>364</v>
      </c>
      <c r="C46" s="181">
        <v>150</v>
      </c>
      <c r="E46" s="154">
        <v>100</v>
      </c>
      <c r="F46" s="181">
        <f>C46*E46</f>
        <v>15000</v>
      </c>
      <c r="G46" s="181">
        <f>F46</f>
        <v>15000</v>
      </c>
      <c r="H46" s="181">
        <f>F46</f>
        <v>15000</v>
      </c>
      <c r="I46" s="181">
        <f t="shared" si="10"/>
        <v>45000</v>
      </c>
    </row>
    <row r="47" spans="2:10" s="182" customFormat="1">
      <c r="B47" s="182" t="s">
        <v>92</v>
      </c>
      <c r="I47" s="555">
        <f>SUM(I41:I46)</f>
        <v>83300</v>
      </c>
    </row>
    <row r="49" spans="2:9">
      <c r="B49" s="154" t="s">
        <v>384</v>
      </c>
      <c r="I49" s="181">
        <f>I47+I27+I26+J19</f>
        <v>1397935.5903614457</v>
      </c>
    </row>
    <row r="51" spans="2:9" ht="28.8">
      <c r="B51" s="781" t="s">
        <v>918</v>
      </c>
    </row>
    <row r="52" spans="2:9">
      <c r="B52" s="167"/>
      <c r="C52" s="782" t="s">
        <v>84</v>
      </c>
      <c r="D52" s="169">
        <v>0.17</v>
      </c>
      <c r="E52" s="783" t="s">
        <v>3</v>
      </c>
      <c r="F52" s="784" t="s">
        <v>75</v>
      </c>
      <c r="G52" s="784" t="s">
        <v>76</v>
      </c>
      <c r="H52" s="784" t="s">
        <v>77</v>
      </c>
      <c r="I52" s="785" t="s">
        <v>78</v>
      </c>
    </row>
    <row r="53" spans="2:9">
      <c r="B53" s="782" t="s">
        <v>74</v>
      </c>
      <c r="C53" s="154">
        <v>500</v>
      </c>
      <c r="D53" s="154">
        <f>C53*$D$5</f>
        <v>85</v>
      </c>
      <c r="E53" s="154">
        <v>1</v>
      </c>
      <c r="F53" s="154">
        <f>(C53+D53)*E53*12</f>
        <v>7020</v>
      </c>
      <c r="G53" s="154">
        <f t="shared" ref="G53:G60" si="11">F53</f>
        <v>7020</v>
      </c>
      <c r="H53" s="154">
        <f t="shared" ref="H53:H58" si="12">F53</f>
        <v>7020</v>
      </c>
      <c r="I53" s="154">
        <f t="shared" ref="I53:I63" si="13">F53+G53+H53</f>
        <v>21060</v>
      </c>
    </row>
    <row r="54" spans="2:9">
      <c r="B54" s="782" t="s">
        <v>80</v>
      </c>
      <c r="C54" s="154">
        <v>350</v>
      </c>
      <c r="D54" s="154">
        <f>C54*$D$5</f>
        <v>59.500000000000007</v>
      </c>
      <c r="E54" s="154">
        <v>1</v>
      </c>
      <c r="F54" s="154">
        <f t="shared" ref="F54:F55" si="14">(C54+D54)*E54*12</f>
        <v>4914</v>
      </c>
      <c r="G54" s="154">
        <f t="shared" si="11"/>
        <v>4914</v>
      </c>
      <c r="H54" s="154">
        <f t="shared" si="12"/>
        <v>4914</v>
      </c>
      <c r="I54" s="154">
        <f t="shared" si="13"/>
        <v>14742</v>
      </c>
    </row>
    <row r="55" spans="2:9">
      <c r="B55" s="782" t="s">
        <v>919</v>
      </c>
      <c r="C55" s="154">
        <v>350</v>
      </c>
      <c r="D55" s="154">
        <f>C55*$D$5</f>
        <v>59.500000000000007</v>
      </c>
      <c r="E55" s="154">
        <v>3</v>
      </c>
      <c r="F55" s="154">
        <f t="shared" si="14"/>
        <v>14742</v>
      </c>
      <c r="G55" s="154">
        <f t="shared" si="11"/>
        <v>14742</v>
      </c>
      <c r="H55" s="154">
        <f t="shared" si="12"/>
        <v>14742</v>
      </c>
      <c r="I55" s="154">
        <f t="shared" si="13"/>
        <v>44226</v>
      </c>
    </row>
    <row r="56" spans="2:9">
      <c r="B56" s="782" t="s">
        <v>920</v>
      </c>
      <c r="C56" s="154">
        <v>10</v>
      </c>
      <c r="E56" s="154">
        <v>200</v>
      </c>
      <c r="F56" s="154">
        <f>(C56+D56)*E56</f>
        <v>2000</v>
      </c>
      <c r="G56" s="154">
        <f t="shared" si="11"/>
        <v>2000</v>
      </c>
      <c r="H56" s="154">
        <f t="shared" si="12"/>
        <v>2000</v>
      </c>
      <c r="I56" s="154">
        <f t="shared" si="13"/>
        <v>6000</v>
      </c>
    </row>
    <row r="57" spans="2:9">
      <c r="B57" s="782" t="s">
        <v>921</v>
      </c>
      <c r="C57" s="154">
        <v>15</v>
      </c>
      <c r="E57" s="154">
        <v>200</v>
      </c>
      <c r="F57" s="154">
        <f>(C57+D57)*E57</f>
        <v>3000</v>
      </c>
      <c r="G57" s="154">
        <f t="shared" si="11"/>
        <v>3000</v>
      </c>
      <c r="H57" s="154">
        <f t="shared" si="12"/>
        <v>3000</v>
      </c>
      <c r="I57" s="154">
        <f t="shared" si="13"/>
        <v>9000</v>
      </c>
    </row>
    <row r="58" spans="2:9">
      <c r="B58" s="781" t="s">
        <v>922</v>
      </c>
      <c r="C58" s="154">
        <v>20</v>
      </c>
      <c r="E58" s="154">
        <v>200</v>
      </c>
      <c r="F58" s="154">
        <f>(C58+D58)*E58</f>
        <v>4000</v>
      </c>
      <c r="G58" s="154">
        <f t="shared" si="11"/>
        <v>4000</v>
      </c>
      <c r="H58" s="154">
        <f t="shared" si="12"/>
        <v>4000</v>
      </c>
      <c r="I58" s="154">
        <f t="shared" si="13"/>
        <v>12000</v>
      </c>
    </row>
    <row r="59" spans="2:9">
      <c r="B59" s="782" t="s">
        <v>86</v>
      </c>
      <c r="C59" s="175">
        <v>500</v>
      </c>
      <c r="E59" s="154">
        <v>1</v>
      </c>
      <c r="F59" s="174">
        <f>C59*E59*12</f>
        <v>6000</v>
      </c>
      <c r="G59" s="174">
        <f t="shared" si="11"/>
        <v>6000</v>
      </c>
      <c r="H59" s="174">
        <f>G59</f>
        <v>6000</v>
      </c>
      <c r="I59" s="174">
        <f t="shared" si="13"/>
        <v>18000</v>
      </c>
    </row>
    <row r="60" spans="2:9">
      <c r="B60" s="782" t="s">
        <v>923</v>
      </c>
      <c r="C60" s="782">
        <v>100</v>
      </c>
      <c r="F60" s="154">
        <f>C60*12</f>
        <v>1200</v>
      </c>
      <c r="G60" s="154">
        <f t="shared" si="11"/>
        <v>1200</v>
      </c>
      <c r="H60" s="154">
        <f>F60</f>
        <v>1200</v>
      </c>
      <c r="I60" s="154">
        <f t="shared" si="13"/>
        <v>3600</v>
      </c>
    </row>
    <row r="61" spans="2:9">
      <c r="B61" s="782" t="s">
        <v>88</v>
      </c>
      <c r="C61" s="154">
        <v>30</v>
      </c>
      <c r="F61" s="154">
        <v>600</v>
      </c>
      <c r="G61" s="154">
        <v>600</v>
      </c>
      <c r="H61" s="154">
        <v>600</v>
      </c>
      <c r="I61" s="154">
        <f t="shared" si="13"/>
        <v>1800</v>
      </c>
    </row>
    <row r="62" spans="2:9">
      <c r="B62" s="782" t="s">
        <v>353</v>
      </c>
      <c r="C62" s="154">
        <v>20</v>
      </c>
      <c r="E62" s="154">
        <v>12</v>
      </c>
      <c r="F62" s="154">
        <f>C62*E62</f>
        <v>240</v>
      </c>
      <c r="G62" s="154">
        <f>F62</f>
        <v>240</v>
      </c>
      <c r="H62" s="154">
        <f>F62</f>
        <v>240</v>
      </c>
      <c r="I62" s="154">
        <f t="shared" si="13"/>
        <v>720</v>
      </c>
    </row>
    <row r="63" spans="2:9">
      <c r="B63" s="782" t="s">
        <v>89</v>
      </c>
      <c r="E63" s="154">
        <v>8</v>
      </c>
      <c r="F63" s="154">
        <f>C63*E63*4</f>
        <v>0</v>
      </c>
      <c r="G63" s="154">
        <f>F63</f>
        <v>0</v>
      </c>
      <c r="H63" s="154">
        <f>G63</f>
        <v>0</v>
      </c>
      <c r="I63" s="154">
        <f t="shared" si="13"/>
        <v>0</v>
      </c>
    </row>
    <row r="64" spans="2:9">
      <c r="B64" s="177" t="s">
        <v>142</v>
      </c>
      <c r="C64" s="177"/>
      <c r="D64" s="177"/>
      <c r="E64" s="177"/>
      <c r="F64" s="178">
        <f>SUM(F53:F63)</f>
        <v>43716</v>
      </c>
      <c r="G64" s="178">
        <f>SUM(G53:G63)</f>
        <v>43716</v>
      </c>
      <c r="H64" s="178">
        <f>SUM(H53:H63)</f>
        <v>43716</v>
      </c>
      <c r="I64" s="178">
        <f>SUM(I53:I63)</f>
        <v>131148</v>
      </c>
    </row>
    <row r="67" spans="3:5">
      <c r="C67" s="782" t="s">
        <v>92</v>
      </c>
      <c r="E67" s="181">
        <f>I64+I49</f>
        <v>1529083.5903614457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opLeftCell="A72" zoomScale="90" zoomScaleNormal="90" workbookViewId="0">
      <selection activeCell="I80" sqref="I80"/>
    </sheetView>
  </sheetViews>
  <sheetFormatPr defaultColWidth="8.88671875" defaultRowHeight="14.4"/>
  <cols>
    <col min="1" max="1" width="8.88671875" style="513"/>
    <col min="2" max="2" width="65.6640625" style="513" customWidth="1"/>
    <col min="3" max="3" width="17.33203125" style="513" customWidth="1"/>
    <col min="4" max="4" width="13.33203125" style="513" customWidth="1"/>
    <col min="5" max="5" width="10.6640625" style="513" customWidth="1"/>
    <col min="6" max="6" width="18.109375" style="513" customWidth="1"/>
    <col min="7" max="7" width="13.6640625" style="513" customWidth="1"/>
    <col min="8" max="8" width="15" style="513" customWidth="1"/>
    <col min="9" max="9" width="18.109375" style="513" customWidth="1"/>
    <col min="10" max="10" width="13.6640625" style="513" customWidth="1"/>
    <col min="11" max="11" width="15" style="513" customWidth="1"/>
    <col min="12" max="12" width="16.5546875" style="513" customWidth="1"/>
    <col min="13" max="13" width="21.109375" style="513" customWidth="1"/>
    <col min="14" max="16384" width="8.88671875" style="513"/>
  </cols>
  <sheetData>
    <row r="1" spans="1:11">
      <c r="B1" s="516" t="s">
        <v>365</v>
      </c>
      <c r="C1" s="731" t="s">
        <v>832</v>
      </c>
      <c r="D1" s="732">
        <v>0.17</v>
      </c>
      <c r="E1" s="731" t="s">
        <v>3</v>
      </c>
      <c r="F1" s="731" t="s">
        <v>75</v>
      </c>
      <c r="G1" s="731" t="s">
        <v>76</v>
      </c>
      <c r="H1" s="731" t="s">
        <v>77</v>
      </c>
      <c r="I1" s="731" t="s">
        <v>876</v>
      </c>
      <c r="J1" s="731" t="s">
        <v>877</v>
      </c>
    </row>
    <row r="2" spans="1:11" s="517" customFormat="1" ht="21.9" customHeight="1">
      <c r="A2" s="517">
        <v>1</v>
      </c>
      <c r="B2" s="518" t="s">
        <v>366</v>
      </c>
      <c r="C2" s="519">
        <v>45000</v>
      </c>
      <c r="D2" s="519">
        <f>C2*17.25%</f>
        <v>7762.4999999999991</v>
      </c>
      <c r="E2" s="520">
        <v>1</v>
      </c>
      <c r="F2" s="519">
        <f>(C2+D2)*12</f>
        <v>633150</v>
      </c>
      <c r="G2" s="519">
        <f t="shared" ref="G2:H9" si="0">F2</f>
        <v>633150</v>
      </c>
      <c r="H2" s="519">
        <f t="shared" si="0"/>
        <v>633150</v>
      </c>
      <c r="I2" s="519">
        <f t="shared" ref="I2:I10" si="1">SUM(F2:H2)</f>
        <v>1899450</v>
      </c>
      <c r="J2" s="521">
        <f>I2/83.4</f>
        <v>22775.179856115108</v>
      </c>
    </row>
    <row r="3" spans="1:11" s="517" customFormat="1" ht="21.9" customHeight="1">
      <c r="B3" s="518" t="s">
        <v>79</v>
      </c>
      <c r="C3" s="519">
        <v>30000</v>
      </c>
      <c r="D3" s="519">
        <f t="shared" ref="D3:D7" si="2">C3*17.25%</f>
        <v>5175</v>
      </c>
      <c r="E3" s="520">
        <v>1</v>
      </c>
      <c r="F3" s="519">
        <f>C3*12</f>
        <v>360000</v>
      </c>
      <c r="G3" s="519">
        <f t="shared" si="0"/>
        <v>360000</v>
      </c>
      <c r="H3" s="519">
        <f t="shared" si="0"/>
        <v>360000</v>
      </c>
      <c r="I3" s="519">
        <f t="shared" si="1"/>
        <v>1080000</v>
      </c>
      <c r="J3" s="521">
        <f t="shared" ref="J3:J32" si="3">I3/83.4</f>
        <v>12949.640287769784</v>
      </c>
    </row>
    <row r="4" spans="1:11" s="517" customFormat="1" ht="31.2">
      <c r="B4" s="518" t="s">
        <v>367</v>
      </c>
      <c r="C4" s="519">
        <v>3500</v>
      </c>
      <c r="D4" s="519">
        <f t="shared" si="2"/>
        <v>603.75</v>
      </c>
      <c r="E4" s="520">
        <v>10</v>
      </c>
      <c r="F4" s="519">
        <f>(C4+D4)*E4*12</f>
        <v>492450</v>
      </c>
      <c r="G4" s="519">
        <f t="shared" si="0"/>
        <v>492450</v>
      </c>
      <c r="H4" s="519">
        <f t="shared" si="0"/>
        <v>492450</v>
      </c>
      <c r="I4" s="519">
        <f t="shared" si="1"/>
        <v>1477350</v>
      </c>
      <c r="J4" s="521">
        <f t="shared" si="3"/>
        <v>17714.028776978415</v>
      </c>
    </row>
    <row r="5" spans="1:11" ht="15.6">
      <c r="B5" s="518" t="s">
        <v>368</v>
      </c>
      <c r="C5" s="519">
        <v>3500</v>
      </c>
      <c r="D5" s="519">
        <f t="shared" si="2"/>
        <v>603.75</v>
      </c>
      <c r="E5" s="520">
        <v>8</v>
      </c>
      <c r="F5" s="519">
        <f>(C5+D5)*E5*12</f>
        <v>393960</v>
      </c>
      <c r="G5" s="519">
        <f t="shared" si="0"/>
        <v>393960</v>
      </c>
      <c r="H5" s="519">
        <f t="shared" si="0"/>
        <v>393960</v>
      </c>
      <c r="I5" s="519">
        <f t="shared" si="1"/>
        <v>1181880</v>
      </c>
      <c r="J5" s="521">
        <f t="shared" si="3"/>
        <v>14171.223021582733</v>
      </c>
    </row>
    <row r="6" spans="1:11" ht="15.6">
      <c r="B6" s="518" t="s">
        <v>478</v>
      </c>
      <c r="C6" s="519">
        <v>3500</v>
      </c>
      <c r="D6" s="519">
        <f t="shared" si="2"/>
        <v>603.75</v>
      </c>
      <c r="E6" s="520">
        <v>10</v>
      </c>
      <c r="F6" s="519">
        <f>(C6+D6)*E6*12</f>
        <v>492450</v>
      </c>
      <c r="G6" s="519">
        <f t="shared" si="0"/>
        <v>492450</v>
      </c>
      <c r="H6" s="519">
        <f t="shared" si="0"/>
        <v>492450</v>
      </c>
      <c r="I6" s="519">
        <f t="shared" si="1"/>
        <v>1477350</v>
      </c>
      <c r="J6" s="521">
        <f t="shared" si="3"/>
        <v>17714.028776978415</v>
      </c>
    </row>
    <row r="7" spans="1:11" ht="15.6">
      <c r="B7" s="518" t="s">
        <v>479</v>
      </c>
      <c r="C7" s="519">
        <v>3500</v>
      </c>
      <c r="D7" s="519">
        <f t="shared" si="2"/>
        <v>603.75</v>
      </c>
      <c r="E7" s="520">
        <v>10</v>
      </c>
      <c r="F7" s="519">
        <f>(C7+D7)*E7*12</f>
        <v>492450</v>
      </c>
      <c r="G7" s="519">
        <f t="shared" si="0"/>
        <v>492450</v>
      </c>
      <c r="H7" s="519">
        <f t="shared" si="0"/>
        <v>492450</v>
      </c>
      <c r="I7" s="519">
        <f t="shared" si="1"/>
        <v>1477350</v>
      </c>
      <c r="J7" s="521">
        <f t="shared" si="3"/>
        <v>17714.028776978415</v>
      </c>
    </row>
    <row r="8" spans="1:11" ht="15.6">
      <c r="B8" s="518" t="s">
        <v>369</v>
      </c>
      <c r="C8" s="519">
        <v>5000</v>
      </c>
      <c r="D8" s="522"/>
      <c r="E8" s="520">
        <v>2</v>
      </c>
      <c r="F8" s="519">
        <f>(C8)*E8*12</f>
        <v>120000</v>
      </c>
      <c r="G8" s="519">
        <f t="shared" si="0"/>
        <v>120000</v>
      </c>
      <c r="H8" s="519">
        <f t="shared" si="0"/>
        <v>120000</v>
      </c>
      <c r="I8" s="519">
        <f t="shared" si="1"/>
        <v>360000</v>
      </c>
      <c r="J8" s="521">
        <f t="shared" si="3"/>
        <v>4316.5467625899273</v>
      </c>
    </row>
    <row r="9" spans="1:11" ht="15.6">
      <c r="B9" s="518" t="s">
        <v>370</v>
      </c>
      <c r="C9" s="519">
        <v>5000</v>
      </c>
      <c r="D9" s="522"/>
      <c r="E9" s="520">
        <v>2</v>
      </c>
      <c r="F9" s="519">
        <f>(C9)*E9*12</f>
        <v>120000</v>
      </c>
      <c r="G9" s="519">
        <f>F9</f>
        <v>120000</v>
      </c>
      <c r="H9" s="519">
        <f t="shared" si="0"/>
        <v>120000</v>
      </c>
      <c r="I9" s="519">
        <f t="shared" si="1"/>
        <v>360000</v>
      </c>
      <c r="J9" s="521">
        <f t="shared" si="3"/>
        <v>4316.5467625899273</v>
      </c>
    </row>
    <row r="10" spans="1:11" s="517" customFormat="1" ht="15.6">
      <c r="B10" s="523" t="s">
        <v>371</v>
      </c>
      <c r="C10" s="519">
        <v>5000</v>
      </c>
      <c r="D10" s="522"/>
      <c r="E10" s="520">
        <f>(4*5*4)</f>
        <v>80</v>
      </c>
      <c r="F10" s="519">
        <f>C10*E10*4</f>
        <v>1600000</v>
      </c>
      <c r="G10" s="519">
        <f>F10</f>
        <v>1600000</v>
      </c>
      <c r="H10" s="519">
        <f>F10</f>
        <v>1600000</v>
      </c>
      <c r="I10" s="519">
        <f t="shared" si="1"/>
        <v>4800000</v>
      </c>
      <c r="J10" s="521">
        <f t="shared" si="3"/>
        <v>57553.956834532371</v>
      </c>
    </row>
    <row r="11" spans="1:11" ht="15.6">
      <c r="B11" s="224" t="s">
        <v>373</v>
      </c>
      <c r="C11" s="225">
        <v>8000</v>
      </c>
      <c r="D11" s="519">
        <f t="shared" ref="D11:D31" si="4">C11*17.25%</f>
        <v>1380</v>
      </c>
      <c r="E11" s="520">
        <v>3</v>
      </c>
      <c r="F11" s="519">
        <f t="shared" ref="F11:F13" si="5">(C11+D11)*E11*12</f>
        <v>337680</v>
      </c>
      <c r="G11" s="519">
        <f t="shared" ref="G11:G16" si="6">F11</f>
        <v>337680</v>
      </c>
      <c r="H11" s="519">
        <f t="shared" ref="H11:H16" si="7">F11</f>
        <v>337680</v>
      </c>
      <c r="I11" s="519">
        <f t="shared" ref="I11:I15" si="8">SUM(F11:H11)</f>
        <v>1013040</v>
      </c>
      <c r="J11" s="521">
        <f t="shared" si="3"/>
        <v>12146.762589928057</v>
      </c>
    </row>
    <row r="12" spans="1:11" ht="31.2">
      <c r="B12" s="224" t="s">
        <v>374</v>
      </c>
      <c r="C12" s="225">
        <v>10000</v>
      </c>
      <c r="D12" s="519">
        <f t="shared" si="4"/>
        <v>1724.9999999999998</v>
      </c>
      <c r="E12" s="520">
        <v>3</v>
      </c>
      <c r="F12" s="519">
        <f t="shared" si="5"/>
        <v>422100</v>
      </c>
      <c r="G12" s="519">
        <f t="shared" si="6"/>
        <v>422100</v>
      </c>
      <c r="H12" s="519">
        <f t="shared" si="7"/>
        <v>422100</v>
      </c>
      <c r="I12" s="519">
        <f t="shared" si="8"/>
        <v>1266300</v>
      </c>
      <c r="J12" s="521">
        <f t="shared" si="3"/>
        <v>15183.453237410071</v>
      </c>
    </row>
    <row r="13" spans="1:11" ht="15.6">
      <c r="B13" s="224" t="s">
        <v>375</v>
      </c>
      <c r="C13" s="225">
        <v>15000</v>
      </c>
      <c r="D13" s="519">
        <f t="shared" si="4"/>
        <v>2587.5</v>
      </c>
      <c r="E13" s="520">
        <v>1</v>
      </c>
      <c r="F13" s="519">
        <f t="shared" si="5"/>
        <v>211050</v>
      </c>
      <c r="G13" s="519">
        <f t="shared" si="6"/>
        <v>211050</v>
      </c>
      <c r="H13" s="519">
        <f t="shared" si="7"/>
        <v>211050</v>
      </c>
      <c r="I13" s="519">
        <f t="shared" si="8"/>
        <v>633150</v>
      </c>
      <c r="J13" s="521">
        <f t="shared" si="3"/>
        <v>7591.7266187050354</v>
      </c>
    </row>
    <row r="14" spans="1:11" ht="46.8">
      <c r="B14" s="544" t="s">
        <v>376</v>
      </c>
      <c r="C14" s="545">
        <v>5000</v>
      </c>
      <c r="D14" s="546">
        <f t="shared" si="4"/>
        <v>862.49999999999989</v>
      </c>
      <c r="E14" s="547">
        <v>200</v>
      </c>
      <c r="F14" s="546">
        <f>(C14+D14)*E14</f>
        <v>1172500</v>
      </c>
      <c r="G14" s="546">
        <f t="shared" si="6"/>
        <v>1172500</v>
      </c>
      <c r="H14" s="546">
        <f t="shared" si="7"/>
        <v>1172500</v>
      </c>
      <c r="I14" s="546">
        <f t="shared" si="8"/>
        <v>3517500</v>
      </c>
      <c r="J14" s="548">
        <f t="shared" si="3"/>
        <v>42176.25899280575</v>
      </c>
      <c r="K14" s="513" t="s">
        <v>796</v>
      </c>
    </row>
    <row r="15" spans="1:11" ht="46.8">
      <c r="B15" s="544" t="s">
        <v>377</v>
      </c>
      <c r="C15" s="545">
        <v>2000</v>
      </c>
      <c r="D15" s="546">
        <f t="shared" si="4"/>
        <v>345</v>
      </c>
      <c r="E15" s="547">
        <v>200</v>
      </c>
      <c r="F15" s="546">
        <f>(C15+D15)*E15</f>
        <v>469000</v>
      </c>
      <c r="G15" s="546">
        <f t="shared" si="6"/>
        <v>469000</v>
      </c>
      <c r="H15" s="546">
        <f t="shared" si="7"/>
        <v>469000</v>
      </c>
      <c r="I15" s="546">
        <f t="shared" si="8"/>
        <v>1407000</v>
      </c>
      <c r="J15" s="548">
        <f t="shared" si="3"/>
        <v>16870.503597122301</v>
      </c>
      <c r="K15" s="513" t="s">
        <v>796</v>
      </c>
    </row>
    <row r="16" spans="1:11" ht="31.2">
      <c r="B16" s="544" t="s">
        <v>811</v>
      </c>
      <c r="C16" s="545">
        <v>4500</v>
      </c>
      <c r="D16" s="546">
        <f t="shared" si="4"/>
        <v>776.24999999999989</v>
      </c>
      <c r="E16" s="547">
        <v>150</v>
      </c>
      <c r="F16" s="546">
        <f>(C16+D16)*E16</f>
        <v>791437.5</v>
      </c>
      <c r="G16" s="546">
        <f t="shared" si="6"/>
        <v>791437.5</v>
      </c>
      <c r="H16" s="546">
        <f t="shared" si="7"/>
        <v>791437.5</v>
      </c>
      <c r="I16" s="546">
        <f t="shared" ref="I16" si="9">SUM(F16:H16)</f>
        <v>2374312.5</v>
      </c>
      <c r="J16" s="548">
        <f t="shared" si="3"/>
        <v>28468.974820143882</v>
      </c>
    </row>
    <row r="17" spans="1:13" ht="35.4" customHeight="1">
      <c r="A17" s="514"/>
      <c r="B17" s="226" t="s">
        <v>797</v>
      </c>
      <c r="C17" s="524">
        <v>9568</v>
      </c>
      <c r="D17" s="519">
        <f t="shared" si="4"/>
        <v>1650.4799999999998</v>
      </c>
      <c r="E17" s="520">
        <v>1</v>
      </c>
      <c r="F17" s="519">
        <f>(C17+D17)*E17*12</f>
        <v>134621.76000000001</v>
      </c>
      <c r="G17" s="519">
        <f t="shared" ref="G17:G32" si="10">F17</f>
        <v>134621.76000000001</v>
      </c>
      <c r="H17" s="519">
        <f t="shared" ref="H17:H32" si="11">F17</f>
        <v>134621.76000000001</v>
      </c>
      <c r="I17" s="519">
        <f t="shared" ref="I17:I29" si="12">SUM(F17:H17)</f>
        <v>403865.28</v>
      </c>
      <c r="J17" s="521">
        <f t="shared" si="3"/>
        <v>4842.5093525179855</v>
      </c>
    </row>
    <row r="18" spans="1:13" ht="62.4">
      <c r="A18" s="514" t="s">
        <v>372</v>
      </c>
      <c r="B18" s="226" t="s">
        <v>798</v>
      </c>
      <c r="C18" s="524">
        <v>9568</v>
      </c>
      <c r="D18" s="519">
        <f t="shared" si="4"/>
        <v>1650.4799999999998</v>
      </c>
      <c r="E18" s="520">
        <v>1</v>
      </c>
      <c r="F18" s="519">
        <f>(C18+D18)*E18*12</f>
        <v>134621.76000000001</v>
      </c>
      <c r="G18" s="519">
        <f t="shared" si="10"/>
        <v>134621.76000000001</v>
      </c>
      <c r="H18" s="519">
        <f t="shared" si="11"/>
        <v>134621.76000000001</v>
      </c>
      <c r="I18" s="519">
        <f t="shared" si="12"/>
        <v>403865.28</v>
      </c>
      <c r="J18" s="521">
        <f t="shared" si="3"/>
        <v>4842.5093525179855</v>
      </c>
    </row>
    <row r="19" spans="1:13" ht="62.4">
      <c r="B19" s="226" t="s">
        <v>799</v>
      </c>
      <c r="C19" s="524">
        <v>9568</v>
      </c>
      <c r="D19" s="519">
        <f t="shared" si="4"/>
        <v>1650.4799999999998</v>
      </c>
      <c r="E19" s="520">
        <v>1</v>
      </c>
      <c r="F19" s="519">
        <f t="shared" ref="F19:F21" si="13">(C19+D19)*E19*12</f>
        <v>134621.76000000001</v>
      </c>
      <c r="G19" s="519">
        <f t="shared" si="10"/>
        <v>134621.76000000001</v>
      </c>
      <c r="H19" s="519">
        <f t="shared" si="11"/>
        <v>134621.76000000001</v>
      </c>
      <c r="I19" s="519">
        <f t="shared" si="12"/>
        <v>403865.28</v>
      </c>
      <c r="J19" s="521">
        <f t="shared" si="3"/>
        <v>4842.5093525179855</v>
      </c>
    </row>
    <row r="20" spans="1:13" ht="46.8">
      <c r="A20" s="514" t="s">
        <v>372</v>
      </c>
      <c r="B20" s="226" t="s">
        <v>800</v>
      </c>
      <c r="C20" s="524">
        <v>9568</v>
      </c>
      <c r="D20" s="519">
        <f t="shared" si="4"/>
        <v>1650.4799999999998</v>
      </c>
      <c r="E20" s="520">
        <v>1</v>
      </c>
      <c r="F20" s="519">
        <f t="shared" si="13"/>
        <v>134621.76000000001</v>
      </c>
      <c r="G20" s="519">
        <f t="shared" si="10"/>
        <v>134621.76000000001</v>
      </c>
      <c r="H20" s="519">
        <f t="shared" si="11"/>
        <v>134621.76000000001</v>
      </c>
      <c r="I20" s="519">
        <f t="shared" si="12"/>
        <v>403865.28</v>
      </c>
      <c r="J20" s="521">
        <f t="shared" si="3"/>
        <v>4842.5093525179855</v>
      </c>
    </row>
    <row r="21" spans="1:13" ht="15.6">
      <c r="B21" s="525" t="s">
        <v>378</v>
      </c>
      <c r="C21" s="225">
        <v>3500</v>
      </c>
      <c r="D21" s="519">
        <f t="shared" si="4"/>
        <v>603.75</v>
      </c>
      <c r="E21" s="520">
        <v>15</v>
      </c>
      <c r="F21" s="519">
        <f t="shared" si="13"/>
        <v>738675</v>
      </c>
      <c r="G21" s="519">
        <f t="shared" si="10"/>
        <v>738675</v>
      </c>
      <c r="H21" s="519">
        <f t="shared" si="11"/>
        <v>738675</v>
      </c>
      <c r="I21" s="519">
        <f t="shared" si="12"/>
        <v>2216025</v>
      </c>
      <c r="J21" s="521">
        <f t="shared" si="3"/>
        <v>26571.043165467625</v>
      </c>
    </row>
    <row r="22" spans="1:13" ht="15.6">
      <c r="B22" s="527" t="s">
        <v>379</v>
      </c>
      <c r="C22" s="519"/>
      <c r="D22" s="519">
        <f t="shared" si="4"/>
        <v>0</v>
      </c>
      <c r="E22" s="520"/>
      <c r="F22" s="519">
        <v>54000</v>
      </c>
      <c r="G22" s="519">
        <f t="shared" si="10"/>
        <v>54000</v>
      </c>
      <c r="H22" s="519">
        <f t="shared" si="11"/>
        <v>54000</v>
      </c>
      <c r="I22" s="519">
        <f t="shared" si="12"/>
        <v>162000</v>
      </c>
      <c r="J22" s="521">
        <f t="shared" si="3"/>
        <v>1942.4460431654675</v>
      </c>
    </row>
    <row r="23" spans="1:13" ht="15.6">
      <c r="B23" s="527" t="s">
        <v>380</v>
      </c>
      <c r="C23" s="519"/>
      <c r="D23" s="519">
        <f t="shared" si="4"/>
        <v>0</v>
      </c>
      <c r="E23" s="520"/>
      <c r="F23" s="519">
        <f>500*86</f>
        <v>43000</v>
      </c>
      <c r="G23" s="519">
        <f t="shared" si="10"/>
        <v>43000</v>
      </c>
      <c r="H23" s="519">
        <f t="shared" si="11"/>
        <v>43000</v>
      </c>
      <c r="I23" s="519">
        <f t="shared" si="12"/>
        <v>129000</v>
      </c>
      <c r="J23" s="521">
        <f t="shared" si="3"/>
        <v>1546.7625899280574</v>
      </c>
    </row>
    <row r="24" spans="1:13" ht="59.4" customHeight="1">
      <c r="A24" s="514" t="s">
        <v>381</v>
      </c>
      <c r="B24" s="527" t="s">
        <v>812</v>
      </c>
      <c r="C24" s="519">
        <v>3500</v>
      </c>
      <c r="D24" s="519">
        <f t="shared" si="4"/>
        <v>603.75</v>
      </c>
      <c r="E24" s="520">
        <f>2*15</f>
        <v>30</v>
      </c>
      <c r="F24" s="519">
        <f>(C24+D24)*E24*12</f>
        <v>1477350</v>
      </c>
      <c r="G24" s="519">
        <f t="shared" si="10"/>
        <v>1477350</v>
      </c>
      <c r="H24" s="519">
        <f t="shared" si="11"/>
        <v>1477350</v>
      </c>
      <c r="I24" s="519">
        <f t="shared" si="12"/>
        <v>4432050</v>
      </c>
      <c r="J24" s="521">
        <f t="shared" si="3"/>
        <v>53142.08633093525</v>
      </c>
    </row>
    <row r="25" spans="1:13" ht="31.2">
      <c r="B25" s="527" t="s">
        <v>382</v>
      </c>
      <c r="C25" s="519">
        <v>3000</v>
      </c>
      <c r="D25" s="519"/>
      <c r="E25" s="519">
        <f>(C25*7)*2</f>
        <v>42000</v>
      </c>
      <c r="F25" s="519">
        <f>E25*12</f>
        <v>504000</v>
      </c>
      <c r="G25" s="519">
        <f t="shared" si="10"/>
        <v>504000</v>
      </c>
      <c r="H25" s="519">
        <f t="shared" si="11"/>
        <v>504000</v>
      </c>
      <c r="I25" s="519">
        <f t="shared" si="12"/>
        <v>1512000</v>
      </c>
      <c r="J25" s="521">
        <f t="shared" si="3"/>
        <v>18129.496402877696</v>
      </c>
    </row>
    <row r="26" spans="1:13" ht="51" customHeight="1">
      <c r="B26" s="527" t="s">
        <v>827</v>
      </c>
      <c r="C26" s="519">
        <f>18000</f>
        <v>18000</v>
      </c>
      <c r="D26" s="519">
        <f t="shared" si="4"/>
        <v>3104.9999999999995</v>
      </c>
      <c r="E26" s="520">
        <v>2</v>
      </c>
      <c r="F26" s="519">
        <f>(C26+D26)*E26*12</f>
        <v>506520</v>
      </c>
      <c r="G26" s="519">
        <f t="shared" si="10"/>
        <v>506520</v>
      </c>
      <c r="H26" s="519">
        <f t="shared" si="11"/>
        <v>506520</v>
      </c>
      <c r="I26" s="519">
        <f t="shared" ref="I26:I28" si="14">SUM(F26:H26)</f>
        <v>1519560</v>
      </c>
      <c r="J26" s="521">
        <f t="shared" si="3"/>
        <v>18220.143884892084</v>
      </c>
    </row>
    <row r="27" spans="1:13" ht="49.5" customHeight="1">
      <c r="B27" s="528" t="s">
        <v>480</v>
      </c>
      <c r="C27" s="519">
        <f>15264</f>
        <v>15264</v>
      </c>
      <c r="D27" s="519">
        <f t="shared" si="4"/>
        <v>2633.04</v>
      </c>
      <c r="E27" s="520">
        <v>2</v>
      </c>
      <c r="F27" s="519">
        <f>(C27+D27)*E27*12</f>
        <v>429528.96</v>
      </c>
      <c r="G27" s="519">
        <f t="shared" si="10"/>
        <v>429528.96</v>
      </c>
      <c r="H27" s="519">
        <f t="shared" si="11"/>
        <v>429528.96</v>
      </c>
      <c r="I27" s="519">
        <f t="shared" si="14"/>
        <v>1288586.8800000001</v>
      </c>
      <c r="J27" s="521">
        <f t="shared" si="3"/>
        <v>15450.682014388489</v>
      </c>
    </row>
    <row r="28" spans="1:13" ht="15.6">
      <c r="B28" s="527" t="s">
        <v>383</v>
      </c>
      <c r="C28" s="524">
        <f>16347.33</f>
        <v>16347.33</v>
      </c>
      <c r="D28" s="519"/>
      <c r="E28" s="520">
        <v>2</v>
      </c>
      <c r="F28" s="519">
        <f t="shared" ref="F28" si="15">C28*E28*12</f>
        <v>392335.92</v>
      </c>
      <c r="G28" s="519">
        <f t="shared" si="10"/>
        <v>392335.92</v>
      </c>
      <c r="H28" s="519">
        <f t="shared" si="11"/>
        <v>392335.92</v>
      </c>
      <c r="I28" s="519">
        <f t="shared" si="14"/>
        <v>1177007.76</v>
      </c>
      <c r="J28" s="521">
        <f t="shared" si="3"/>
        <v>14112.802877697841</v>
      </c>
    </row>
    <row r="29" spans="1:13" ht="33.75" customHeight="1">
      <c r="B29" s="529" t="s">
        <v>481</v>
      </c>
      <c r="C29" s="524">
        <f>500*86</f>
        <v>43000</v>
      </c>
      <c r="D29" s="519"/>
      <c r="E29" s="530">
        <v>20</v>
      </c>
      <c r="F29" s="519">
        <f>C29*E29</f>
        <v>860000</v>
      </c>
      <c r="G29" s="519">
        <f t="shared" si="10"/>
        <v>860000</v>
      </c>
      <c r="H29" s="519">
        <f t="shared" si="11"/>
        <v>860000</v>
      </c>
      <c r="I29" s="519">
        <f t="shared" si="12"/>
        <v>2580000</v>
      </c>
      <c r="J29" s="521">
        <f t="shared" si="3"/>
        <v>30935.251798561148</v>
      </c>
    </row>
    <row r="30" spans="1:13" ht="54.6" customHeight="1">
      <c r="B30" s="528" t="s">
        <v>482</v>
      </c>
      <c r="C30" s="524">
        <f>500*83.6</f>
        <v>41800</v>
      </c>
      <c r="D30" s="519">
        <f t="shared" si="4"/>
        <v>7210.4999999999991</v>
      </c>
      <c r="E30" s="530">
        <v>3</v>
      </c>
      <c r="F30" s="519">
        <f>(C30*E30)*12</f>
        <v>1504800</v>
      </c>
      <c r="G30" s="519">
        <f t="shared" si="10"/>
        <v>1504800</v>
      </c>
      <c r="H30" s="519">
        <f t="shared" si="11"/>
        <v>1504800</v>
      </c>
      <c r="I30" s="519">
        <f>SUM(F30:H30)</f>
        <v>4514400</v>
      </c>
      <c r="J30" s="521">
        <f t="shared" si="3"/>
        <v>54129.496402877696</v>
      </c>
    </row>
    <row r="31" spans="1:13" ht="30.6" customHeight="1">
      <c r="B31" s="528" t="s">
        <v>483</v>
      </c>
      <c r="C31" s="524">
        <f>400*83.4</f>
        <v>33360</v>
      </c>
      <c r="D31" s="519">
        <f t="shared" si="4"/>
        <v>5754.5999999999995</v>
      </c>
      <c r="E31" s="530">
        <v>1</v>
      </c>
      <c r="F31" s="519">
        <f>SUM(C31+D31)*12</f>
        <v>469375.19999999995</v>
      </c>
      <c r="G31" s="519">
        <f t="shared" si="10"/>
        <v>469375.19999999995</v>
      </c>
      <c r="H31" s="519">
        <f t="shared" si="11"/>
        <v>469375.19999999995</v>
      </c>
      <c r="I31" s="519">
        <f>SUM(F31:H31)</f>
        <v>1408125.5999999999</v>
      </c>
      <c r="J31" s="521">
        <f t="shared" si="3"/>
        <v>16883.999999999996</v>
      </c>
    </row>
    <row r="32" spans="1:13" ht="62.4">
      <c r="B32" s="528" t="s">
        <v>484</v>
      </c>
      <c r="C32" s="524">
        <v>5000</v>
      </c>
      <c r="D32" s="519"/>
      <c r="E32" s="531">
        <f>14</f>
        <v>14</v>
      </c>
      <c r="F32" s="519">
        <f>C32*E32</f>
        <v>70000</v>
      </c>
      <c r="G32" s="519">
        <f t="shared" si="10"/>
        <v>70000</v>
      </c>
      <c r="H32" s="519">
        <f t="shared" si="11"/>
        <v>70000</v>
      </c>
      <c r="I32" s="519">
        <f>SUM(F32:H32)</f>
        <v>210000</v>
      </c>
      <c r="J32" s="521">
        <f t="shared" si="3"/>
        <v>2517.9856115107914</v>
      </c>
      <c r="L32" s="532" t="s">
        <v>485</v>
      </c>
      <c r="M32" s="533">
        <v>987925.19856115128</v>
      </c>
    </row>
    <row r="33" spans="1:13" ht="21">
      <c r="B33" s="526"/>
      <c r="C33" s="526"/>
      <c r="D33" s="526"/>
      <c r="E33" s="526"/>
      <c r="F33" s="526"/>
      <c r="G33" s="526"/>
      <c r="H33" s="526"/>
      <c r="I33" s="526"/>
      <c r="J33" s="534">
        <f>SUM(J2:J32)</f>
        <v>564615.09424460446</v>
      </c>
      <c r="K33" s="534"/>
      <c r="L33" s="532" t="s">
        <v>486</v>
      </c>
      <c r="M33" s="533">
        <v>195629.5</v>
      </c>
    </row>
    <row r="34" spans="1:13" ht="21">
      <c r="B34" s="535" t="s">
        <v>813</v>
      </c>
      <c r="C34" s="526"/>
      <c r="D34" s="526"/>
      <c r="E34" s="526"/>
      <c r="F34" s="526"/>
      <c r="G34" s="526"/>
      <c r="H34" s="526"/>
      <c r="I34" s="526"/>
      <c r="J34" s="514"/>
      <c r="L34" s="532" t="s">
        <v>487</v>
      </c>
      <c r="M34" s="532">
        <v>263994</v>
      </c>
    </row>
    <row r="35" spans="1:13" ht="31.2">
      <c r="A35" s="514"/>
      <c r="B35" s="518" t="s">
        <v>489</v>
      </c>
      <c r="C35" s="519">
        <v>1000</v>
      </c>
      <c r="D35" s="519"/>
      <c r="E35" s="520">
        <v>500</v>
      </c>
      <c r="F35" s="519">
        <f>C35*E35*12</f>
        <v>6000000</v>
      </c>
      <c r="G35" s="519">
        <f>F35</f>
        <v>6000000</v>
      </c>
      <c r="H35" s="519">
        <f>F35</f>
        <v>6000000</v>
      </c>
      <c r="I35" s="519">
        <f>SUM(F35:H35)</f>
        <v>18000000</v>
      </c>
      <c r="J35" s="521">
        <f>I35/83.4</f>
        <v>215827.33812949638</v>
      </c>
    </row>
    <row r="36" spans="1:13" ht="15.6">
      <c r="B36" s="526"/>
      <c r="C36" s="526"/>
      <c r="D36" s="526"/>
      <c r="E36" s="526"/>
      <c r="F36" s="526"/>
      <c r="G36" s="526"/>
      <c r="H36" s="526"/>
      <c r="I36" s="526"/>
      <c r="J36" s="534">
        <f>SUM(J35:J35)</f>
        <v>215827.33812949638</v>
      </c>
    </row>
    <row r="37" spans="1:13" ht="15.6">
      <c r="B37" s="526"/>
      <c r="C37" s="526"/>
      <c r="D37" s="526"/>
      <c r="E37" s="526"/>
      <c r="F37" s="526"/>
      <c r="G37" s="526"/>
      <c r="H37" s="526"/>
      <c r="I37" s="526"/>
    </row>
    <row r="38" spans="1:13" ht="15.6">
      <c r="A38" s="536" t="s">
        <v>54</v>
      </c>
      <c r="B38" s="535" t="s">
        <v>55</v>
      </c>
      <c r="C38" s="526"/>
      <c r="D38" s="526"/>
      <c r="E38" s="526"/>
      <c r="F38" s="526"/>
      <c r="G38" s="526"/>
      <c r="H38" s="526"/>
      <c r="I38" s="526"/>
    </row>
    <row r="39" spans="1:13" ht="15.6">
      <c r="B39" s="526"/>
      <c r="C39" s="731" t="s">
        <v>832</v>
      </c>
      <c r="D39" s="732">
        <v>0.17</v>
      </c>
      <c r="E39" s="731" t="s">
        <v>3</v>
      </c>
      <c r="F39" s="731" t="s">
        <v>75</v>
      </c>
      <c r="G39" s="731" t="s">
        <v>76</v>
      </c>
      <c r="H39" s="731" t="s">
        <v>77</v>
      </c>
      <c r="I39" s="731" t="s">
        <v>878</v>
      </c>
    </row>
    <row r="40" spans="1:13" ht="15.6">
      <c r="B40" s="537" t="s">
        <v>490</v>
      </c>
      <c r="C40" s="522">
        <v>10000</v>
      </c>
      <c r="D40" s="522"/>
      <c r="E40" s="522">
        <v>6</v>
      </c>
      <c r="F40" s="522">
        <v>30000</v>
      </c>
      <c r="G40" s="522">
        <v>30000</v>
      </c>
      <c r="H40" s="522"/>
      <c r="I40" s="538">
        <f>SUM(F40:H40)</f>
        <v>60000</v>
      </c>
    </row>
    <row r="41" spans="1:13" ht="15.6">
      <c r="B41" s="539" t="s">
        <v>491</v>
      </c>
      <c r="C41" s="522">
        <v>5000</v>
      </c>
      <c r="D41" s="522">
        <f>C41*17.25%</f>
        <v>862.49999999999989</v>
      </c>
      <c r="E41" s="522">
        <v>1</v>
      </c>
      <c r="F41" s="522">
        <f>5000+D41</f>
        <v>5862.5</v>
      </c>
      <c r="G41" s="522"/>
      <c r="H41" s="522"/>
      <c r="I41" s="538">
        <f t="shared" ref="I41:I50" si="16">SUM(F41:H41)</f>
        <v>5862.5</v>
      </c>
    </row>
    <row r="42" spans="1:13" ht="31.2">
      <c r="B42" s="539" t="s">
        <v>492</v>
      </c>
      <c r="C42" s="522">
        <v>4000</v>
      </c>
      <c r="D42" s="522"/>
      <c r="E42" s="522">
        <v>2</v>
      </c>
      <c r="F42" s="522">
        <v>8000</v>
      </c>
      <c r="G42" s="522"/>
      <c r="H42" s="522"/>
      <c r="I42" s="538">
        <f t="shared" si="16"/>
        <v>8000</v>
      </c>
    </row>
    <row r="43" spans="1:13" ht="31.2">
      <c r="B43" s="537" t="s">
        <v>493</v>
      </c>
      <c r="C43" s="522">
        <v>500</v>
      </c>
      <c r="D43" s="522"/>
      <c r="E43" s="522">
        <v>6</v>
      </c>
      <c r="F43" s="522"/>
      <c r="G43" s="522">
        <v>3000</v>
      </c>
      <c r="H43" s="522"/>
      <c r="I43" s="538">
        <f>SUM(F43:H43)</f>
        <v>3000</v>
      </c>
    </row>
    <row r="44" spans="1:13" ht="31.2">
      <c r="B44" s="537" t="s">
        <v>814</v>
      </c>
      <c r="C44" s="522">
        <v>5000</v>
      </c>
      <c r="D44" s="522">
        <f>C44*17.25%</f>
        <v>862.49999999999989</v>
      </c>
      <c r="E44" s="522">
        <v>1</v>
      </c>
      <c r="F44" s="522">
        <f>5000+D44</f>
        <v>5862.5</v>
      </c>
      <c r="G44" s="522"/>
      <c r="H44" s="522"/>
      <c r="I44" s="538">
        <f t="shared" si="16"/>
        <v>5862.5</v>
      </c>
    </row>
    <row r="45" spans="1:13" ht="31.2">
      <c r="B45" s="539" t="s">
        <v>815</v>
      </c>
      <c r="C45" s="522"/>
      <c r="D45" s="522"/>
      <c r="E45" s="522"/>
      <c r="F45" s="522">
        <v>6000</v>
      </c>
      <c r="G45" s="522"/>
      <c r="H45" s="522"/>
      <c r="I45" s="538">
        <f t="shared" si="16"/>
        <v>6000</v>
      </c>
    </row>
    <row r="46" spans="1:13" ht="15.6">
      <c r="B46" s="539" t="s">
        <v>494</v>
      </c>
      <c r="C46" s="522">
        <v>15000</v>
      </c>
      <c r="D46" s="522"/>
      <c r="E46" s="522">
        <v>3</v>
      </c>
      <c r="F46" s="522">
        <v>15000</v>
      </c>
      <c r="G46" s="522">
        <v>15000</v>
      </c>
      <c r="H46" s="522">
        <v>15000</v>
      </c>
      <c r="I46" s="538">
        <f t="shared" si="16"/>
        <v>45000</v>
      </c>
    </row>
    <row r="47" spans="1:13" ht="62.4">
      <c r="B47" s="539" t="s">
        <v>495</v>
      </c>
      <c r="C47" s="522">
        <v>2000</v>
      </c>
      <c r="D47" s="522">
        <f>C47*17.25%</f>
        <v>345</v>
      </c>
      <c r="E47" s="522">
        <v>2000</v>
      </c>
      <c r="F47" s="522"/>
      <c r="G47" s="522">
        <f>2000+D47</f>
        <v>2345</v>
      </c>
      <c r="H47" s="522"/>
      <c r="I47" s="538">
        <f t="shared" si="16"/>
        <v>2345</v>
      </c>
    </row>
    <row r="48" spans="1:13" ht="109.2">
      <c r="B48" s="539" t="s">
        <v>496</v>
      </c>
      <c r="C48" s="522">
        <v>2000</v>
      </c>
      <c r="D48" s="522">
        <f>C48*17.25%</f>
        <v>345</v>
      </c>
      <c r="E48" s="522">
        <v>4</v>
      </c>
      <c r="F48" s="522"/>
      <c r="G48" s="522">
        <f>2000+D48</f>
        <v>2345</v>
      </c>
      <c r="H48" s="522"/>
      <c r="I48" s="538">
        <f t="shared" si="16"/>
        <v>2345</v>
      </c>
    </row>
    <row r="49" spans="1:9" ht="46.8">
      <c r="B49" s="539" t="s">
        <v>497</v>
      </c>
      <c r="C49" s="522"/>
      <c r="D49" s="522"/>
      <c r="E49" s="522">
        <v>2</v>
      </c>
      <c r="F49" s="522"/>
      <c r="G49" s="522">
        <v>15500</v>
      </c>
      <c r="H49" s="522"/>
      <c r="I49" s="538">
        <f t="shared" si="16"/>
        <v>15500</v>
      </c>
    </row>
    <row r="50" spans="1:9" ht="31.2">
      <c r="B50" s="539" t="s">
        <v>816</v>
      </c>
      <c r="C50" s="522">
        <v>6321</v>
      </c>
      <c r="D50" s="522"/>
      <c r="E50" s="522"/>
      <c r="F50" s="522"/>
      <c r="G50" s="522">
        <v>6321</v>
      </c>
      <c r="H50" s="522"/>
      <c r="I50" s="538">
        <f t="shared" si="16"/>
        <v>6321</v>
      </c>
    </row>
    <row r="51" spans="1:9" ht="31.2">
      <c r="B51" s="539" t="s">
        <v>817</v>
      </c>
      <c r="C51" s="522">
        <v>4600</v>
      </c>
      <c r="D51" s="522">
        <f>C51*17.25%</f>
        <v>793.49999999999989</v>
      </c>
      <c r="E51" s="522"/>
      <c r="F51" s="522"/>
      <c r="G51" s="522">
        <f>2300</f>
        <v>2300</v>
      </c>
      <c r="H51" s="522">
        <v>2300</v>
      </c>
      <c r="I51" s="538">
        <f>SUM(F51:H51)+D51</f>
        <v>5393.5</v>
      </c>
    </row>
    <row r="52" spans="1:9" ht="15.6">
      <c r="B52" s="526"/>
      <c r="C52" s="526"/>
      <c r="D52" s="526"/>
      <c r="E52" s="526"/>
      <c r="F52" s="526"/>
      <c r="G52" s="526"/>
      <c r="H52" s="526"/>
      <c r="I52" s="540">
        <f>SUM(I40:I51)</f>
        <v>165629.5</v>
      </c>
    </row>
    <row r="53" spans="1:9" ht="15.6">
      <c r="B53" s="526"/>
      <c r="C53" s="526"/>
      <c r="D53" s="526"/>
      <c r="E53" s="526"/>
      <c r="F53" s="526"/>
      <c r="G53" s="526"/>
      <c r="H53" s="526"/>
      <c r="I53" s="526"/>
    </row>
    <row r="54" spans="1:9" ht="15.6">
      <c r="B54" s="526"/>
      <c r="C54" s="526"/>
      <c r="D54" s="526"/>
      <c r="E54" s="526"/>
      <c r="F54" s="526"/>
      <c r="G54" s="526"/>
      <c r="H54" s="526"/>
      <c r="I54" s="526"/>
    </row>
    <row r="55" spans="1:9" ht="15.6">
      <c r="A55" s="536" t="s">
        <v>45</v>
      </c>
      <c r="B55" s="997" t="s">
        <v>46</v>
      </c>
      <c r="C55" s="884"/>
      <c r="D55" s="541"/>
      <c r="E55" s="541"/>
      <c r="F55" s="541"/>
      <c r="G55" s="541"/>
      <c r="H55" s="541"/>
      <c r="I55" s="541"/>
    </row>
    <row r="56" spans="1:9" ht="140.4">
      <c r="B56" s="542" t="s">
        <v>819</v>
      </c>
      <c r="C56" s="522">
        <v>10000</v>
      </c>
      <c r="D56" s="522">
        <f>C56*17.25%</f>
        <v>1724.9999999999998</v>
      </c>
      <c r="E56" s="522"/>
      <c r="F56" s="522"/>
      <c r="G56" s="522">
        <v>10000</v>
      </c>
      <c r="H56" s="522"/>
      <c r="I56" s="538">
        <f t="shared" ref="I56:I60" si="17">SUM(F56:H56)+D56</f>
        <v>11725</v>
      </c>
    </row>
    <row r="57" spans="1:9" ht="46.8">
      <c r="B57" s="542" t="s">
        <v>498</v>
      </c>
      <c r="C57" s="522">
        <v>40000</v>
      </c>
      <c r="D57" s="522"/>
      <c r="E57" s="522">
        <v>2</v>
      </c>
      <c r="F57" s="522">
        <v>80000</v>
      </c>
      <c r="G57" s="522"/>
      <c r="H57" s="522"/>
      <c r="I57" s="538">
        <f t="shared" si="17"/>
        <v>80000</v>
      </c>
    </row>
    <row r="58" spans="1:9" ht="46.8">
      <c r="B58" s="542" t="s">
        <v>818</v>
      </c>
      <c r="C58" s="522">
        <v>12000</v>
      </c>
      <c r="D58" s="522"/>
      <c r="E58" s="522"/>
      <c r="F58" s="522">
        <v>12000</v>
      </c>
      <c r="G58" s="522"/>
      <c r="H58" s="522"/>
      <c r="I58" s="538">
        <f t="shared" si="17"/>
        <v>12000</v>
      </c>
    </row>
    <row r="59" spans="1:9" ht="46.8">
      <c r="B59" s="542" t="s">
        <v>820</v>
      </c>
      <c r="C59" s="522">
        <v>10000</v>
      </c>
      <c r="D59" s="522"/>
      <c r="E59" s="522">
        <v>5</v>
      </c>
      <c r="F59" s="522">
        <v>30000</v>
      </c>
      <c r="G59" s="522">
        <v>20000</v>
      </c>
      <c r="H59" s="522"/>
      <c r="I59" s="538">
        <f t="shared" si="17"/>
        <v>50000</v>
      </c>
    </row>
    <row r="60" spans="1:9" ht="30" customHeight="1">
      <c r="B60" s="542" t="s">
        <v>499</v>
      </c>
      <c r="C60" s="522">
        <v>400</v>
      </c>
      <c r="D60" s="522"/>
      <c r="E60" s="522">
        <v>9</v>
      </c>
      <c r="F60" s="522">
        <v>3600</v>
      </c>
      <c r="G60" s="522"/>
      <c r="H60" s="522"/>
      <c r="I60" s="538">
        <f t="shared" si="17"/>
        <v>3600</v>
      </c>
    </row>
    <row r="61" spans="1:9" ht="61.5" customHeight="1">
      <c r="B61" s="542" t="s">
        <v>821</v>
      </c>
      <c r="C61" s="522">
        <v>10000</v>
      </c>
      <c r="D61" s="522"/>
      <c r="E61" s="522"/>
      <c r="F61" s="522"/>
      <c r="G61" s="522"/>
      <c r="H61" s="522"/>
      <c r="I61" s="538">
        <v>10000</v>
      </c>
    </row>
    <row r="62" spans="1:9" ht="47.25" customHeight="1">
      <c r="B62" s="542" t="s">
        <v>822</v>
      </c>
      <c r="C62" s="522">
        <v>3000</v>
      </c>
      <c r="D62" s="522"/>
      <c r="E62" s="522"/>
      <c r="F62" s="522"/>
      <c r="G62" s="522"/>
      <c r="H62" s="522"/>
      <c r="I62" s="538">
        <v>3000</v>
      </c>
    </row>
    <row r="63" spans="1:9" ht="15.6">
      <c r="B63" s="526"/>
      <c r="C63" s="526"/>
      <c r="D63" s="526"/>
      <c r="E63" s="526"/>
      <c r="F63" s="526"/>
      <c r="G63" s="526"/>
      <c r="H63" s="526"/>
      <c r="I63" s="540">
        <f>SUM(I56:I62)</f>
        <v>170325</v>
      </c>
    </row>
    <row r="64" spans="1:9" ht="15.6">
      <c r="B64" s="526"/>
      <c r="C64" s="526"/>
      <c r="D64" s="526"/>
      <c r="E64" s="526"/>
      <c r="F64" s="526"/>
      <c r="G64" s="526"/>
      <c r="H64" s="526"/>
      <c r="I64" s="526"/>
    </row>
    <row r="65" spans="1:9" ht="15.6">
      <c r="A65" s="536" t="s">
        <v>49</v>
      </c>
      <c r="B65" s="998" t="s">
        <v>50</v>
      </c>
      <c r="C65" s="999"/>
      <c r="D65" s="526"/>
      <c r="E65" s="526"/>
      <c r="F65" s="526"/>
      <c r="G65" s="526"/>
      <c r="H65" s="526"/>
      <c r="I65" s="526"/>
    </row>
    <row r="66" spans="1:9" ht="15.6">
      <c r="B66" s="526"/>
      <c r="C66" s="526"/>
      <c r="D66" s="526"/>
      <c r="E66" s="526"/>
      <c r="F66" s="526"/>
      <c r="G66" s="526"/>
      <c r="H66" s="526"/>
      <c r="I66" s="526"/>
    </row>
    <row r="67" spans="1:9" ht="62.4">
      <c r="B67" s="539" t="s">
        <v>51</v>
      </c>
      <c r="C67" s="522">
        <v>1000</v>
      </c>
      <c r="D67" s="522">
        <f>C67*17.25%</f>
        <v>172.5</v>
      </c>
      <c r="E67" s="522">
        <v>5</v>
      </c>
      <c r="F67" s="522"/>
      <c r="G67" s="522"/>
      <c r="H67" s="522"/>
      <c r="I67" s="538">
        <f>(C67+D67)*E67</f>
        <v>5862.5</v>
      </c>
    </row>
    <row r="68" spans="1:9" ht="62.4">
      <c r="B68" s="539" t="s">
        <v>52</v>
      </c>
      <c r="C68" s="522">
        <v>3750</v>
      </c>
      <c r="D68" s="543">
        <f>C68*17.25%</f>
        <v>646.875</v>
      </c>
      <c r="E68" s="522">
        <v>2</v>
      </c>
      <c r="F68" s="522"/>
      <c r="G68" s="522"/>
      <c r="H68" s="522"/>
      <c r="I68" s="538">
        <f>(C68+D68)*E68</f>
        <v>8793.75</v>
      </c>
    </row>
    <row r="69" spans="1:9" ht="31.2">
      <c r="B69" s="539" t="s">
        <v>53</v>
      </c>
      <c r="C69" s="522">
        <v>1500</v>
      </c>
      <c r="D69" s="543">
        <f>C69*17.25%</f>
        <v>258.75</v>
      </c>
      <c r="E69" s="522">
        <v>2</v>
      </c>
      <c r="F69" s="522"/>
      <c r="G69" s="522"/>
      <c r="H69" s="522"/>
      <c r="I69" s="538">
        <f>(C69+D69)*E69</f>
        <v>3517.5</v>
      </c>
    </row>
    <row r="70" spans="1:9" ht="57" customHeight="1">
      <c r="B70" s="539" t="s">
        <v>823</v>
      </c>
      <c r="C70" s="522">
        <v>7000</v>
      </c>
      <c r="D70" s="522"/>
      <c r="E70" s="522">
        <v>1</v>
      </c>
      <c r="F70" s="522"/>
      <c r="G70" s="522"/>
      <c r="H70" s="522"/>
      <c r="I70" s="538">
        <f>SUM(E70*C70)</f>
        <v>7000</v>
      </c>
    </row>
    <row r="71" spans="1:9" ht="92.4" customHeight="1">
      <c r="B71" s="542" t="s">
        <v>824</v>
      </c>
      <c r="C71" s="522">
        <v>5000</v>
      </c>
      <c r="D71" s="522"/>
      <c r="E71" s="522">
        <v>2</v>
      </c>
      <c r="F71" s="522"/>
      <c r="G71" s="522"/>
      <c r="H71" s="522"/>
      <c r="I71" s="538">
        <f>SUM(E71*C71)</f>
        <v>10000</v>
      </c>
    </row>
    <row r="72" spans="1:9" ht="85.2" customHeight="1">
      <c r="B72" s="539" t="s">
        <v>801</v>
      </c>
      <c r="C72" s="522">
        <v>2000</v>
      </c>
      <c r="D72" s="543">
        <f>C72*17.25%</f>
        <v>345</v>
      </c>
      <c r="E72" s="522">
        <v>2</v>
      </c>
      <c r="F72" s="522"/>
      <c r="G72" s="522"/>
      <c r="H72" s="522"/>
      <c r="I72" s="538">
        <f>(C72+D72)*E72</f>
        <v>4690</v>
      </c>
    </row>
    <row r="73" spans="1:9" ht="15.6">
      <c r="B73" s="526"/>
      <c r="C73" s="526"/>
      <c r="D73" s="526"/>
      <c r="E73" s="526"/>
      <c r="F73" s="526"/>
      <c r="G73" s="526"/>
      <c r="H73" s="526"/>
      <c r="I73" s="540">
        <f>SUM(I67:I72)</f>
        <v>39863.75</v>
      </c>
    </row>
    <row r="75" spans="1:9" ht="21">
      <c r="C75" s="227" t="s">
        <v>485</v>
      </c>
      <c r="G75" s="515"/>
      <c r="H75" s="513" t="s">
        <v>805</v>
      </c>
      <c r="I75" s="515">
        <f>SUM(I73+I63+I52+J36+J33)</f>
        <v>1156260.6823741009</v>
      </c>
    </row>
    <row r="76" spans="1:9" ht="21">
      <c r="C76" s="227" t="s">
        <v>486</v>
      </c>
      <c r="H76" s="228" t="str">
        <f>'[32]Прогноз на 3 года АРВ'!Z24</f>
        <v>АРТ ГФ</v>
      </c>
      <c r="I76" s="503">
        <f>'Прогноз на 3 года АРВ'!AA24</f>
        <v>793256.4</v>
      </c>
    </row>
    <row r="77" spans="1:9" ht="21">
      <c r="C77" s="227" t="s">
        <v>487</v>
      </c>
      <c r="H77" s="228" t="str">
        <f>'[32]Прогноз на 3 года АРВ'!Z25</f>
        <v>Диагностика</v>
      </c>
      <c r="I77" s="503">
        <f>'Прогноз на 3 года АРВ'!AA25</f>
        <v>1292280</v>
      </c>
    </row>
    <row r="78" spans="1:9" ht="21">
      <c r="C78" s="227" t="s">
        <v>488</v>
      </c>
      <c r="H78" s="228" t="str">
        <f>'[32]Прогноз на 3 года АРВ'!Z26</f>
        <v>ИМН</v>
      </c>
      <c r="I78" s="228">
        <f>'Прогноз на 3 года АРВ'!AA26</f>
        <v>84000</v>
      </c>
    </row>
    <row r="79" spans="1:9" ht="18">
      <c r="H79" s="229" t="s">
        <v>500</v>
      </c>
      <c r="I79" s="231">
        <f>ОборудованияЛДВ!R55</f>
        <v>238020.16091954027</v>
      </c>
    </row>
    <row r="80" spans="1:9">
      <c r="I80" s="515">
        <f>SUM(I75:I79)</f>
        <v>3563817.2432936411</v>
      </c>
    </row>
  </sheetData>
  <mergeCells count="2">
    <mergeCell ref="B55:C55"/>
    <mergeCell ref="B65:C6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opLeftCell="A19" zoomScaleNormal="100" workbookViewId="0">
      <pane xSplit="1" topLeftCell="Q1" activePane="topRight" state="frozen"/>
      <selection activeCell="Y6" sqref="Y6"/>
      <selection pane="topRight" activeCell="AB23" sqref="AB23"/>
    </sheetView>
  </sheetViews>
  <sheetFormatPr defaultColWidth="9.109375" defaultRowHeight="14.4"/>
  <cols>
    <col min="1" max="1" width="32.5546875" style="223" customWidth="1"/>
    <col min="2" max="5" width="12.109375" style="223" customWidth="1"/>
    <col min="6" max="6" width="12" style="223" customWidth="1"/>
    <col min="7" max="7" width="12.109375" style="223" customWidth="1"/>
    <col min="8" max="8" width="10.44140625" style="223" customWidth="1"/>
    <col min="9" max="9" width="12.109375" style="223" customWidth="1"/>
    <col min="10" max="11" width="13.88671875" style="223" customWidth="1"/>
    <col min="12" max="12" width="12.109375" style="223" customWidth="1"/>
    <col min="13" max="13" width="12.33203125" style="223" customWidth="1"/>
    <col min="14" max="14" width="12.109375" style="223" customWidth="1"/>
    <col min="15" max="15" width="13.33203125" style="223" customWidth="1"/>
    <col min="16" max="16" width="11.88671875" style="223" customWidth="1"/>
    <col min="17" max="17" width="11.33203125" style="223" customWidth="1"/>
    <col min="18" max="18" width="9.33203125" style="223" bestFit="1" customWidth="1"/>
    <col min="19" max="19" width="9.88671875" style="223" bestFit="1" customWidth="1"/>
    <col min="20" max="20" width="9.33203125" style="223" bestFit="1" customWidth="1"/>
    <col min="21" max="21" width="9.88671875" style="223" bestFit="1" customWidth="1"/>
    <col min="22" max="22" width="14.33203125" style="223" customWidth="1"/>
    <col min="23" max="23" width="12.33203125" style="223" customWidth="1"/>
    <col min="24" max="24" width="10.6640625" style="223" customWidth="1"/>
    <col min="25" max="25" width="14.109375" style="223" customWidth="1"/>
    <col min="26" max="26" width="12.5546875" style="223" customWidth="1"/>
    <col min="27" max="27" width="9.88671875" style="223" bestFit="1" customWidth="1"/>
    <col min="28" max="28" width="14.33203125" style="223" customWidth="1"/>
    <col min="29" max="16384" width="9.109375" style="223"/>
  </cols>
  <sheetData>
    <row r="1" spans="1:29" ht="104.4">
      <c r="A1" s="413" t="s">
        <v>716</v>
      </c>
      <c r="B1" s="414" t="s">
        <v>717</v>
      </c>
      <c r="C1" s="415" t="s">
        <v>718</v>
      </c>
      <c r="D1" s="415" t="s">
        <v>719</v>
      </c>
      <c r="E1" s="414" t="s">
        <v>720</v>
      </c>
      <c r="F1" s="416" t="s">
        <v>721</v>
      </c>
      <c r="G1" s="416" t="s">
        <v>722</v>
      </c>
      <c r="H1" s="417" t="s">
        <v>723</v>
      </c>
      <c r="I1" s="417" t="s">
        <v>724</v>
      </c>
      <c r="J1" s="418" t="s">
        <v>725</v>
      </c>
      <c r="K1" s="414" t="s">
        <v>726</v>
      </c>
      <c r="L1" s="416" t="s">
        <v>721</v>
      </c>
      <c r="M1" s="416" t="s">
        <v>722</v>
      </c>
      <c r="N1" s="417" t="s">
        <v>723</v>
      </c>
      <c r="O1" s="417" t="s">
        <v>727</v>
      </c>
      <c r="P1" s="418" t="s">
        <v>725</v>
      </c>
      <c r="Q1" s="414" t="s">
        <v>728</v>
      </c>
      <c r="R1" s="416" t="s">
        <v>721</v>
      </c>
      <c r="S1" s="416" t="s">
        <v>722</v>
      </c>
      <c r="T1" s="417" t="s">
        <v>723</v>
      </c>
      <c r="U1" s="417" t="s">
        <v>727</v>
      </c>
      <c r="V1" s="418" t="s">
        <v>725</v>
      </c>
      <c r="W1" s="414" t="s">
        <v>729</v>
      </c>
      <c r="X1" s="416" t="s">
        <v>721</v>
      </c>
      <c r="Y1" s="416" t="s">
        <v>722</v>
      </c>
      <c r="Z1" s="417" t="s">
        <v>723</v>
      </c>
      <c r="AA1" s="417" t="s">
        <v>727</v>
      </c>
      <c r="AB1" s="418" t="s">
        <v>725</v>
      </c>
      <c r="AC1" s="734" t="s">
        <v>879</v>
      </c>
    </row>
    <row r="2" spans="1:29" ht="18">
      <c r="A2" s="419" t="s">
        <v>730</v>
      </c>
      <c r="B2" s="420">
        <v>5589</v>
      </c>
      <c r="C2" s="421">
        <v>7.8</v>
      </c>
      <c r="D2" s="421">
        <v>4.9000000000000004</v>
      </c>
      <c r="E2" s="422">
        <f>'[32]Расчет колич АРВП'!U3</f>
        <v>6736</v>
      </c>
      <c r="F2" s="423">
        <v>6036</v>
      </c>
      <c r="G2" s="424">
        <f>(F2*C2)*12</f>
        <v>564969.6</v>
      </c>
      <c r="H2" s="425">
        <v>700</v>
      </c>
      <c r="I2" s="426">
        <f>(H2*D2)*12</f>
        <v>41160.000000000007</v>
      </c>
      <c r="J2" s="427">
        <f>G2+I2</f>
        <v>606129.6</v>
      </c>
      <c r="K2" s="428">
        <v>7675</v>
      </c>
      <c r="L2" s="423">
        <v>7175</v>
      </c>
      <c r="M2" s="424">
        <f>(L2*C2)*12</f>
        <v>671580</v>
      </c>
      <c r="N2" s="425">
        <v>500</v>
      </c>
      <c r="O2" s="426">
        <f>(N2*D2)*12</f>
        <v>29400</v>
      </c>
      <c r="P2" s="427">
        <f>M2+O2</f>
        <v>700980</v>
      </c>
      <c r="Q2" s="428">
        <v>8570</v>
      </c>
      <c r="R2" s="423">
        <v>8075</v>
      </c>
      <c r="S2" s="424">
        <f>(R2*C2)*12</f>
        <v>755820</v>
      </c>
      <c r="T2" s="429">
        <v>500</v>
      </c>
      <c r="U2" s="426">
        <f>(T2*D2)*12</f>
        <v>29400</v>
      </c>
      <c r="V2" s="427">
        <f>S2+U2</f>
        <v>785220</v>
      </c>
      <c r="W2" s="428">
        <v>8570</v>
      </c>
      <c r="X2" s="423">
        <v>8075</v>
      </c>
      <c r="Y2" s="424">
        <f t="shared" ref="Y2:Y19" si="0">(X2*C2)*6</f>
        <v>377910</v>
      </c>
      <c r="Z2" s="429">
        <v>500</v>
      </c>
      <c r="AA2" s="426">
        <f>(Z2*D2)*6</f>
        <v>14700</v>
      </c>
      <c r="AB2" s="427">
        <f>Y2+AA2</f>
        <v>392610</v>
      </c>
    </row>
    <row r="3" spans="1:29" ht="18">
      <c r="A3" s="419" t="s">
        <v>731</v>
      </c>
      <c r="B3" s="420">
        <v>450</v>
      </c>
      <c r="C3" s="421">
        <v>8.8000000000000007</v>
      </c>
      <c r="D3" s="421">
        <v>7.8</v>
      </c>
      <c r="E3" s="428">
        <v>400</v>
      </c>
      <c r="F3" s="430">
        <v>0</v>
      </c>
      <c r="G3" s="424">
        <f>(F3*C3)*12</f>
        <v>0</v>
      </c>
      <c r="H3" s="431">
        <v>400</v>
      </c>
      <c r="I3" s="426">
        <f t="shared" ref="I3:I19" si="1">(H3*D3)*12</f>
        <v>37440</v>
      </c>
      <c r="J3" s="427">
        <f t="shared" ref="J3:J20" si="2">G3+I3</f>
        <v>37440</v>
      </c>
      <c r="K3" s="428">
        <v>400</v>
      </c>
      <c r="L3" s="430">
        <v>0</v>
      </c>
      <c r="M3" s="424">
        <f t="shared" ref="M3:M17" si="3">(L3*C3)*12</f>
        <v>0</v>
      </c>
      <c r="N3" s="428">
        <v>400</v>
      </c>
      <c r="O3" s="426">
        <f t="shared" ref="O3:O19" si="4">(N3*D3)*12</f>
        <v>37440</v>
      </c>
      <c r="P3" s="427">
        <f t="shared" ref="P3:P17" si="5">M3+O3</f>
        <v>37440</v>
      </c>
      <c r="Q3" s="428">
        <v>400</v>
      </c>
      <c r="R3" s="430">
        <v>0</v>
      </c>
      <c r="S3" s="424">
        <f t="shared" ref="S3:S19" si="6">(R3*C3)*12</f>
        <v>0</v>
      </c>
      <c r="T3" s="432">
        <v>400</v>
      </c>
      <c r="U3" s="426">
        <f t="shared" ref="U3:U19" si="7">(T3*D3)*12</f>
        <v>37440</v>
      </c>
      <c r="V3" s="427">
        <f t="shared" ref="V3:V20" si="8">S3+U3</f>
        <v>37440</v>
      </c>
      <c r="W3" s="428">
        <v>400</v>
      </c>
      <c r="X3" s="430">
        <v>0</v>
      </c>
      <c r="Y3" s="424">
        <f t="shared" si="0"/>
        <v>0</v>
      </c>
      <c r="Z3" s="433">
        <v>400</v>
      </c>
      <c r="AA3" s="426">
        <f t="shared" ref="AA3:AA19" si="9">(Z3*D3)*6</f>
        <v>18720</v>
      </c>
      <c r="AB3" s="427">
        <f t="shared" ref="AB3:AB20" si="10">Y3+AA3</f>
        <v>18720</v>
      </c>
    </row>
    <row r="4" spans="1:29" ht="18">
      <c r="A4" s="419" t="s">
        <v>732</v>
      </c>
      <c r="B4" s="420">
        <v>4</v>
      </c>
      <c r="C4" s="421"/>
      <c r="D4" s="421">
        <v>11.2</v>
      </c>
      <c r="E4" s="422">
        <v>4</v>
      </c>
      <c r="F4" s="430">
        <v>0</v>
      </c>
      <c r="G4" s="424">
        <f t="shared" ref="G4:G17" si="11">(F4*C4)*12</f>
        <v>0</v>
      </c>
      <c r="H4" s="431">
        <v>4</v>
      </c>
      <c r="I4" s="426">
        <f t="shared" si="1"/>
        <v>537.59999999999991</v>
      </c>
      <c r="J4" s="427">
        <f t="shared" si="2"/>
        <v>537.59999999999991</v>
      </c>
      <c r="K4" s="428">
        <v>4</v>
      </c>
      <c r="L4" s="430">
        <v>0</v>
      </c>
      <c r="M4" s="424">
        <f t="shared" si="3"/>
        <v>0</v>
      </c>
      <c r="N4" s="428">
        <v>4</v>
      </c>
      <c r="O4" s="426">
        <f t="shared" si="4"/>
        <v>537.59999999999991</v>
      </c>
      <c r="P4" s="427">
        <f t="shared" si="5"/>
        <v>537.59999999999991</v>
      </c>
      <c r="Q4" s="428">
        <v>4</v>
      </c>
      <c r="R4" s="430">
        <v>0</v>
      </c>
      <c r="S4" s="424">
        <f t="shared" si="6"/>
        <v>0</v>
      </c>
      <c r="T4" s="432">
        <v>4</v>
      </c>
      <c r="U4" s="426">
        <f t="shared" si="7"/>
        <v>537.59999999999991</v>
      </c>
      <c r="V4" s="427">
        <f t="shared" si="8"/>
        <v>537.59999999999991</v>
      </c>
      <c r="W4" s="428">
        <v>4</v>
      </c>
      <c r="X4" s="430">
        <v>0</v>
      </c>
      <c r="Y4" s="424">
        <f t="shared" si="0"/>
        <v>0</v>
      </c>
      <c r="Z4" s="433">
        <v>4</v>
      </c>
      <c r="AA4" s="426">
        <f t="shared" si="9"/>
        <v>268.79999999999995</v>
      </c>
      <c r="AB4" s="427">
        <f t="shared" si="10"/>
        <v>268.79999999999995</v>
      </c>
    </row>
    <row r="5" spans="1:29" ht="18">
      <c r="A5" s="434" t="s">
        <v>733</v>
      </c>
      <c r="B5" s="420">
        <v>113</v>
      </c>
      <c r="C5" s="421">
        <v>7.4</v>
      </c>
      <c r="D5" s="421">
        <v>1.8</v>
      </c>
      <c r="E5" s="422">
        <v>117</v>
      </c>
      <c r="F5" s="430">
        <v>0</v>
      </c>
      <c r="G5" s="424">
        <f t="shared" si="11"/>
        <v>0</v>
      </c>
      <c r="H5" s="431">
        <v>117</v>
      </c>
      <c r="I5" s="426">
        <f t="shared" si="1"/>
        <v>2527.1999999999998</v>
      </c>
      <c r="J5" s="427">
        <f t="shared" si="2"/>
        <v>2527.1999999999998</v>
      </c>
      <c r="K5" s="428">
        <v>117</v>
      </c>
      <c r="L5" s="430">
        <v>0</v>
      </c>
      <c r="M5" s="424">
        <f t="shared" si="3"/>
        <v>0</v>
      </c>
      <c r="N5" s="428">
        <v>117</v>
      </c>
      <c r="O5" s="426">
        <f t="shared" si="4"/>
        <v>2527.1999999999998</v>
      </c>
      <c r="P5" s="427">
        <f t="shared" si="5"/>
        <v>2527.1999999999998</v>
      </c>
      <c r="Q5" s="428">
        <v>120</v>
      </c>
      <c r="R5" s="430">
        <v>0</v>
      </c>
      <c r="S5" s="424">
        <f t="shared" si="6"/>
        <v>0</v>
      </c>
      <c r="T5" s="432">
        <v>120</v>
      </c>
      <c r="U5" s="426">
        <f t="shared" si="7"/>
        <v>2592</v>
      </c>
      <c r="V5" s="427">
        <f t="shared" si="8"/>
        <v>2592</v>
      </c>
      <c r="W5" s="428">
        <v>120</v>
      </c>
      <c r="X5" s="430">
        <v>0</v>
      </c>
      <c r="Y5" s="424">
        <f t="shared" si="0"/>
        <v>0</v>
      </c>
      <c r="Z5" s="433">
        <v>120</v>
      </c>
      <c r="AA5" s="426">
        <f t="shared" si="9"/>
        <v>1296</v>
      </c>
      <c r="AB5" s="427">
        <f t="shared" si="10"/>
        <v>1296</v>
      </c>
    </row>
    <row r="6" spans="1:29" s="437" customFormat="1" ht="18">
      <c r="A6" s="434" t="s">
        <v>734</v>
      </c>
      <c r="B6" s="420">
        <v>95</v>
      </c>
      <c r="C6" s="421"/>
      <c r="D6" s="421">
        <v>21.4</v>
      </c>
      <c r="E6" s="422">
        <v>175</v>
      </c>
      <c r="F6" s="435">
        <v>0</v>
      </c>
      <c r="G6" s="424">
        <f t="shared" si="11"/>
        <v>0</v>
      </c>
      <c r="H6" s="436">
        <v>175</v>
      </c>
      <c r="I6" s="426">
        <f t="shared" si="1"/>
        <v>44939.999999999993</v>
      </c>
      <c r="J6" s="427">
        <f t="shared" si="2"/>
        <v>44939.999999999993</v>
      </c>
      <c r="K6" s="428">
        <v>230</v>
      </c>
      <c r="L6" s="435">
        <v>0</v>
      </c>
      <c r="M6" s="424">
        <f t="shared" si="3"/>
        <v>0</v>
      </c>
      <c r="N6" s="428">
        <v>230</v>
      </c>
      <c r="O6" s="426">
        <f t="shared" si="4"/>
        <v>59064</v>
      </c>
      <c r="P6" s="427">
        <f t="shared" si="5"/>
        <v>59064</v>
      </c>
      <c r="Q6" s="428">
        <v>280</v>
      </c>
      <c r="R6" s="435">
        <v>0</v>
      </c>
      <c r="S6" s="424">
        <f t="shared" si="6"/>
        <v>0</v>
      </c>
      <c r="T6" s="432">
        <v>280</v>
      </c>
      <c r="U6" s="426">
        <f t="shared" si="7"/>
        <v>71904</v>
      </c>
      <c r="V6" s="427">
        <f t="shared" si="8"/>
        <v>71904</v>
      </c>
      <c r="W6" s="428">
        <v>280</v>
      </c>
      <c r="X6" s="435">
        <v>0</v>
      </c>
      <c r="Y6" s="424">
        <f t="shared" si="0"/>
        <v>0</v>
      </c>
      <c r="Z6" s="433">
        <v>280</v>
      </c>
      <c r="AA6" s="426">
        <f t="shared" si="9"/>
        <v>35952</v>
      </c>
      <c r="AB6" s="427">
        <f t="shared" si="10"/>
        <v>35952</v>
      </c>
    </row>
    <row r="7" spans="1:29" ht="18">
      <c r="A7" s="419" t="s">
        <v>735</v>
      </c>
      <c r="B7" s="420">
        <v>14</v>
      </c>
      <c r="C7" s="421">
        <v>5.5</v>
      </c>
      <c r="D7" s="421">
        <v>4.3</v>
      </c>
      <c r="E7" s="422">
        <v>15</v>
      </c>
      <c r="F7" s="435">
        <v>0</v>
      </c>
      <c r="G7" s="424">
        <f t="shared" si="11"/>
        <v>0</v>
      </c>
      <c r="H7" s="436">
        <v>15</v>
      </c>
      <c r="I7" s="426">
        <f t="shared" si="1"/>
        <v>774</v>
      </c>
      <c r="J7" s="427">
        <f t="shared" si="2"/>
        <v>774</v>
      </c>
      <c r="K7" s="428">
        <v>16</v>
      </c>
      <c r="L7" s="435">
        <v>0</v>
      </c>
      <c r="M7" s="424">
        <f t="shared" si="3"/>
        <v>0</v>
      </c>
      <c r="N7" s="428">
        <v>16</v>
      </c>
      <c r="O7" s="426">
        <f t="shared" si="4"/>
        <v>825.59999999999991</v>
      </c>
      <c r="P7" s="427">
        <f t="shared" si="5"/>
        <v>825.59999999999991</v>
      </c>
      <c r="Q7" s="428">
        <v>17</v>
      </c>
      <c r="R7" s="435">
        <v>0</v>
      </c>
      <c r="S7" s="424">
        <f t="shared" si="6"/>
        <v>0</v>
      </c>
      <c r="T7" s="432">
        <v>17</v>
      </c>
      <c r="U7" s="426">
        <f t="shared" si="7"/>
        <v>877.19999999999993</v>
      </c>
      <c r="V7" s="427">
        <f t="shared" si="8"/>
        <v>877.19999999999993</v>
      </c>
      <c r="W7" s="428">
        <v>17</v>
      </c>
      <c r="X7" s="435">
        <v>0</v>
      </c>
      <c r="Y7" s="424">
        <f t="shared" si="0"/>
        <v>0</v>
      </c>
      <c r="Z7" s="433">
        <v>17</v>
      </c>
      <c r="AA7" s="426">
        <f t="shared" si="9"/>
        <v>438.59999999999997</v>
      </c>
      <c r="AB7" s="427">
        <f t="shared" si="10"/>
        <v>438.59999999999997</v>
      </c>
    </row>
    <row r="8" spans="1:29" ht="18">
      <c r="A8" s="419" t="s">
        <v>736</v>
      </c>
      <c r="B8" s="420">
        <v>62</v>
      </c>
      <c r="C8" s="421"/>
      <c r="D8" s="421">
        <v>6.5</v>
      </c>
      <c r="E8" s="422">
        <v>67</v>
      </c>
      <c r="F8" s="435">
        <v>0</v>
      </c>
      <c r="G8" s="424">
        <f t="shared" si="11"/>
        <v>0</v>
      </c>
      <c r="H8" s="436">
        <v>67</v>
      </c>
      <c r="I8" s="426">
        <f t="shared" si="1"/>
        <v>5226</v>
      </c>
      <c r="J8" s="427">
        <f t="shared" si="2"/>
        <v>5226</v>
      </c>
      <c r="K8" s="428">
        <v>71</v>
      </c>
      <c r="L8" s="435">
        <v>0</v>
      </c>
      <c r="M8" s="424">
        <f t="shared" si="3"/>
        <v>0</v>
      </c>
      <c r="N8" s="428">
        <v>71</v>
      </c>
      <c r="O8" s="426">
        <f t="shared" si="4"/>
        <v>5538</v>
      </c>
      <c r="P8" s="427">
        <f t="shared" si="5"/>
        <v>5538</v>
      </c>
      <c r="Q8" s="428">
        <v>77</v>
      </c>
      <c r="R8" s="435">
        <v>0</v>
      </c>
      <c r="S8" s="424">
        <f t="shared" si="6"/>
        <v>0</v>
      </c>
      <c r="T8" s="432">
        <v>77</v>
      </c>
      <c r="U8" s="426">
        <f t="shared" si="7"/>
        <v>6006</v>
      </c>
      <c r="V8" s="427">
        <f t="shared" si="8"/>
        <v>6006</v>
      </c>
      <c r="W8" s="428">
        <v>77</v>
      </c>
      <c r="X8" s="435">
        <v>0</v>
      </c>
      <c r="Y8" s="424">
        <f t="shared" si="0"/>
        <v>0</v>
      </c>
      <c r="Z8" s="433">
        <v>77</v>
      </c>
      <c r="AA8" s="426">
        <f t="shared" si="9"/>
        <v>3003</v>
      </c>
      <c r="AB8" s="427">
        <f t="shared" si="10"/>
        <v>3003</v>
      </c>
    </row>
    <row r="9" spans="1:29" ht="18">
      <c r="A9" s="419" t="s">
        <v>737</v>
      </c>
      <c r="B9" s="420">
        <v>28</v>
      </c>
      <c r="C9" s="421"/>
      <c r="D9" s="421">
        <v>12.2</v>
      </c>
      <c r="E9" s="422">
        <v>30</v>
      </c>
      <c r="F9" s="423">
        <v>0</v>
      </c>
      <c r="G9" s="424">
        <f t="shared" si="11"/>
        <v>0</v>
      </c>
      <c r="H9" s="438">
        <v>30</v>
      </c>
      <c r="I9" s="426">
        <f t="shared" si="1"/>
        <v>4392</v>
      </c>
      <c r="J9" s="427">
        <f t="shared" si="2"/>
        <v>4392</v>
      </c>
      <c r="K9" s="428">
        <v>33</v>
      </c>
      <c r="L9" s="423">
        <v>0</v>
      </c>
      <c r="M9" s="424">
        <f t="shared" si="3"/>
        <v>0</v>
      </c>
      <c r="N9" s="428">
        <v>33</v>
      </c>
      <c r="O9" s="426">
        <f t="shared" si="4"/>
        <v>4831.2</v>
      </c>
      <c r="P9" s="427">
        <f t="shared" si="5"/>
        <v>4831.2</v>
      </c>
      <c r="Q9" s="428">
        <v>35</v>
      </c>
      <c r="R9" s="423">
        <v>0</v>
      </c>
      <c r="S9" s="424">
        <f t="shared" si="6"/>
        <v>0</v>
      </c>
      <c r="T9" s="432">
        <v>35</v>
      </c>
      <c r="U9" s="426">
        <f t="shared" si="7"/>
        <v>5124</v>
      </c>
      <c r="V9" s="427">
        <f t="shared" si="8"/>
        <v>5124</v>
      </c>
      <c r="W9" s="428">
        <v>35</v>
      </c>
      <c r="X9" s="423">
        <v>0</v>
      </c>
      <c r="Y9" s="424">
        <f t="shared" si="0"/>
        <v>0</v>
      </c>
      <c r="Z9" s="433">
        <v>35</v>
      </c>
      <c r="AA9" s="426">
        <f t="shared" si="9"/>
        <v>2562</v>
      </c>
      <c r="AB9" s="427">
        <f t="shared" si="10"/>
        <v>2562</v>
      </c>
    </row>
    <row r="10" spans="1:29" ht="18">
      <c r="A10" s="419" t="s">
        <v>738</v>
      </c>
      <c r="B10" s="420">
        <v>210</v>
      </c>
      <c r="C10" s="421">
        <v>10.5</v>
      </c>
      <c r="D10" s="421"/>
      <c r="E10" s="422">
        <v>300</v>
      </c>
      <c r="F10" s="423">
        <v>300</v>
      </c>
      <c r="G10" s="424">
        <f t="shared" si="11"/>
        <v>37800</v>
      </c>
      <c r="H10" s="438">
        <v>0</v>
      </c>
      <c r="I10" s="426">
        <f t="shared" si="1"/>
        <v>0</v>
      </c>
      <c r="J10" s="427">
        <f t="shared" si="2"/>
        <v>37800</v>
      </c>
      <c r="K10" s="428">
        <v>350</v>
      </c>
      <c r="L10" s="423">
        <v>350</v>
      </c>
      <c r="M10" s="424">
        <f t="shared" si="3"/>
        <v>44100</v>
      </c>
      <c r="N10" s="428">
        <v>0</v>
      </c>
      <c r="O10" s="426">
        <f t="shared" si="4"/>
        <v>0</v>
      </c>
      <c r="P10" s="427">
        <f t="shared" si="5"/>
        <v>44100</v>
      </c>
      <c r="Q10" s="428">
        <v>400</v>
      </c>
      <c r="R10" s="423">
        <v>400</v>
      </c>
      <c r="S10" s="424">
        <f t="shared" si="6"/>
        <v>50400</v>
      </c>
      <c r="T10" s="432">
        <v>0</v>
      </c>
      <c r="U10" s="426">
        <f t="shared" si="7"/>
        <v>0</v>
      </c>
      <c r="V10" s="427">
        <f t="shared" si="8"/>
        <v>50400</v>
      </c>
      <c r="W10" s="428">
        <v>400</v>
      </c>
      <c r="X10" s="423">
        <v>400</v>
      </c>
      <c r="Y10" s="424">
        <f t="shared" si="0"/>
        <v>25200</v>
      </c>
      <c r="Z10" s="433">
        <v>0</v>
      </c>
      <c r="AA10" s="426">
        <f t="shared" si="9"/>
        <v>0</v>
      </c>
      <c r="AB10" s="427">
        <f t="shared" si="10"/>
        <v>25200</v>
      </c>
    </row>
    <row r="11" spans="1:29" ht="18">
      <c r="A11" s="419" t="s">
        <v>739</v>
      </c>
      <c r="B11" s="420">
        <v>26</v>
      </c>
      <c r="C11" s="421"/>
      <c r="D11" s="421">
        <v>5</v>
      </c>
      <c r="E11" s="422">
        <v>26</v>
      </c>
      <c r="F11" s="423">
        <v>0</v>
      </c>
      <c r="G11" s="424">
        <f t="shared" si="11"/>
        <v>0</v>
      </c>
      <c r="H11" s="438">
        <v>26</v>
      </c>
      <c r="I11" s="426">
        <f t="shared" si="1"/>
        <v>1560</v>
      </c>
      <c r="J11" s="427">
        <f t="shared" si="2"/>
        <v>1560</v>
      </c>
      <c r="K11" s="428">
        <v>26</v>
      </c>
      <c r="L11" s="423">
        <v>0</v>
      </c>
      <c r="M11" s="424">
        <f t="shared" si="3"/>
        <v>0</v>
      </c>
      <c r="N11" s="428">
        <v>26</v>
      </c>
      <c r="O11" s="426">
        <f t="shared" si="4"/>
        <v>1560</v>
      </c>
      <c r="P11" s="427">
        <f t="shared" si="5"/>
        <v>1560</v>
      </c>
      <c r="Q11" s="428">
        <v>27</v>
      </c>
      <c r="R11" s="423">
        <v>0</v>
      </c>
      <c r="S11" s="424">
        <f t="shared" si="6"/>
        <v>0</v>
      </c>
      <c r="T11" s="432">
        <v>27</v>
      </c>
      <c r="U11" s="426">
        <f t="shared" si="7"/>
        <v>1620</v>
      </c>
      <c r="V11" s="427">
        <f t="shared" si="8"/>
        <v>1620</v>
      </c>
      <c r="W11" s="428">
        <v>27</v>
      </c>
      <c r="X11" s="423">
        <v>0</v>
      </c>
      <c r="Y11" s="424">
        <f t="shared" si="0"/>
        <v>0</v>
      </c>
      <c r="Z11" s="433">
        <v>27</v>
      </c>
      <c r="AA11" s="426">
        <f t="shared" si="9"/>
        <v>810</v>
      </c>
      <c r="AB11" s="427">
        <f t="shared" si="10"/>
        <v>810</v>
      </c>
    </row>
    <row r="12" spans="1:29" ht="18">
      <c r="A12" s="419" t="s">
        <v>740</v>
      </c>
      <c r="B12" s="420">
        <v>13</v>
      </c>
      <c r="C12" s="421"/>
      <c r="D12" s="421">
        <v>9.6</v>
      </c>
      <c r="E12" s="422">
        <v>12</v>
      </c>
      <c r="F12" s="423">
        <v>0</v>
      </c>
      <c r="G12" s="424">
        <f t="shared" si="11"/>
        <v>0</v>
      </c>
      <c r="H12" s="438">
        <v>12</v>
      </c>
      <c r="I12" s="426">
        <f t="shared" si="1"/>
        <v>1382.3999999999999</v>
      </c>
      <c r="J12" s="427">
        <f t="shared" si="2"/>
        <v>1382.3999999999999</v>
      </c>
      <c r="K12" s="428">
        <v>11</v>
      </c>
      <c r="L12" s="423">
        <v>0</v>
      </c>
      <c r="M12" s="424">
        <f t="shared" si="3"/>
        <v>0</v>
      </c>
      <c r="N12" s="428">
        <v>11</v>
      </c>
      <c r="O12" s="426">
        <f t="shared" si="4"/>
        <v>1267.1999999999998</v>
      </c>
      <c r="P12" s="427">
        <f t="shared" si="5"/>
        <v>1267.1999999999998</v>
      </c>
      <c r="Q12" s="428">
        <v>10</v>
      </c>
      <c r="R12" s="423">
        <v>0</v>
      </c>
      <c r="S12" s="424">
        <f t="shared" si="6"/>
        <v>0</v>
      </c>
      <c r="T12" s="432">
        <v>10</v>
      </c>
      <c r="U12" s="426">
        <f t="shared" si="7"/>
        <v>1152</v>
      </c>
      <c r="V12" s="427">
        <f t="shared" si="8"/>
        <v>1152</v>
      </c>
      <c r="W12" s="428">
        <v>10</v>
      </c>
      <c r="X12" s="423">
        <v>0</v>
      </c>
      <c r="Y12" s="424">
        <f t="shared" si="0"/>
        <v>0</v>
      </c>
      <c r="Z12" s="433">
        <v>10</v>
      </c>
      <c r="AA12" s="426">
        <f t="shared" si="9"/>
        <v>576</v>
      </c>
      <c r="AB12" s="427">
        <f t="shared" si="10"/>
        <v>576</v>
      </c>
    </row>
    <row r="13" spans="1:29" ht="18">
      <c r="A13" s="419" t="s">
        <v>741</v>
      </c>
      <c r="B13" s="420">
        <v>15</v>
      </c>
      <c r="C13" s="421"/>
      <c r="D13" s="421">
        <v>35.5</v>
      </c>
      <c r="E13" s="422">
        <v>15</v>
      </c>
      <c r="F13" s="423">
        <v>0</v>
      </c>
      <c r="G13" s="424">
        <f t="shared" si="11"/>
        <v>0</v>
      </c>
      <c r="H13" s="438">
        <v>15</v>
      </c>
      <c r="I13" s="426">
        <f t="shared" si="1"/>
        <v>6390</v>
      </c>
      <c r="J13" s="427">
        <f t="shared" si="2"/>
        <v>6390</v>
      </c>
      <c r="K13" s="428">
        <v>14</v>
      </c>
      <c r="L13" s="423">
        <v>0</v>
      </c>
      <c r="M13" s="424">
        <f t="shared" si="3"/>
        <v>0</v>
      </c>
      <c r="N13" s="428">
        <v>14</v>
      </c>
      <c r="O13" s="426">
        <f t="shared" si="4"/>
        <v>5964</v>
      </c>
      <c r="P13" s="427">
        <f t="shared" si="5"/>
        <v>5964</v>
      </c>
      <c r="Q13" s="428">
        <v>14</v>
      </c>
      <c r="R13" s="423">
        <v>0</v>
      </c>
      <c r="S13" s="424">
        <f t="shared" si="6"/>
        <v>0</v>
      </c>
      <c r="T13" s="432">
        <v>14</v>
      </c>
      <c r="U13" s="426">
        <f t="shared" si="7"/>
        <v>5964</v>
      </c>
      <c r="V13" s="427">
        <f t="shared" si="8"/>
        <v>5964</v>
      </c>
      <c r="W13" s="428">
        <v>14</v>
      </c>
      <c r="X13" s="423">
        <v>0</v>
      </c>
      <c r="Y13" s="424">
        <f t="shared" si="0"/>
        <v>0</v>
      </c>
      <c r="Z13" s="433">
        <v>14</v>
      </c>
      <c r="AA13" s="426">
        <f t="shared" si="9"/>
        <v>2982</v>
      </c>
      <c r="AB13" s="427">
        <f t="shared" si="10"/>
        <v>2982</v>
      </c>
    </row>
    <row r="14" spans="1:29" ht="18">
      <c r="A14" s="419" t="s">
        <v>742</v>
      </c>
      <c r="B14" s="420">
        <v>49</v>
      </c>
      <c r="C14" s="421"/>
      <c r="D14" s="421">
        <v>3.7</v>
      </c>
      <c r="E14" s="422">
        <v>50</v>
      </c>
      <c r="F14" s="423">
        <v>0</v>
      </c>
      <c r="G14" s="424">
        <f t="shared" si="11"/>
        <v>0</v>
      </c>
      <c r="H14" s="438">
        <v>50</v>
      </c>
      <c r="I14" s="426">
        <f t="shared" si="1"/>
        <v>2220</v>
      </c>
      <c r="J14" s="427">
        <f t="shared" si="2"/>
        <v>2220</v>
      </c>
      <c r="K14" s="428">
        <v>51</v>
      </c>
      <c r="L14" s="423">
        <v>0</v>
      </c>
      <c r="M14" s="424">
        <f t="shared" si="3"/>
        <v>0</v>
      </c>
      <c r="N14" s="428">
        <v>51</v>
      </c>
      <c r="O14" s="426">
        <f t="shared" si="4"/>
        <v>2264.4</v>
      </c>
      <c r="P14" s="427">
        <f t="shared" si="5"/>
        <v>2264.4</v>
      </c>
      <c r="Q14" s="428">
        <v>50</v>
      </c>
      <c r="R14" s="423">
        <v>0</v>
      </c>
      <c r="S14" s="424">
        <f t="shared" si="6"/>
        <v>0</v>
      </c>
      <c r="T14" s="432">
        <v>50</v>
      </c>
      <c r="U14" s="426">
        <f t="shared" si="7"/>
        <v>2220</v>
      </c>
      <c r="V14" s="427">
        <f t="shared" si="8"/>
        <v>2220</v>
      </c>
      <c r="W14" s="428">
        <v>50</v>
      </c>
      <c r="X14" s="423">
        <v>0</v>
      </c>
      <c r="Y14" s="424">
        <f t="shared" si="0"/>
        <v>0</v>
      </c>
      <c r="Z14" s="433">
        <v>50</v>
      </c>
      <c r="AA14" s="426">
        <f t="shared" si="9"/>
        <v>1110</v>
      </c>
      <c r="AB14" s="427">
        <f t="shared" si="10"/>
        <v>1110</v>
      </c>
    </row>
    <row r="15" spans="1:29" ht="18">
      <c r="A15" s="419" t="s">
        <v>743</v>
      </c>
      <c r="B15" s="420">
        <v>4</v>
      </c>
      <c r="C15" s="421"/>
      <c r="D15" s="421">
        <v>9</v>
      </c>
      <c r="E15" s="422">
        <v>3</v>
      </c>
      <c r="F15" s="423">
        <v>0</v>
      </c>
      <c r="G15" s="424">
        <f t="shared" si="11"/>
        <v>0</v>
      </c>
      <c r="H15" s="438">
        <v>4</v>
      </c>
      <c r="I15" s="426">
        <f t="shared" si="1"/>
        <v>432</v>
      </c>
      <c r="J15" s="427">
        <f t="shared" si="2"/>
        <v>432</v>
      </c>
      <c r="K15" s="428">
        <v>3</v>
      </c>
      <c r="L15" s="423">
        <v>0</v>
      </c>
      <c r="M15" s="424">
        <f t="shared" si="3"/>
        <v>0</v>
      </c>
      <c r="N15" s="428">
        <v>3</v>
      </c>
      <c r="O15" s="426">
        <f t="shared" si="4"/>
        <v>324</v>
      </c>
      <c r="P15" s="427">
        <f t="shared" si="5"/>
        <v>324</v>
      </c>
      <c r="Q15" s="428">
        <v>4</v>
      </c>
      <c r="R15" s="423">
        <v>0</v>
      </c>
      <c r="S15" s="424">
        <f t="shared" si="6"/>
        <v>0</v>
      </c>
      <c r="T15" s="432">
        <v>4</v>
      </c>
      <c r="U15" s="426">
        <f t="shared" si="7"/>
        <v>432</v>
      </c>
      <c r="V15" s="427">
        <f t="shared" si="8"/>
        <v>432</v>
      </c>
      <c r="W15" s="428">
        <v>4</v>
      </c>
      <c r="X15" s="423">
        <v>0</v>
      </c>
      <c r="Y15" s="424">
        <f t="shared" si="0"/>
        <v>0</v>
      </c>
      <c r="Z15" s="433">
        <v>4</v>
      </c>
      <c r="AA15" s="426">
        <f t="shared" si="9"/>
        <v>216</v>
      </c>
      <c r="AB15" s="427">
        <f t="shared" si="10"/>
        <v>216</v>
      </c>
    </row>
    <row r="16" spans="1:29" ht="18">
      <c r="A16" s="419" t="s">
        <v>744</v>
      </c>
      <c r="B16" s="420">
        <v>3</v>
      </c>
      <c r="C16" s="421"/>
      <c r="D16" s="421">
        <v>57.3</v>
      </c>
      <c r="E16" s="422">
        <v>3</v>
      </c>
      <c r="F16" s="423">
        <v>0</v>
      </c>
      <c r="G16" s="424">
        <f t="shared" si="11"/>
        <v>0</v>
      </c>
      <c r="H16" s="438">
        <v>3</v>
      </c>
      <c r="I16" s="426">
        <f t="shared" si="1"/>
        <v>2062.7999999999997</v>
      </c>
      <c r="J16" s="427">
        <f t="shared" si="2"/>
        <v>2062.7999999999997</v>
      </c>
      <c r="K16" s="428">
        <v>4</v>
      </c>
      <c r="L16" s="423">
        <v>0</v>
      </c>
      <c r="M16" s="424">
        <f t="shared" si="3"/>
        <v>0</v>
      </c>
      <c r="N16" s="428">
        <v>4</v>
      </c>
      <c r="O16" s="426">
        <f t="shared" si="4"/>
        <v>2750.3999999999996</v>
      </c>
      <c r="P16" s="427">
        <f t="shared" si="5"/>
        <v>2750.3999999999996</v>
      </c>
      <c r="Q16" s="428">
        <v>4</v>
      </c>
      <c r="R16" s="423">
        <v>0</v>
      </c>
      <c r="S16" s="424">
        <f t="shared" si="6"/>
        <v>0</v>
      </c>
      <c r="T16" s="432">
        <v>4</v>
      </c>
      <c r="U16" s="426">
        <f t="shared" si="7"/>
        <v>2750.3999999999996</v>
      </c>
      <c r="V16" s="427">
        <f t="shared" si="8"/>
        <v>2750.3999999999996</v>
      </c>
      <c r="W16" s="428">
        <v>4</v>
      </c>
      <c r="X16" s="423">
        <v>0</v>
      </c>
      <c r="Y16" s="424">
        <f t="shared" si="0"/>
        <v>0</v>
      </c>
      <c r="Z16" s="433">
        <v>4</v>
      </c>
      <c r="AA16" s="426">
        <f t="shared" si="9"/>
        <v>1375.1999999999998</v>
      </c>
      <c r="AB16" s="427">
        <f t="shared" si="10"/>
        <v>1375.1999999999998</v>
      </c>
    </row>
    <row r="17" spans="1:30" ht="18">
      <c r="A17" s="419" t="s">
        <v>745</v>
      </c>
      <c r="B17" s="420">
        <v>1000</v>
      </c>
      <c r="C17" s="421">
        <v>5.5</v>
      </c>
      <c r="D17" s="421">
        <v>4.3</v>
      </c>
      <c r="E17" s="422">
        <v>2000</v>
      </c>
      <c r="F17" s="423">
        <v>1000</v>
      </c>
      <c r="G17" s="424">
        <f t="shared" si="11"/>
        <v>66000</v>
      </c>
      <c r="H17" s="425">
        <v>1000</v>
      </c>
      <c r="I17" s="426">
        <f t="shared" si="1"/>
        <v>51600</v>
      </c>
      <c r="J17" s="427">
        <f t="shared" si="2"/>
        <v>117600</v>
      </c>
      <c r="K17" s="428">
        <v>2500</v>
      </c>
      <c r="L17" s="423">
        <v>1500</v>
      </c>
      <c r="M17" s="424">
        <f t="shared" si="3"/>
        <v>99000</v>
      </c>
      <c r="N17" s="439">
        <v>1000</v>
      </c>
      <c r="O17" s="426">
        <f t="shared" si="4"/>
        <v>51600</v>
      </c>
      <c r="P17" s="427">
        <f t="shared" si="5"/>
        <v>150600</v>
      </c>
      <c r="Q17" s="428">
        <v>3000</v>
      </c>
      <c r="R17" s="423">
        <v>2000</v>
      </c>
      <c r="S17" s="424">
        <f t="shared" si="6"/>
        <v>132000</v>
      </c>
      <c r="T17" s="429">
        <v>1000</v>
      </c>
      <c r="U17" s="426">
        <f t="shared" si="7"/>
        <v>51600</v>
      </c>
      <c r="V17" s="427">
        <f t="shared" si="8"/>
        <v>183600</v>
      </c>
      <c r="W17" s="428">
        <v>3000</v>
      </c>
      <c r="X17" s="423">
        <v>2500</v>
      </c>
      <c r="Y17" s="424">
        <f t="shared" si="0"/>
        <v>82500</v>
      </c>
      <c r="Z17" s="440">
        <v>500</v>
      </c>
      <c r="AA17" s="426">
        <f t="shared" si="9"/>
        <v>12900</v>
      </c>
      <c r="AB17" s="427">
        <f t="shared" si="10"/>
        <v>95400</v>
      </c>
    </row>
    <row r="18" spans="1:30" ht="18">
      <c r="A18" s="419" t="s">
        <v>746</v>
      </c>
      <c r="B18" s="420">
        <v>150</v>
      </c>
      <c r="C18" s="421"/>
      <c r="D18" s="421">
        <v>3.6</v>
      </c>
      <c r="E18" s="428">
        <v>150</v>
      </c>
      <c r="F18" s="423">
        <v>0</v>
      </c>
      <c r="G18" s="424">
        <v>0</v>
      </c>
      <c r="H18" s="438">
        <v>150</v>
      </c>
      <c r="I18" s="426">
        <f t="shared" si="1"/>
        <v>6480</v>
      </c>
      <c r="J18" s="427">
        <f t="shared" si="2"/>
        <v>6480</v>
      </c>
      <c r="K18" s="428">
        <v>150</v>
      </c>
      <c r="L18" s="423"/>
      <c r="M18" s="424">
        <v>0</v>
      </c>
      <c r="N18" s="438">
        <v>100</v>
      </c>
      <c r="O18" s="426">
        <f t="shared" si="4"/>
        <v>4320</v>
      </c>
      <c r="P18" s="427">
        <f>M18+O18</f>
        <v>4320</v>
      </c>
      <c r="Q18" s="441">
        <v>150</v>
      </c>
      <c r="R18" s="423">
        <v>0</v>
      </c>
      <c r="S18" s="424">
        <f t="shared" si="6"/>
        <v>0</v>
      </c>
      <c r="T18" s="432">
        <v>150</v>
      </c>
      <c r="U18" s="426">
        <f t="shared" si="7"/>
        <v>6480</v>
      </c>
      <c r="V18" s="427">
        <f t="shared" si="8"/>
        <v>6480</v>
      </c>
      <c r="W18" s="441">
        <v>150</v>
      </c>
      <c r="X18" s="423">
        <v>0</v>
      </c>
      <c r="Y18" s="424">
        <f t="shared" si="0"/>
        <v>0</v>
      </c>
      <c r="Z18" s="442">
        <v>150</v>
      </c>
      <c r="AA18" s="426">
        <f t="shared" si="9"/>
        <v>3240</v>
      </c>
      <c r="AB18" s="427">
        <f t="shared" si="10"/>
        <v>3240</v>
      </c>
    </row>
    <row r="19" spans="1:30" ht="18">
      <c r="A19" s="419" t="s">
        <v>747</v>
      </c>
      <c r="B19" s="420">
        <v>200</v>
      </c>
      <c r="C19" s="421"/>
      <c r="D19" s="421">
        <v>1.4</v>
      </c>
      <c r="E19" s="428">
        <v>200</v>
      </c>
      <c r="F19" s="423">
        <v>0</v>
      </c>
      <c r="G19" s="424">
        <v>0</v>
      </c>
      <c r="H19" s="438">
        <v>200</v>
      </c>
      <c r="I19" s="426">
        <f t="shared" si="1"/>
        <v>3360</v>
      </c>
      <c r="J19" s="427">
        <f t="shared" si="2"/>
        <v>3360</v>
      </c>
      <c r="K19" s="428">
        <v>200</v>
      </c>
      <c r="L19" s="423"/>
      <c r="M19" s="424">
        <v>0</v>
      </c>
      <c r="N19" s="438">
        <v>150</v>
      </c>
      <c r="O19" s="426">
        <f t="shared" si="4"/>
        <v>2520</v>
      </c>
      <c r="P19" s="427">
        <f>M19+O19</f>
        <v>2520</v>
      </c>
      <c r="Q19" s="441">
        <v>200</v>
      </c>
      <c r="R19" s="423">
        <v>0</v>
      </c>
      <c r="S19" s="424">
        <f t="shared" si="6"/>
        <v>0</v>
      </c>
      <c r="T19" s="432">
        <v>200</v>
      </c>
      <c r="U19" s="426">
        <f t="shared" si="7"/>
        <v>3360</v>
      </c>
      <c r="V19" s="427">
        <f t="shared" si="8"/>
        <v>3360</v>
      </c>
      <c r="W19" s="441">
        <v>200</v>
      </c>
      <c r="X19" s="423">
        <v>0</v>
      </c>
      <c r="Y19" s="424">
        <f t="shared" si="0"/>
        <v>0</v>
      </c>
      <c r="Z19" s="442">
        <v>200</v>
      </c>
      <c r="AA19" s="426">
        <f t="shared" si="9"/>
        <v>1680</v>
      </c>
      <c r="AB19" s="427">
        <f t="shared" si="10"/>
        <v>1680</v>
      </c>
    </row>
    <row r="20" spans="1:30" ht="18">
      <c r="A20" s="419" t="s">
        <v>748</v>
      </c>
      <c r="B20" s="420">
        <v>700</v>
      </c>
      <c r="C20" s="421"/>
      <c r="D20" s="421">
        <v>15</v>
      </c>
      <c r="E20" s="428">
        <v>700</v>
      </c>
      <c r="F20" s="423"/>
      <c r="G20" s="424"/>
      <c r="H20" s="438">
        <v>700</v>
      </c>
      <c r="I20" s="426">
        <f>(H20*D20)</f>
        <v>10500</v>
      </c>
      <c r="J20" s="427">
        <f t="shared" si="2"/>
        <v>10500</v>
      </c>
      <c r="K20" s="428">
        <v>700</v>
      </c>
      <c r="L20" s="423"/>
      <c r="M20" s="424"/>
      <c r="N20" s="438">
        <v>700</v>
      </c>
      <c r="O20" s="426">
        <f>(N20*D20)</f>
        <v>10500</v>
      </c>
      <c r="P20" s="427">
        <f>M20+O20</f>
        <v>10500</v>
      </c>
      <c r="Q20" s="441">
        <v>700</v>
      </c>
      <c r="R20" s="423"/>
      <c r="S20" s="424"/>
      <c r="T20" s="432">
        <v>700</v>
      </c>
      <c r="U20" s="426">
        <f>(T20*D20)</f>
        <v>10500</v>
      </c>
      <c r="V20" s="427">
        <f t="shared" si="8"/>
        <v>10500</v>
      </c>
      <c r="W20" s="441">
        <v>350</v>
      </c>
      <c r="X20" s="423"/>
      <c r="Y20" s="424"/>
      <c r="Z20" s="442">
        <v>350</v>
      </c>
      <c r="AA20" s="426">
        <f>(Z20*D20)</f>
        <v>5250</v>
      </c>
      <c r="AB20" s="427">
        <f t="shared" si="10"/>
        <v>5250</v>
      </c>
    </row>
    <row r="21" spans="1:30" ht="18">
      <c r="A21" s="419" t="s">
        <v>749</v>
      </c>
      <c r="B21" s="443"/>
      <c r="C21" s="443"/>
      <c r="D21" s="443"/>
      <c r="E21" s="444"/>
      <c r="F21" s="445"/>
      <c r="G21" s="446">
        <f>SUM(G2:G19)</f>
        <v>668769.6</v>
      </c>
      <c r="H21" s="445"/>
      <c r="I21" s="447">
        <f>SUM(I2:I20)</f>
        <v>222983.99999999997</v>
      </c>
      <c r="J21" s="448">
        <f>SUM(J2:J20)</f>
        <v>891753.6</v>
      </c>
      <c r="K21" s="444"/>
      <c r="L21" s="444"/>
      <c r="M21" s="446">
        <f>SUM(M2:M19)</f>
        <v>814680</v>
      </c>
      <c r="N21" s="444"/>
      <c r="O21" s="447">
        <f>SUM(O2:O20)</f>
        <v>223233.60000000003</v>
      </c>
      <c r="P21" s="448">
        <f>SUM(P2:P20)</f>
        <v>1037913.5999999999</v>
      </c>
      <c r="Q21" s="444"/>
      <c r="R21" s="444"/>
      <c r="S21" s="446">
        <f>SUM(S2:S19)</f>
        <v>938220</v>
      </c>
      <c r="T21" s="444"/>
      <c r="U21" s="447">
        <f>SUM(U2:U20)</f>
        <v>239959.2</v>
      </c>
      <c r="V21" s="449">
        <f>SUM(V2:V20)</f>
        <v>1178179.2</v>
      </c>
      <c r="W21" s="444"/>
      <c r="X21" s="444"/>
      <c r="Y21" s="446">
        <f>SUM(Y2:Y19)</f>
        <v>485610</v>
      </c>
      <c r="Z21" s="444"/>
      <c r="AA21" s="447">
        <f>SUM(AA2:AA20)</f>
        <v>107079.6</v>
      </c>
      <c r="AB21" s="449">
        <f>SUM(AB2:AB20)</f>
        <v>592689.6</v>
      </c>
    </row>
    <row r="22" spans="1:30">
      <c r="I22" s="450"/>
      <c r="J22" s="450"/>
      <c r="O22" s="450"/>
      <c r="P22" s="450"/>
    </row>
    <row r="23" spans="1:30" ht="18">
      <c r="G23" s="451">
        <v>0.8</v>
      </c>
      <c r="H23" s="452"/>
      <c r="I23" s="451">
        <v>0.2</v>
      </c>
      <c r="J23" s="453"/>
      <c r="K23" s="454"/>
      <c r="L23" s="454"/>
      <c r="M23" s="455">
        <v>0.8</v>
      </c>
      <c r="N23" s="454"/>
      <c r="O23" s="455">
        <v>0.2</v>
      </c>
      <c r="P23" s="456"/>
      <c r="S23" s="455">
        <v>0.8</v>
      </c>
      <c r="T23" s="454"/>
      <c r="U23" s="455">
        <v>0.2</v>
      </c>
      <c r="Y23" s="455">
        <v>0.8</v>
      </c>
      <c r="Z23" s="454"/>
      <c r="AA23" s="455">
        <v>0.2</v>
      </c>
      <c r="AB23" s="452"/>
    </row>
    <row r="24" spans="1:30">
      <c r="G24" s="457">
        <v>0.77</v>
      </c>
      <c r="I24" s="450">
        <f>(I21*100)/J21</f>
        <v>25.005113520147265</v>
      </c>
      <c r="L24" s="457">
        <v>0.8</v>
      </c>
      <c r="R24" s="457">
        <v>0.81</v>
      </c>
      <c r="X24" s="457">
        <v>0.81</v>
      </c>
      <c r="Z24" s="458" t="s">
        <v>750</v>
      </c>
      <c r="AA24" s="459">
        <f>I21+O21+U21+AA21</f>
        <v>793256.4</v>
      </c>
      <c r="AB24" s="460"/>
      <c r="AD24" s="450"/>
    </row>
    <row r="25" spans="1:30">
      <c r="X25" s="450"/>
      <c r="Z25" s="458" t="s">
        <v>751</v>
      </c>
      <c r="AA25" s="459">
        <f>' Диагностика РЦС'!AD15</f>
        <v>1292280</v>
      </c>
      <c r="AB25" s="460"/>
    </row>
    <row r="26" spans="1:30">
      <c r="Z26" s="458" t="s">
        <v>316</v>
      </c>
      <c r="AA26" s="458">
        <f>'ИМН РЦС'!D2</f>
        <v>84000</v>
      </c>
    </row>
    <row r="27" spans="1:30" ht="15.6">
      <c r="I27" s="450"/>
      <c r="Z27" s="461" t="s">
        <v>752</v>
      </c>
      <c r="AA27" s="462">
        <f>SUM(AA24:AA26)</f>
        <v>2169536.4</v>
      </c>
      <c r="AB27" s="463">
        <f>SUM(AB24:AB26)</f>
        <v>0</v>
      </c>
      <c r="AC27" s="460"/>
    </row>
    <row r="28" spans="1:30">
      <c r="S28" s="450"/>
    </row>
    <row r="29" spans="1:30" ht="15.6">
      <c r="Z29" s="223" t="s">
        <v>753</v>
      </c>
      <c r="AA29" s="463">
        <f>G21+M21+S21+Y21</f>
        <v>2907279.6</v>
      </c>
    </row>
    <row r="30" spans="1:30" ht="15.6">
      <c r="AA30" s="230"/>
      <c r="AB30" s="463"/>
    </row>
    <row r="31" spans="1:30">
      <c r="Y31" s="223" t="s">
        <v>750</v>
      </c>
      <c r="Z31" s="450">
        <v>1166756.4000000001</v>
      </c>
      <c r="AB31" s="464"/>
    </row>
    <row r="32" spans="1:30">
      <c r="Y32" s="223" t="s">
        <v>751</v>
      </c>
      <c r="Z32" s="223">
        <v>1949400</v>
      </c>
      <c r="AB32" s="465"/>
    </row>
    <row r="33" spans="25:28">
      <c r="Y33" s="223" t="s">
        <v>316</v>
      </c>
      <c r="Z33" s="223">
        <v>42000</v>
      </c>
    </row>
    <row r="34" spans="25:28" ht="15.6">
      <c r="Y34" s="230" t="s">
        <v>752</v>
      </c>
      <c r="Z34" s="223">
        <v>3158156.4000000004</v>
      </c>
    </row>
    <row r="36" spans="25:28">
      <c r="Z36" s="450">
        <f>Z34-AA27</f>
        <v>988620.00000000047</v>
      </c>
    </row>
    <row r="37" spans="25:28">
      <c r="AB37" s="450"/>
    </row>
  </sheetData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opLeftCell="A7" zoomScale="82" workbookViewId="0">
      <pane xSplit="1" topLeftCell="B1" activePane="topRight" state="frozen"/>
      <selection activeCell="Y6" sqref="Y6"/>
      <selection pane="topRight" activeCell="A8" sqref="A8"/>
    </sheetView>
  </sheetViews>
  <sheetFormatPr defaultColWidth="9.109375" defaultRowHeight="14.4"/>
  <cols>
    <col min="1" max="1" width="54.88671875" style="473" customWidth="1"/>
    <col min="2" max="2" width="13.33203125" style="473" customWidth="1"/>
    <col min="3" max="3" width="12.109375" style="473" customWidth="1"/>
    <col min="4" max="4" width="13.88671875" style="473" customWidth="1"/>
    <col min="5" max="5" width="12" style="473" customWidth="1"/>
    <col min="6" max="6" width="13" style="473" customWidth="1"/>
    <col min="7" max="7" width="10.44140625" style="473" customWidth="1"/>
    <col min="8" max="8" width="12.109375" style="473" customWidth="1"/>
    <col min="9" max="11" width="13.88671875" style="473" customWidth="1"/>
    <col min="12" max="12" width="12.109375" style="473" customWidth="1"/>
    <col min="13" max="13" width="12.33203125" style="473" customWidth="1"/>
    <col min="14" max="14" width="12.109375" style="473" customWidth="1"/>
    <col min="15" max="15" width="13.33203125" style="473" customWidth="1"/>
    <col min="16" max="16" width="11.88671875" style="473" customWidth="1"/>
    <col min="17" max="18" width="13.88671875" style="473" customWidth="1"/>
    <col min="19" max="19" width="12.6640625" style="473" customWidth="1"/>
    <col min="20" max="20" width="12.33203125" style="473" customWidth="1"/>
    <col min="21" max="21" width="11.5546875" style="473" customWidth="1"/>
    <col min="22" max="22" width="12.109375" style="473" customWidth="1"/>
    <col min="23" max="23" width="14.33203125" style="473" customWidth="1"/>
    <col min="24" max="24" width="14.109375" style="473" customWidth="1"/>
    <col min="25" max="25" width="12.33203125" style="473" customWidth="1"/>
    <col min="26" max="26" width="10.6640625" style="473" customWidth="1"/>
    <col min="27" max="27" width="14.109375" style="473" customWidth="1"/>
    <col min="28" max="28" width="9.33203125" style="473" bestFit="1" customWidth="1"/>
    <col min="29" max="29" width="9.88671875" style="473" bestFit="1" customWidth="1"/>
    <col min="30" max="30" width="14.33203125" style="473" customWidth="1"/>
    <col min="31" max="16384" width="9.109375" style="473"/>
  </cols>
  <sheetData>
    <row r="1" spans="1:30" ht="112.5" customHeight="1">
      <c r="A1" s="466" t="s">
        <v>880</v>
      </c>
      <c r="B1" s="467" t="s">
        <v>755</v>
      </c>
      <c r="C1" s="468" t="s">
        <v>756</v>
      </c>
      <c r="D1" s="469" t="s">
        <v>757</v>
      </c>
      <c r="E1" s="470" t="s">
        <v>721</v>
      </c>
      <c r="F1" s="470" t="s">
        <v>722</v>
      </c>
      <c r="G1" s="471" t="s">
        <v>723</v>
      </c>
      <c r="H1" s="471" t="s">
        <v>724</v>
      </c>
      <c r="I1" s="472" t="s">
        <v>725</v>
      </c>
      <c r="J1" s="468" t="s">
        <v>758</v>
      </c>
      <c r="K1" s="469" t="s">
        <v>757</v>
      </c>
      <c r="L1" s="470" t="s">
        <v>721</v>
      </c>
      <c r="M1" s="470" t="s">
        <v>722</v>
      </c>
      <c r="N1" s="471" t="s">
        <v>723</v>
      </c>
      <c r="O1" s="471" t="s">
        <v>727</v>
      </c>
      <c r="P1" s="472" t="s">
        <v>725</v>
      </c>
      <c r="Q1" s="468" t="s">
        <v>759</v>
      </c>
      <c r="R1" s="469" t="s">
        <v>757</v>
      </c>
      <c r="S1" s="470" t="s">
        <v>721</v>
      </c>
      <c r="T1" s="470" t="s">
        <v>722</v>
      </c>
      <c r="U1" s="471" t="s">
        <v>723</v>
      </c>
      <c r="V1" s="471" t="s">
        <v>727</v>
      </c>
      <c r="W1" s="472" t="s">
        <v>725</v>
      </c>
      <c r="X1" s="468" t="s">
        <v>760</v>
      </c>
      <c r="Y1" s="469" t="s">
        <v>757</v>
      </c>
      <c r="Z1" s="470" t="s">
        <v>721</v>
      </c>
      <c r="AA1" s="470" t="s">
        <v>722</v>
      </c>
      <c r="AB1" s="471" t="s">
        <v>723</v>
      </c>
      <c r="AC1" s="471" t="s">
        <v>727</v>
      </c>
      <c r="AD1" s="472" t="s">
        <v>725</v>
      </c>
    </row>
    <row r="2" spans="1:30" ht="34.5" customHeight="1">
      <c r="A2" s="474" t="s">
        <v>761</v>
      </c>
      <c r="B2" s="475">
        <v>15.4</v>
      </c>
      <c r="C2" s="476">
        <v>7800</v>
      </c>
      <c r="D2" s="477">
        <v>14040</v>
      </c>
      <c r="E2" s="478">
        <v>0</v>
      </c>
      <c r="F2" s="479">
        <f>E2*B2</f>
        <v>0</v>
      </c>
      <c r="G2" s="480">
        <v>14040</v>
      </c>
      <c r="H2" s="481">
        <f t="shared" ref="H2:H10" si="0">(G2*B2)</f>
        <v>216216</v>
      </c>
      <c r="I2" s="482">
        <f>F2+H2</f>
        <v>216216</v>
      </c>
      <c r="J2" s="483">
        <v>8800</v>
      </c>
      <c r="K2" s="477">
        <v>15840</v>
      </c>
      <c r="L2" s="478">
        <v>0</v>
      </c>
      <c r="M2" s="479">
        <f t="shared" ref="M2:M12" si="1">(L2*B2)</f>
        <v>0</v>
      </c>
      <c r="N2" s="484">
        <v>15840</v>
      </c>
      <c r="O2" s="481">
        <f t="shared" ref="O2:O12" si="2">(N2*B2)</f>
        <v>243936</v>
      </c>
      <c r="P2" s="482">
        <f>M2+O2</f>
        <v>243936</v>
      </c>
      <c r="Q2" s="483">
        <v>9800</v>
      </c>
      <c r="R2" s="477">
        <v>17640</v>
      </c>
      <c r="S2" s="478">
        <v>0</v>
      </c>
      <c r="T2" s="479">
        <f t="shared" ref="T2:T8" si="3">(S2*B2)</f>
        <v>0</v>
      </c>
      <c r="U2" s="484">
        <v>17640</v>
      </c>
      <c r="V2" s="481">
        <f t="shared" ref="V2:V12" si="4">(U2*B2)</f>
        <v>271656</v>
      </c>
      <c r="W2" s="482">
        <f>T2+V2</f>
        <v>271656</v>
      </c>
      <c r="X2" s="483">
        <v>9800</v>
      </c>
      <c r="Y2" s="477">
        <v>10780</v>
      </c>
      <c r="Z2" s="478">
        <v>0</v>
      </c>
      <c r="AA2" s="479">
        <f t="shared" ref="AA2:AA11" si="5">(Z2*B2)</f>
        <v>0</v>
      </c>
      <c r="AB2" s="484">
        <v>10780</v>
      </c>
      <c r="AC2" s="481">
        <f t="shared" ref="AC2:AC12" si="6">(AB2*B2)</f>
        <v>166012</v>
      </c>
      <c r="AD2" s="482">
        <f>AA2+AC2</f>
        <v>166012</v>
      </c>
    </row>
    <row r="3" spans="1:30" ht="32.25" customHeight="1">
      <c r="A3" s="474" t="s">
        <v>762</v>
      </c>
      <c r="B3" s="475">
        <v>3</v>
      </c>
      <c r="C3" s="483">
        <v>1000</v>
      </c>
      <c r="D3" s="483">
        <v>1000</v>
      </c>
      <c r="E3" s="478">
        <v>0</v>
      </c>
      <c r="F3" s="479">
        <f>E3*B3</f>
        <v>0</v>
      </c>
      <c r="G3" s="483">
        <v>1000</v>
      </c>
      <c r="H3" s="481">
        <f t="shared" si="0"/>
        <v>3000</v>
      </c>
      <c r="I3" s="482">
        <f t="shared" ref="I3:I12" si="7">F3+H3</f>
        <v>3000</v>
      </c>
      <c r="J3" s="483">
        <v>1000</v>
      </c>
      <c r="K3" s="483">
        <v>1000</v>
      </c>
      <c r="L3" s="478">
        <v>0</v>
      </c>
      <c r="M3" s="479">
        <f t="shared" si="1"/>
        <v>0</v>
      </c>
      <c r="N3" s="483">
        <v>1000</v>
      </c>
      <c r="O3" s="481">
        <f t="shared" si="2"/>
        <v>3000</v>
      </c>
      <c r="P3" s="482">
        <f t="shared" ref="P3:P12" si="8">M3+O3</f>
        <v>3000</v>
      </c>
      <c r="Q3" s="483">
        <v>1000</v>
      </c>
      <c r="R3" s="483">
        <v>1000</v>
      </c>
      <c r="S3" s="478">
        <v>0</v>
      </c>
      <c r="T3" s="479">
        <f t="shared" si="3"/>
        <v>0</v>
      </c>
      <c r="U3" s="483">
        <v>1000</v>
      </c>
      <c r="V3" s="481">
        <f t="shared" si="4"/>
        <v>3000</v>
      </c>
      <c r="W3" s="482">
        <f t="shared" ref="W3:W12" si="9">T3+V3</f>
        <v>3000</v>
      </c>
      <c r="X3" s="483">
        <v>0</v>
      </c>
      <c r="Y3" s="483">
        <v>0</v>
      </c>
      <c r="Z3" s="478">
        <v>0</v>
      </c>
      <c r="AA3" s="479">
        <f t="shared" si="5"/>
        <v>0</v>
      </c>
      <c r="AB3" s="483">
        <v>0</v>
      </c>
      <c r="AC3" s="481">
        <f t="shared" si="6"/>
        <v>0</v>
      </c>
      <c r="AD3" s="482">
        <f t="shared" ref="AD3:AD12" si="10">AA3+AC3</f>
        <v>0</v>
      </c>
    </row>
    <row r="4" spans="1:30" ht="26.25" customHeight="1">
      <c r="A4" s="474" t="s">
        <v>763</v>
      </c>
      <c r="B4" s="475">
        <v>19.3</v>
      </c>
      <c r="C4" s="483">
        <v>150</v>
      </c>
      <c r="D4" s="477">
        <v>300</v>
      </c>
      <c r="E4" s="478">
        <v>0</v>
      </c>
      <c r="F4" s="479">
        <v>0</v>
      </c>
      <c r="G4" s="480">
        <v>300</v>
      </c>
      <c r="H4" s="481">
        <f t="shared" si="0"/>
        <v>5790</v>
      </c>
      <c r="I4" s="482">
        <f t="shared" si="7"/>
        <v>5790</v>
      </c>
      <c r="J4" s="483">
        <v>150</v>
      </c>
      <c r="K4" s="477">
        <v>300</v>
      </c>
      <c r="L4" s="478">
        <v>0</v>
      </c>
      <c r="M4" s="479">
        <f t="shared" si="1"/>
        <v>0</v>
      </c>
      <c r="N4" s="484">
        <v>300</v>
      </c>
      <c r="O4" s="481">
        <f t="shared" si="2"/>
        <v>5790</v>
      </c>
      <c r="P4" s="482">
        <f t="shared" si="8"/>
        <v>5790</v>
      </c>
      <c r="Q4" s="483">
        <v>150</v>
      </c>
      <c r="R4" s="483">
        <v>150</v>
      </c>
      <c r="S4" s="478">
        <v>0</v>
      </c>
      <c r="T4" s="479">
        <f t="shared" si="3"/>
        <v>0</v>
      </c>
      <c r="U4" s="485">
        <v>150</v>
      </c>
      <c r="V4" s="481">
        <f t="shared" si="4"/>
        <v>2895</v>
      </c>
      <c r="W4" s="482">
        <f t="shared" si="9"/>
        <v>2895</v>
      </c>
      <c r="X4" s="483">
        <v>150</v>
      </c>
      <c r="Y4" s="483">
        <v>75</v>
      </c>
      <c r="Z4" s="478">
        <v>0</v>
      </c>
      <c r="AA4" s="479">
        <f t="shared" si="5"/>
        <v>0</v>
      </c>
      <c r="AB4" s="485">
        <v>75</v>
      </c>
      <c r="AC4" s="481">
        <f t="shared" si="6"/>
        <v>1447.5</v>
      </c>
      <c r="AD4" s="482">
        <f t="shared" si="10"/>
        <v>1447.5</v>
      </c>
    </row>
    <row r="5" spans="1:30" ht="35.4">
      <c r="A5" s="486" t="s">
        <v>764</v>
      </c>
      <c r="B5" s="475">
        <v>19.3</v>
      </c>
      <c r="C5" s="483">
        <v>1500</v>
      </c>
      <c r="D5" s="477">
        <v>1500</v>
      </c>
      <c r="E5" s="478">
        <v>0</v>
      </c>
      <c r="F5" s="479">
        <v>0</v>
      </c>
      <c r="G5" s="480">
        <v>1500</v>
      </c>
      <c r="H5" s="481">
        <f t="shared" si="0"/>
        <v>28950</v>
      </c>
      <c r="I5" s="482">
        <f t="shared" si="7"/>
        <v>28950</v>
      </c>
      <c r="J5" s="483">
        <v>1500</v>
      </c>
      <c r="K5" s="477">
        <v>1500</v>
      </c>
      <c r="L5" s="478"/>
      <c r="M5" s="479">
        <f t="shared" si="1"/>
        <v>0</v>
      </c>
      <c r="N5" s="484">
        <v>1500</v>
      </c>
      <c r="O5" s="481">
        <f t="shared" si="2"/>
        <v>28950</v>
      </c>
      <c r="P5" s="482">
        <f t="shared" si="8"/>
        <v>28950</v>
      </c>
      <c r="Q5" s="483">
        <v>1500</v>
      </c>
      <c r="R5" s="483">
        <v>1500</v>
      </c>
      <c r="S5" s="478">
        <v>0</v>
      </c>
      <c r="T5" s="479">
        <f t="shared" si="3"/>
        <v>0</v>
      </c>
      <c r="U5" s="485">
        <v>1500</v>
      </c>
      <c r="V5" s="481">
        <f t="shared" si="4"/>
        <v>28950</v>
      </c>
      <c r="W5" s="482">
        <f t="shared" si="9"/>
        <v>28950</v>
      </c>
      <c r="X5" s="483">
        <v>1500</v>
      </c>
      <c r="Y5" s="483">
        <v>750</v>
      </c>
      <c r="Z5" s="478">
        <v>0</v>
      </c>
      <c r="AA5" s="479">
        <f t="shared" si="5"/>
        <v>0</v>
      </c>
      <c r="AB5" s="485">
        <v>750</v>
      </c>
      <c r="AC5" s="481">
        <f t="shared" si="6"/>
        <v>14475</v>
      </c>
      <c r="AD5" s="482">
        <f t="shared" si="10"/>
        <v>14475</v>
      </c>
    </row>
    <row r="6" spans="1:30" ht="28.5" customHeight="1">
      <c r="A6" s="474" t="s">
        <v>765</v>
      </c>
      <c r="B6" s="475">
        <v>12.9</v>
      </c>
      <c r="C6" s="476">
        <v>7800</v>
      </c>
      <c r="D6" s="477">
        <v>11700</v>
      </c>
      <c r="E6" s="478">
        <v>8700</v>
      </c>
      <c r="F6" s="479">
        <f>(D6*B6)</f>
        <v>150930</v>
      </c>
      <c r="G6" s="480">
        <v>3000</v>
      </c>
      <c r="H6" s="481">
        <f t="shared" si="0"/>
        <v>38700</v>
      </c>
      <c r="I6" s="482">
        <f t="shared" si="7"/>
        <v>189630</v>
      </c>
      <c r="J6" s="483">
        <v>8800</v>
      </c>
      <c r="K6" s="477">
        <v>13200</v>
      </c>
      <c r="L6" s="478">
        <v>10200</v>
      </c>
      <c r="M6" s="479">
        <f t="shared" si="1"/>
        <v>131580</v>
      </c>
      <c r="N6" s="480">
        <v>3000</v>
      </c>
      <c r="O6" s="481">
        <f t="shared" si="2"/>
        <v>38700</v>
      </c>
      <c r="P6" s="482">
        <f t="shared" si="8"/>
        <v>170280</v>
      </c>
      <c r="Q6" s="483">
        <v>9800</v>
      </c>
      <c r="R6" s="477">
        <v>14700</v>
      </c>
      <c r="S6" s="478">
        <v>11700</v>
      </c>
      <c r="T6" s="479">
        <f t="shared" si="3"/>
        <v>150930</v>
      </c>
      <c r="U6" s="480">
        <v>3000</v>
      </c>
      <c r="V6" s="481">
        <f t="shared" si="4"/>
        <v>38700</v>
      </c>
      <c r="W6" s="482">
        <f t="shared" si="9"/>
        <v>189630</v>
      </c>
      <c r="X6" s="483">
        <v>9800</v>
      </c>
      <c r="Y6" s="477">
        <v>7350</v>
      </c>
      <c r="Z6" s="478">
        <v>3350</v>
      </c>
      <c r="AA6" s="479">
        <f t="shared" si="5"/>
        <v>43215</v>
      </c>
      <c r="AB6" s="480">
        <v>4000</v>
      </c>
      <c r="AC6" s="481">
        <f t="shared" si="6"/>
        <v>51600</v>
      </c>
      <c r="AD6" s="482">
        <f t="shared" si="10"/>
        <v>94815</v>
      </c>
    </row>
    <row r="7" spans="1:30" ht="18">
      <c r="A7" s="486" t="s">
        <v>766</v>
      </c>
      <c r="B7" s="475">
        <v>0</v>
      </c>
      <c r="C7" s="476">
        <v>150</v>
      </c>
      <c r="D7" s="477">
        <v>150</v>
      </c>
      <c r="E7" s="478">
        <v>0</v>
      </c>
      <c r="F7" s="479">
        <f>(E7*B7)*12</f>
        <v>0</v>
      </c>
      <c r="G7" s="480">
        <v>150</v>
      </c>
      <c r="H7" s="481">
        <f t="shared" si="0"/>
        <v>0</v>
      </c>
      <c r="I7" s="482">
        <f t="shared" si="7"/>
        <v>0</v>
      </c>
      <c r="J7" s="483">
        <v>150</v>
      </c>
      <c r="K7" s="477">
        <v>150</v>
      </c>
      <c r="L7" s="478">
        <v>0</v>
      </c>
      <c r="M7" s="479">
        <f t="shared" si="1"/>
        <v>0</v>
      </c>
      <c r="N7" s="480">
        <v>150</v>
      </c>
      <c r="O7" s="481">
        <f t="shared" si="2"/>
        <v>0</v>
      </c>
      <c r="P7" s="482">
        <f t="shared" si="8"/>
        <v>0</v>
      </c>
      <c r="Q7" s="483">
        <v>150</v>
      </c>
      <c r="R7" s="477">
        <v>150</v>
      </c>
      <c r="S7" s="478">
        <v>0</v>
      </c>
      <c r="T7" s="479">
        <f t="shared" si="3"/>
        <v>0</v>
      </c>
      <c r="U7" s="484">
        <v>150</v>
      </c>
      <c r="V7" s="481">
        <f t="shared" si="4"/>
        <v>0</v>
      </c>
      <c r="W7" s="482">
        <f t="shared" si="9"/>
        <v>0</v>
      </c>
      <c r="X7" s="483">
        <v>150</v>
      </c>
      <c r="Y7" s="477">
        <v>75</v>
      </c>
      <c r="Z7" s="478">
        <v>0</v>
      </c>
      <c r="AA7" s="479">
        <f t="shared" si="5"/>
        <v>0</v>
      </c>
      <c r="AB7" s="484">
        <v>75</v>
      </c>
      <c r="AC7" s="481">
        <f t="shared" si="6"/>
        <v>0</v>
      </c>
      <c r="AD7" s="482">
        <f t="shared" si="10"/>
        <v>0</v>
      </c>
    </row>
    <row r="8" spans="1:30" ht="35.4">
      <c r="A8" s="486" t="s">
        <v>767</v>
      </c>
      <c r="B8" s="475"/>
      <c r="C8" s="476">
        <v>1200</v>
      </c>
      <c r="D8" s="477">
        <v>1200</v>
      </c>
      <c r="E8" s="478">
        <v>0</v>
      </c>
      <c r="F8" s="479">
        <f>(E8*B8)*12</f>
        <v>0</v>
      </c>
      <c r="G8" s="480">
        <v>1200</v>
      </c>
      <c r="H8" s="481">
        <f t="shared" si="0"/>
        <v>0</v>
      </c>
      <c r="I8" s="482">
        <f t="shared" si="7"/>
        <v>0</v>
      </c>
      <c r="J8" s="483">
        <v>1200</v>
      </c>
      <c r="K8" s="477">
        <v>1200</v>
      </c>
      <c r="L8" s="478">
        <v>0</v>
      </c>
      <c r="M8" s="479">
        <f t="shared" si="1"/>
        <v>0</v>
      </c>
      <c r="N8" s="480">
        <v>1200</v>
      </c>
      <c r="O8" s="481">
        <f t="shared" si="2"/>
        <v>0</v>
      </c>
      <c r="P8" s="482">
        <f t="shared" si="8"/>
        <v>0</v>
      </c>
      <c r="Q8" s="483">
        <v>1200</v>
      </c>
      <c r="R8" s="477">
        <v>1200</v>
      </c>
      <c r="S8" s="478">
        <v>0</v>
      </c>
      <c r="T8" s="479">
        <f t="shared" si="3"/>
        <v>0</v>
      </c>
      <c r="U8" s="484">
        <v>1200</v>
      </c>
      <c r="V8" s="481">
        <f t="shared" si="4"/>
        <v>0</v>
      </c>
      <c r="W8" s="482">
        <f t="shared" si="9"/>
        <v>0</v>
      </c>
      <c r="X8" s="483">
        <v>1200</v>
      </c>
      <c r="Y8" s="477">
        <v>600</v>
      </c>
      <c r="Z8" s="478">
        <v>0</v>
      </c>
      <c r="AA8" s="479">
        <f t="shared" si="5"/>
        <v>0</v>
      </c>
      <c r="AB8" s="484">
        <v>600</v>
      </c>
      <c r="AC8" s="481">
        <f t="shared" si="6"/>
        <v>0</v>
      </c>
      <c r="AD8" s="482">
        <f t="shared" si="10"/>
        <v>0</v>
      </c>
    </row>
    <row r="9" spans="1:30" ht="33.75" customHeight="1">
      <c r="A9" s="487" t="s">
        <v>768</v>
      </c>
      <c r="B9" s="475">
        <v>1.87</v>
      </c>
      <c r="C9" s="476">
        <v>500</v>
      </c>
      <c r="D9" s="477">
        <v>500</v>
      </c>
      <c r="E9" s="478">
        <v>0</v>
      </c>
      <c r="F9" s="479">
        <v>0</v>
      </c>
      <c r="G9" s="480">
        <v>500</v>
      </c>
      <c r="H9" s="481">
        <f t="shared" si="0"/>
        <v>935</v>
      </c>
      <c r="I9" s="482">
        <f t="shared" si="7"/>
        <v>935</v>
      </c>
      <c r="J9" s="483">
        <v>500</v>
      </c>
      <c r="K9" s="477">
        <v>500</v>
      </c>
      <c r="L9" s="478">
        <v>0</v>
      </c>
      <c r="M9" s="479">
        <f t="shared" si="1"/>
        <v>0</v>
      </c>
      <c r="N9" s="480">
        <v>500</v>
      </c>
      <c r="O9" s="481">
        <f t="shared" si="2"/>
        <v>935</v>
      </c>
      <c r="P9" s="482">
        <f t="shared" si="8"/>
        <v>935</v>
      </c>
      <c r="Q9" s="483">
        <v>500</v>
      </c>
      <c r="R9" s="477">
        <v>500</v>
      </c>
      <c r="S9" s="478">
        <v>0</v>
      </c>
      <c r="T9" s="479">
        <v>0</v>
      </c>
      <c r="U9" s="484">
        <v>500</v>
      </c>
      <c r="V9" s="481">
        <f t="shared" si="4"/>
        <v>935</v>
      </c>
      <c r="W9" s="482">
        <f t="shared" si="9"/>
        <v>935</v>
      </c>
      <c r="X9" s="483">
        <v>500</v>
      </c>
      <c r="Y9" s="477">
        <v>250</v>
      </c>
      <c r="Z9" s="478">
        <v>0</v>
      </c>
      <c r="AA9" s="479">
        <f t="shared" si="5"/>
        <v>0</v>
      </c>
      <c r="AB9" s="484">
        <v>250</v>
      </c>
      <c r="AC9" s="481">
        <f t="shared" si="6"/>
        <v>467.5</v>
      </c>
      <c r="AD9" s="482">
        <f t="shared" si="10"/>
        <v>467.5</v>
      </c>
    </row>
    <row r="10" spans="1:30" ht="18">
      <c r="A10" s="606" t="s">
        <v>769</v>
      </c>
      <c r="B10" s="475">
        <v>3.8</v>
      </c>
      <c r="C10" s="476">
        <v>400</v>
      </c>
      <c r="D10" s="476">
        <v>400</v>
      </c>
      <c r="E10" s="478">
        <v>0</v>
      </c>
      <c r="F10" s="479">
        <v>0</v>
      </c>
      <c r="G10" s="488">
        <v>400</v>
      </c>
      <c r="H10" s="481">
        <f t="shared" si="0"/>
        <v>1520</v>
      </c>
      <c r="I10" s="482">
        <f t="shared" si="7"/>
        <v>1520</v>
      </c>
      <c r="J10" s="476">
        <v>400</v>
      </c>
      <c r="K10" s="476">
        <v>400</v>
      </c>
      <c r="L10" s="478">
        <v>0</v>
      </c>
      <c r="M10" s="479">
        <f t="shared" si="1"/>
        <v>0</v>
      </c>
      <c r="N10" s="488">
        <v>400</v>
      </c>
      <c r="O10" s="481">
        <f t="shared" si="2"/>
        <v>1520</v>
      </c>
      <c r="P10" s="482">
        <f t="shared" si="8"/>
        <v>1520</v>
      </c>
      <c r="Q10" s="476">
        <v>400</v>
      </c>
      <c r="R10" s="476">
        <v>400</v>
      </c>
      <c r="S10" s="478">
        <v>0</v>
      </c>
      <c r="T10" s="479">
        <v>0</v>
      </c>
      <c r="U10" s="488">
        <v>400</v>
      </c>
      <c r="V10" s="481">
        <f t="shared" si="4"/>
        <v>1520</v>
      </c>
      <c r="W10" s="482">
        <f t="shared" si="9"/>
        <v>1520</v>
      </c>
      <c r="X10" s="476">
        <v>400</v>
      </c>
      <c r="Y10" s="476">
        <v>200</v>
      </c>
      <c r="Z10" s="478">
        <v>0</v>
      </c>
      <c r="AA10" s="479">
        <f t="shared" si="5"/>
        <v>0</v>
      </c>
      <c r="AB10" s="488">
        <v>200</v>
      </c>
      <c r="AC10" s="481">
        <f t="shared" si="6"/>
        <v>760</v>
      </c>
      <c r="AD10" s="482">
        <f t="shared" si="10"/>
        <v>760</v>
      </c>
    </row>
    <row r="11" spans="1:30" ht="18">
      <c r="A11" s="606" t="s">
        <v>770</v>
      </c>
      <c r="B11" s="475">
        <v>4.8</v>
      </c>
      <c r="C11" s="476">
        <v>100</v>
      </c>
      <c r="D11" s="476">
        <v>100</v>
      </c>
      <c r="E11" s="478">
        <v>0</v>
      </c>
      <c r="F11" s="479">
        <v>0</v>
      </c>
      <c r="G11" s="488">
        <v>100</v>
      </c>
      <c r="H11" s="481">
        <f>(G11*B11)</f>
        <v>480</v>
      </c>
      <c r="I11" s="482">
        <f t="shared" si="7"/>
        <v>480</v>
      </c>
      <c r="J11" s="476">
        <v>120</v>
      </c>
      <c r="K11" s="476">
        <v>120</v>
      </c>
      <c r="L11" s="478"/>
      <c r="M11" s="479">
        <f t="shared" si="1"/>
        <v>0</v>
      </c>
      <c r="N11" s="488">
        <v>120</v>
      </c>
      <c r="O11" s="481">
        <f t="shared" si="2"/>
        <v>576</v>
      </c>
      <c r="P11" s="482">
        <f t="shared" si="8"/>
        <v>576</v>
      </c>
      <c r="Q11" s="476">
        <v>120</v>
      </c>
      <c r="R11" s="476">
        <v>120</v>
      </c>
      <c r="S11" s="478">
        <v>0</v>
      </c>
      <c r="T11" s="479">
        <v>0</v>
      </c>
      <c r="U11" s="488">
        <v>120</v>
      </c>
      <c r="V11" s="481">
        <f t="shared" si="4"/>
        <v>576</v>
      </c>
      <c r="W11" s="482">
        <f t="shared" si="9"/>
        <v>576</v>
      </c>
      <c r="X11" s="476">
        <v>60</v>
      </c>
      <c r="Y11" s="476">
        <v>60</v>
      </c>
      <c r="Z11" s="478">
        <v>0</v>
      </c>
      <c r="AA11" s="479">
        <f t="shared" si="5"/>
        <v>0</v>
      </c>
      <c r="AB11" s="488">
        <v>60</v>
      </c>
      <c r="AC11" s="481">
        <f t="shared" si="6"/>
        <v>288</v>
      </c>
      <c r="AD11" s="482">
        <f t="shared" si="10"/>
        <v>288</v>
      </c>
    </row>
    <row r="12" spans="1:30" s="612" customFormat="1" ht="18">
      <c r="A12" s="607" t="s">
        <v>771</v>
      </c>
      <c r="B12" s="608">
        <v>1</v>
      </c>
      <c r="C12" s="609">
        <v>30000</v>
      </c>
      <c r="D12" s="609">
        <v>30000</v>
      </c>
      <c r="E12" s="610"/>
      <c r="F12" s="611"/>
      <c r="G12" s="609">
        <v>30000</v>
      </c>
      <c r="H12" s="611">
        <f>(G12*B12)</f>
        <v>30000</v>
      </c>
      <c r="I12" s="611">
        <f t="shared" si="7"/>
        <v>30000</v>
      </c>
      <c r="J12" s="609">
        <v>30000</v>
      </c>
      <c r="K12" s="609">
        <v>30000</v>
      </c>
      <c r="L12" s="610">
        <v>0</v>
      </c>
      <c r="M12" s="611">
        <f t="shared" si="1"/>
        <v>0</v>
      </c>
      <c r="N12" s="609">
        <v>30000</v>
      </c>
      <c r="O12" s="611">
        <f t="shared" si="2"/>
        <v>30000</v>
      </c>
      <c r="P12" s="611">
        <f t="shared" si="8"/>
        <v>30000</v>
      </c>
      <c r="Q12" s="609">
        <v>30000</v>
      </c>
      <c r="R12" s="609">
        <v>30000</v>
      </c>
      <c r="S12" s="610"/>
      <c r="T12" s="611"/>
      <c r="U12" s="609">
        <v>30000</v>
      </c>
      <c r="V12" s="611">
        <f t="shared" si="4"/>
        <v>30000</v>
      </c>
      <c r="W12" s="611">
        <f t="shared" si="9"/>
        <v>30000</v>
      </c>
      <c r="X12" s="609">
        <v>0</v>
      </c>
      <c r="Y12" s="609">
        <v>0</v>
      </c>
      <c r="Z12" s="610"/>
      <c r="AA12" s="611"/>
      <c r="AB12" s="609">
        <v>0</v>
      </c>
      <c r="AC12" s="611">
        <f t="shared" si="6"/>
        <v>0</v>
      </c>
      <c r="AD12" s="611">
        <f t="shared" si="10"/>
        <v>0</v>
      </c>
    </row>
    <row r="13" spans="1:30" ht="18">
      <c r="A13" s="466" t="s">
        <v>749</v>
      </c>
      <c r="B13" s="489"/>
      <c r="C13" s="490"/>
      <c r="D13" s="490"/>
      <c r="E13" s="490"/>
      <c r="F13" s="491">
        <f>SUM(F2:F8)</f>
        <v>150930</v>
      </c>
      <c r="G13" s="490"/>
      <c r="H13" s="492">
        <f>SUM(H2:H12)</f>
        <v>325591</v>
      </c>
      <c r="I13" s="493">
        <f>SUM(I2:I12)</f>
        <v>476521</v>
      </c>
      <c r="J13" s="490"/>
      <c r="K13" s="490"/>
      <c r="L13" s="490"/>
      <c r="M13" s="491">
        <f>SUM(M2:M8)</f>
        <v>131580</v>
      </c>
      <c r="N13" s="490"/>
      <c r="O13" s="492">
        <f>SUM(O2:O12)</f>
        <v>353407</v>
      </c>
      <c r="P13" s="493">
        <f>SUM(P2:P12)</f>
        <v>484987</v>
      </c>
      <c r="Q13" s="490"/>
      <c r="R13" s="490"/>
      <c r="S13" s="490"/>
      <c r="T13" s="491">
        <f>SUM(T2:T9)</f>
        <v>150930</v>
      </c>
      <c r="U13" s="490"/>
      <c r="V13" s="492">
        <f>SUM(V2:V12)</f>
        <v>378232</v>
      </c>
      <c r="W13" s="494">
        <f>SUM(W2:W12)</f>
        <v>529162</v>
      </c>
      <c r="X13" s="490"/>
      <c r="Y13" s="490"/>
      <c r="Z13" s="490"/>
      <c r="AA13" s="491">
        <f>SUM(AA2:AA9)</f>
        <v>43215</v>
      </c>
      <c r="AB13" s="490"/>
      <c r="AC13" s="492">
        <f>SUM(AC2:AC12)</f>
        <v>235050</v>
      </c>
      <c r="AD13" s="494">
        <f>SUM(AD2:AD12)</f>
        <v>278265</v>
      </c>
    </row>
    <row r="15" spans="1:30" ht="18">
      <c r="AC15" s="495" t="s">
        <v>772</v>
      </c>
      <c r="AD15" s="496">
        <f>H13+O13+V13+AC13</f>
        <v>1292280</v>
      </c>
    </row>
    <row r="16" spans="1:30" ht="18">
      <c r="F16" s="497">
        <v>0.25</v>
      </c>
      <c r="G16" s="498"/>
      <c r="H16" s="497">
        <v>0.75</v>
      </c>
      <c r="M16" s="497">
        <v>0.26</v>
      </c>
      <c r="O16" s="497">
        <v>0.74</v>
      </c>
      <c r="T16" s="497">
        <v>0.27</v>
      </c>
      <c r="U16" s="498"/>
      <c r="V16" s="497">
        <v>0.73</v>
      </c>
      <c r="AA16" s="497">
        <v>0.25</v>
      </c>
      <c r="AC16" s="497">
        <v>0.75</v>
      </c>
    </row>
    <row r="17" spans="6:29">
      <c r="F17" s="499">
        <f>(F13*100)/I13</f>
        <v>31.673315551675582</v>
      </c>
      <c r="H17" s="499">
        <f>(H13*100)/I13</f>
        <v>68.326684448324414</v>
      </c>
      <c r="M17" s="499">
        <f>(M13*100)/P13</f>
        <v>27.130624119821768</v>
      </c>
      <c r="O17" s="499">
        <f>(O13*100)/P13</f>
        <v>72.869375880178225</v>
      </c>
      <c r="T17" s="499">
        <f>(T13*100)/W13</f>
        <v>28.522456261031593</v>
      </c>
      <c r="V17" s="499">
        <f>(V13*100)/W13</f>
        <v>71.477543738968407</v>
      </c>
      <c r="AA17" s="499">
        <f>(AA13*100)/AD13</f>
        <v>15.530160099186027</v>
      </c>
      <c r="AC17" s="499">
        <f>(AC13*100)/AD13</f>
        <v>84.469839900813966</v>
      </c>
    </row>
    <row r="18" spans="6:29">
      <c r="H18" s="499"/>
    </row>
    <row r="20" spans="6:29">
      <c r="F20" s="499">
        <f>H13+O13+V13+AC13</f>
        <v>1292280</v>
      </c>
    </row>
  </sheetData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G11" sqref="G11"/>
    </sheetView>
  </sheetViews>
  <sheetFormatPr defaultColWidth="9.109375" defaultRowHeight="14.4"/>
  <cols>
    <col min="1" max="1" width="58.88671875" style="223" customWidth="1"/>
    <col min="2" max="2" width="11" style="223" customWidth="1"/>
    <col min="3" max="3" width="15" style="223" customWidth="1"/>
    <col min="4" max="4" width="16.33203125" style="223" customWidth="1"/>
    <col min="5" max="16384" width="9.109375" style="223"/>
  </cols>
  <sheetData>
    <row r="1" spans="1:5">
      <c r="A1" s="500"/>
      <c r="B1" s="501" t="s">
        <v>3</v>
      </c>
      <c r="C1" s="501" t="s">
        <v>4</v>
      </c>
      <c r="D1" s="501" t="s">
        <v>5</v>
      </c>
      <c r="E1" s="502"/>
    </row>
    <row r="2" spans="1:5">
      <c r="A2" s="603" t="s">
        <v>825</v>
      </c>
      <c r="B2" s="500">
        <v>12</v>
      </c>
      <c r="C2" s="500">
        <v>7000</v>
      </c>
      <c r="D2" s="500">
        <f>B2*C2</f>
        <v>84000</v>
      </c>
      <c r="E2" s="733" t="s">
        <v>879</v>
      </c>
    </row>
    <row r="3" spans="1:5">
      <c r="A3" s="500"/>
      <c r="B3" s="500"/>
      <c r="C3" s="500"/>
      <c r="D3" s="500"/>
    </row>
    <row r="4" spans="1:5">
      <c r="A4" s="500"/>
      <c r="B4" s="500"/>
      <c r="C4" s="500"/>
      <c r="D4" s="500"/>
    </row>
    <row r="5" spans="1:5">
      <c r="A5" s="500"/>
      <c r="B5" s="500"/>
      <c r="C5" s="500"/>
      <c r="D5" s="500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9"/>
  <sheetViews>
    <sheetView topLeftCell="A47" zoomScale="75" zoomScaleNormal="75" workbookViewId="0">
      <selection activeCell="N51" sqref="N51"/>
    </sheetView>
  </sheetViews>
  <sheetFormatPr defaultColWidth="9.109375" defaultRowHeight="14.4"/>
  <cols>
    <col min="1" max="1" width="5" style="556" customWidth="1"/>
    <col min="2" max="2" width="48.33203125" style="556" customWidth="1"/>
    <col min="3" max="3" width="13" style="556" hidden="1" customWidth="1"/>
    <col min="4" max="5" width="9.109375" style="556" hidden="1" customWidth="1"/>
    <col min="6" max="6" width="10" style="556" hidden="1" customWidth="1"/>
    <col min="7" max="10" width="9.109375" style="556" hidden="1" customWidth="1"/>
    <col min="11" max="11" width="13.109375" style="556" hidden="1" customWidth="1"/>
    <col min="12" max="12" width="9.44140625" style="556" hidden="1" customWidth="1"/>
    <col min="13" max="13" width="9.44140625" style="556" customWidth="1"/>
    <col min="14" max="14" width="14.109375" style="601" customWidth="1"/>
    <col min="15" max="15" width="18.88671875" style="556" customWidth="1"/>
    <col min="16" max="16" width="12.44140625" style="556" customWidth="1"/>
    <col min="17" max="17" width="12.88671875" style="556" customWidth="1"/>
    <col min="18" max="18" width="12.5546875" style="556" customWidth="1"/>
    <col min="19" max="19" width="13.33203125" style="556" customWidth="1"/>
    <col min="20" max="20" width="12" style="556" customWidth="1"/>
    <col min="21" max="21" width="28" style="556" customWidth="1"/>
    <col min="22" max="22" width="21.5546875" style="556" customWidth="1"/>
    <col min="23" max="16384" width="9.109375" style="556"/>
  </cols>
  <sheetData>
    <row r="2" spans="1:22" ht="21">
      <c r="B2" s="557" t="s">
        <v>634</v>
      </c>
      <c r="C2" s="558"/>
      <c r="D2" s="559"/>
      <c r="E2" s="560"/>
      <c r="F2" s="560"/>
      <c r="G2" s="560"/>
      <c r="H2" s="560"/>
      <c r="I2" s="560"/>
      <c r="J2" s="560"/>
      <c r="K2" s="560"/>
      <c r="L2" s="560"/>
      <c r="M2" s="560"/>
      <c r="N2" s="561"/>
      <c r="O2" s="560"/>
      <c r="P2" s="735" t="s">
        <v>881</v>
      </c>
      <c r="S2" s="562"/>
      <c r="T2" s="563"/>
      <c r="U2" s="564"/>
    </row>
    <row r="3" spans="1:22" ht="14.4" customHeight="1">
      <c r="A3" s="885" t="s">
        <v>635</v>
      </c>
      <c r="B3" s="885" t="s">
        <v>636</v>
      </c>
      <c r="C3" s="877" t="s">
        <v>637</v>
      </c>
      <c r="D3" s="871" t="s">
        <v>638</v>
      </c>
      <c r="E3" s="871" t="s">
        <v>639</v>
      </c>
      <c r="F3" s="871" t="s">
        <v>640</v>
      </c>
      <c r="G3" s="871" t="s">
        <v>641</v>
      </c>
      <c r="H3" s="871" t="s">
        <v>642</v>
      </c>
      <c r="I3" s="871" t="s">
        <v>643</v>
      </c>
      <c r="J3" s="871" t="s">
        <v>644</v>
      </c>
      <c r="K3" s="871" t="s">
        <v>645</v>
      </c>
      <c r="L3" s="877" t="s">
        <v>646</v>
      </c>
      <c r="M3" s="565"/>
      <c r="N3" s="880" t="s">
        <v>647</v>
      </c>
      <c r="O3" s="871" t="s">
        <v>648</v>
      </c>
      <c r="P3" s="871" t="s">
        <v>649</v>
      </c>
      <c r="Q3" s="871" t="s">
        <v>649</v>
      </c>
      <c r="R3" s="871" t="s">
        <v>650</v>
      </c>
      <c r="S3" s="871" t="s">
        <v>651</v>
      </c>
      <c r="T3" s="871" t="s">
        <v>652</v>
      </c>
      <c r="U3" s="871" t="s">
        <v>653</v>
      </c>
    </row>
    <row r="4" spans="1:22">
      <c r="A4" s="886"/>
      <c r="B4" s="886"/>
      <c r="C4" s="878"/>
      <c r="D4" s="871"/>
      <c r="E4" s="871"/>
      <c r="F4" s="871"/>
      <c r="G4" s="871"/>
      <c r="H4" s="871"/>
      <c r="I4" s="871"/>
      <c r="J4" s="871"/>
      <c r="K4" s="871"/>
      <c r="L4" s="878"/>
      <c r="M4" s="566"/>
      <c r="N4" s="881"/>
      <c r="O4" s="871"/>
      <c r="P4" s="871"/>
      <c r="Q4" s="871"/>
      <c r="R4" s="871"/>
      <c r="S4" s="871"/>
      <c r="T4" s="871"/>
      <c r="U4" s="871"/>
    </row>
    <row r="5" spans="1:22" ht="15.75" customHeight="1">
      <c r="A5" s="886"/>
      <c r="B5" s="886"/>
      <c r="C5" s="878"/>
      <c r="D5" s="871"/>
      <c r="E5" s="871"/>
      <c r="F5" s="871"/>
      <c r="G5" s="871"/>
      <c r="H5" s="871"/>
      <c r="I5" s="871"/>
      <c r="J5" s="871"/>
      <c r="K5" s="871"/>
      <c r="L5" s="878"/>
      <c r="M5" s="566"/>
      <c r="N5" s="881"/>
      <c r="O5" s="871"/>
      <c r="P5" s="871"/>
      <c r="Q5" s="871"/>
      <c r="R5" s="871"/>
      <c r="S5" s="871"/>
      <c r="T5" s="871"/>
      <c r="U5" s="871"/>
    </row>
    <row r="6" spans="1:22" ht="28.5" customHeight="1">
      <c r="A6" s="887"/>
      <c r="B6" s="887"/>
      <c r="C6" s="879"/>
      <c r="D6" s="871"/>
      <c r="E6" s="871"/>
      <c r="F6" s="871"/>
      <c r="G6" s="871"/>
      <c r="H6" s="871"/>
      <c r="I6" s="871"/>
      <c r="J6" s="871"/>
      <c r="K6" s="871"/>
      <c r="L6" s="879"/>
      <c r="M6" s="567" t="s">
        <v>654</v>
      </c>
      <c r="N6" s="882"/>
      <c r="O6" s="871"/>
      <c r="P6" s="871" t="s">
        <v>655</v>
      </c>
      <c r="Q6" s="871" t="s">
        <v>655</v>
      </c>
      <c r="R6" s="871" t="s">
        <v>655</v>
      </c>
      <c r="S6" s="871" t="s">
        <v>655</v>
      </c>
      <c r="T6" s="871" t="s">
        <v>655</v>
      </c>
      <c r="U6" s="871" t="s">
        <v>655</v>
      </c>
    </row>
    <row r="7" spans="1:22" ht="28.5" customHeight="1">
      <c r="A7" s="568"/>
      <c r="B7" s="569" t="s">
        <v>656</v>
      </c>
      <c r="C7" s="570"/>
      <c r="D7" s="570"/>
      <c r="E7" s="570"/>
      <c r="F7" s="570"/>
      <c r="G7" s="570"/>
      <c r="H7" s="570"/>
      <c r="I7" s="570"/>
      <c r="J7" s="570"/>
      <c r="K7" s="570"/>
      <c r="L7" s="570"/>
      <c r="M7" s="570">
        <v>8</v>
      </c>
      <c r="N7" s="569">
        <v>83000</v>
      </c>
      <c r="O7" s="570">
        <f>N7*M7</f>
        <v>664000</v>
      </c>
      <c r="P7" s="571"/>
      <c r="Q7" s="572"/>
      <c r="R7" s="572"/>
      <c r="S7" s="572"/>
      <c r="T7" s="572"/>
      <c r="U7" s="572"/>
    </row>
    <row r="8" spans="1:22" ht="31.2">
      <c r="A8" s="568"/>
      <c r="B8" s="569" t="s">
        <v>657</v>
      </c>
      <c r="C8" s="661"/>
      <c r="D8" s="661"/>
      <c r="E8" s="661"/>
      <c r="F8" s="661"/>
      <c r="G8" s="661"/>
      <c r="H8" s="661"/>
      <c r="I8" s="661"/>
      <c r="J8" s="661"/>
      <c r="K8" s="661"/>
      <c r="L8" s="661"/>
      <c r="M8" s="661">
        <v>4</v>
      </c>
      <c r="N8" s="569">
        <v>2502000</v>
      </c>
      <c r="O8" s="661">
        <f t="shared" ref="O8:O21" si="0">N8*M8</f>
        <v>10008000</v>
      </c>
      <c r="P8" s="571"/>
      <c r="Q8" s="572"/>
      <c r="R8" s="572"/>
      <c r="S8" s="572"/>
      <c r="T8" s="572"/>
      <c r="U8" s="572"/>
    </row>
    <row r="9" spans="1:22" ht="31.2">
      <c r="A9" s="568"/>
      <c r="B9" s="573" t="s">
        <v>658</v>
      </c>
      <c r="C9" s="661"/>
      <c r="D9" s="661"/>
      <c r="E9" s="661"/>
      <c r="F9" s="661"/>
      <c r="G9" s="661"/>
      <c r="H9" s="661"/>
      <c r="I9" s="661"/>
      <c r="J9" s="661"/>
      <c r="K9" s="661"/>
      <c r="L9" s="661"/>
      <c r="M9" s="661">
        <v>1</v>
      </c>
      <c r="N9" s="574">
        <v>25000</v>
      </c>
      <c r="O9" s="661">
        <f t="shared" si="0"/>
        <v>25000</v>
      </c>
      <c r="P9" s="571"/>
      <c r="Q9" s="572"/>
      <c r="R9" s="572"/>
      <c r="S9" s="572"/>
      <c r="T9" s="572"/>
      <c r="U9" s="572"/>
    </row>
    <row r="10" spans="1:22" ht="31.2">
      <c r="A10" s="568"/>
      <c r="B10" s="575" t="s">
        <v>659</v>
      </c>
      <c r="C10" s="661"/>
      <c r="D10" s="661"/>
      <c r="E10" s="661"/>
      <c r="F10" s="661"/>
      <c r="G10" s="661"/>
      <c r="H10" s="661"/>
      <c r="I10" s="661"/>
      <c r="J10" s="661"/>
      <c r="K10" s="661"/>
      <c r="L10" s="661"/>
      <c r="M10" s="661">
        <v>1</v>
      </c>
      <c r="N10" s="574">
        <v>25000</v>
      </c>
      <c r="O10" s="661">
        <f t="shared" si="0"/>
        <v>25000</v>
      </c>
      <c r="P10" s="571"/>
      <c r="Q10" s="572"/>
      <c r="R10" s="572"/>
      <c r="S10" s="572"/>
      <c r="T10" s="572"/>
      <c r="U10" s="572"/>
    </row>
    <row r="11" spans="1:22" ht="31.2">
      <c r="A11" s="568"/>
      <c r="B11" s="573" t="s">
        <v>660</v>
      </c>
      <c r="C11" s="661"/>
      <c r="D11" s="661"/>
      <c r="E11" s="661"/>
      <c r="F11" s="661"/>
      <c r="G11" s="661"/>
      <c r="H11" s="661"/>
      <c r="I11" s="661"/>
      <c r="J11" s="661"/>
      <c r="K11" s="661"/>
      <c r="L11" s="661"/>
      <c r="M11" s="661">
        <v>1</v>
      </c>
      <c r="N11" s="574">
        <v>25000</v>
      </c>
      <c r="O11" s="661">
        <f t="shared" si="0"/>
        <v>25000</v>
      </c>
      <c r="P11" s="571"/>
      <c r="Q11" s="572"/>
      <c r="R11" s="572"/>
      <c r="S11" s="572"/>
      <c r="T11" s="572"/>
      <c r="U11" s="572"/>
    </row>
    <row r="12" spans="1:22" ht="52.5" customHeight="1">
      <c r="A12" s="568"/>
      <c r="B12" s="573" t="s">
        <v>661</v>
      </c>
      <c r="C12" s="661"/>
      <c r="D12" s="661"/>
      <c r="E12" s="661"/>
      <c r="F12" s="661"/>
      <c r="G12" s="661"/>
      <c r="H12" s="661"/>
      <c r="I12" s="661"/>
      <c r="J12" s="661"/>
      <c r="K12" s="661"/>
      <c r="L12" s="661"/>
      <c r="M12" s="661">
        <v>1</v>
      </c>
      <c r="N12" s="574">
        <v>25000</v>
      </c>
      <c r="O12" s="661">
        <f t="shared" si="0"/>
        <v>25000</v>
      </c>
      <c r="P12" s="571"/>
      <c r="Q12" s="572"/>
      <c r="R12" s="572"/>
      <c r="S12" s="572"/>
      <c r="T12" s="572"/>
      <c r="U12" s="572"/>
    </row>
    <row r="13" spans="1:22" ht="31.2">
      <c r="A13" s="576">
        <v>1</v>
      </c>
      <c r="B13" s="569" t="s">
        <v>807</v>
      </c>
      <c r="C13" s="661">
        <v>1</v>
      </c>
      <c r="D13" s="661">
        <v>1</v>
      </c>
      <c r="E13" s="661">
        <v>1</v>
      </c>
      <c r="F13" s="661"/>
      <c r="G13" s="661"/>
      <c r="H13" s="661"/>
      <c r="I13" s="661"/>
      <c r="J13" s="661"/>
      <c r="K13" s="661"/>
      <c r="L13" s="661"/>
      <c r="M13" s="661">
        <v>5</v>
      </c>
      <c r="N13" s="577">
        <v>480000</v>
      </c>
      <c r="O13" s="661">
        <f t="shared" si="0"/>
        <v>2400000</v>
      </c>
      <c r="P13" s="556">
        <f>M13*N13</f>
        <v>2400000</v>
      </c>
      <c r="Q13" s="578">
        <f>O13-P13</f>
        <v>0</v>
      </c>
      <c r="R13" s="579">
        <f>O13/87</f>
        <v>27586.206896551725</v>
      </c>
      <c r="S13" s="579">
        <f>N13/83.42042542</f>
        <v>5753.9864797299424</v>
      </c>
      <c r="T13" s="580">
        <f>M13*S13</f>
        <v>28769.932398649711</v>
      </c>
      <c r="U13" s="581" t="s">
        <v>662</v>
      </c>
      <c r="V13" s="556" t="s">
        <v>663</v>
      </c>
    </row>
    <row r="14" spans="1:22" ht="31.2">
      <c r="A14" s="576">
        <f>A13+1</f>
        <v>2</v>
      </c>
      <c r="B14" s="569" t="s">
        <v>664</v>
      </c>
      <c r="C14" s="661">
        <v>1</v>
      </c>
      <c r="D14" s="661">
        <v>1</v>
      </c>
      <c r="E14" s="661">
        <v>1</v>
      </c>
      <c r="F14" s="661"/>
      <c r="G14" s="661"/>
      <c r="H14" s="661"/>
      <c r="I14" s="661"/>
      <c r="J14" s="661"/>
      <c r="K14" s="661">
        <v>1</v>
      </c>
      <c r="L14" s="661"/>
      <c r="M14" s="661">
        <v>4</v>
      </c>
      <c r="N14" s="577">
        <v>450000</v>
      </c>
      <c r="O14" s="661">
        <f t="shared" si="0"/>
        <v>1800000</v>
      </c>
      <c r="P14" s="556">
        <f t="shared" ref="P14:P52" si="1">M14*N14</f>
        <v>1800000</v>
      </c>
      <c r="Q14" s="578">
        <f t="shared" ref="Q14:Q52" si="2">O14-P14</f>
        <v>0</v>
      </c>
      <c r="R14" s="579">
        <f t="shared" ref="R14:R52" si="3">O14/87</f>
        <v>20689.655172413793</v>
      </c>
      <c r="S14" s="579">
        <f>N14/83.42042542</f>
        <v>5394.3623247468213</v>
      </c>
      <c r="T14" s="580">
        <f>M14*S14</f>
        <v>21577.449298987285</v>
      </c>
      <c r="U14" s="581" t="s">
        <v>662</v>
      </c>
      <c r="V14" s="556" t="s">
        <v>665</v>
      </c>
    </row>
    <row r="15" spans="1:22" ht="31.2">
      <c r="A15" s="576">
        <f t="shared" ref="A15:A17" si="4">A14+1</f>
        <v>3</v>
      </c>
      <c r="B15" s="569" t="s">
        <v>666</v>
      </c>
      <c r="C15" s="661"/>
      <c r="D15" s="661">
        <v>1</v>
      </c>
      <c r="E15" s="661"/>
      <c r="F15" s="661"/>
      <c r="G15" s="661"/>
      <c r="H15" s="661">
        <v>1</v>
      </c>
      <c r="I15" s="661">
        <v>1</v>
      </c>
      <c r="J15" s="661"/>
      <c r="K15" s="661"/>
      <c r="L15" s="661"/>
      <c r="M15" s="661">
        <f t="shared" ref="M15:M52" si="5">SUM(C15:L15)</f>
        <v>3</v>
      </c>
      <c r="N15" s="582">
        <v>1554918</v>
      </c>
      <c r="O15" s="661">
        <f t="shared" si="0"/>
        <v>4664754</v>
      </c>
      <c r="P15" s="556">
        <f t="shared" si="1"/>
        <v>4664754</v>
      </c>
      <c r="Q15" s="562">
        <f>O15-P15</f>
        <v>0</v>
      </c>
      <c r="R15" s="579">
        <f t="shared" si="3"/>
        <v>53617.862068965514</v>
      </c>
      <c r="S15" s="579">
        <f>15356.51/0.918</f>
        <v>16728.224400871459</v>
      </c>
      <c r="T15" s="580">
        <f>M15*S15</f>
        <v>50184.673202614373</v>
      </c>
      <c r="U15" s="581" t="s">
        <v>662</v>
      </c>
    </row>
    <row r="16" spans="1:22" ht="15.6">
      <c r="A16" s="576">
        <f t="shared" si="4"/>
        <v>4</v>
      </c>
      <c r="B16" s="569" t="s">
        <v>667</v>
      </c>
      <c r="C16" s="661"/>
      <c r="D16" s="661">
        <v>1</v>
      </c>
      <c r="E16" s="661"/>
      <c r="F16" s="661">
        <v>1</v>
      </c>
      <c r="G16" s="661"/>
      <c r="H16" s="661"/>
      <c r="I16" s="661"/>
      <c r="J16" s="661"/>
      <c r="K16" s="661"/>
      <c r="L16" s="661"/>
      <c r="M16" s="661">
        <f t="shared" si="5"/>
        <v>2</v>
      </c>
      <c r="N16" s="662">
        <v>316000</v>
      </c>
      <c r="O16" s="661">
        <f t="shared" si="0"/>
        <v>632000</v>
      </c>
      <c r="P16" s="556">
        <f t="shared" si="1"/>
        <v>632000</v>
      </c>
      <c r="Q16" s="578">
        <f t="shared" si="2"/>
        <v>0</v>
      </c>
      <c r="R16" s="579">
        <f t="shared" si="3"/>
        <v>7264.3678160919544</v>
      </c>
      <c r="S16" s="579">
        <f>3072/0.918</f>
        <v>3346.4052287581699</v>
      </c>
      <c r="T16" s="580">
        <f>M16*S16</f>
        <v>6692.8104575163397</v>
      </c>
      <c r="U16" s="581" t="s">
        <v>662</v>
      </c>
      <c r="V16" s="556" t="s">
        <v>668</v>
      </c>
    </row>
    <row r="17" spans="1:22" ht="15.6">
      <c r="A17" s="576">
        <f t="shared" si="4"/>
        <v>5</v>
      </c>
      <c r="B17" s="569" t="s">
        <v>669</v>
      </c>
      <c r="C17" s="661"/>
      <c r="D17" s="661">
        <v>1</v>
      </c>
      <c r="E17" s="661">
        <v>1</v>
      </c>
      <c r="F17" s="661">
        <v>1</v>
      </c>
      <c r="G17" s="661"/>
      <c r="H17" s="661"/>
      <c r="I17" s="661">
        <v>1</v>
      </c>
      <c r="J17" s="661"/>
      <c r="K17" s="661"/>
      <c r="L17" s="661">
        <v>1</v>
      </c>
      <c r="M17" s="661">
        <f t="shared" si="5"/>
        <v>5</v>
      </c>
      <c r="N17" s="662">
        <v>65000</v>
      </c>
      <c r="O17" s="661">
        <f t="shared" si="0"/>
        <v>325000</v>
      </c>
      <c r="P17" s="556">
        <f t="shared" si="1"/>
        <v>325000</v>
      </c>
      <c r="Q17" s="578">
        <f t="shared" si="2"/>
        <v>0</v>
      </c>
      <c r="R17" s="579">
        <f t="shared" si="3"/>
        <v>3735.632183908046</v>
      </c>
      <c r="S17" s="579">
        <f>4530/0.918</f>
        <v>4934.6405228758167</v>
      </c>
      <c r="T17" s="580">
        <f>S17*M17</f>
        <v>24673.202614379083</v>
      </c>
      <c r="U17" s="581" t="s">
        <v>662</v>
      </c>
      <c r="V17" s="556" t="s">
        <v>670</v>
      </c>
    </row>
    <row r="18" spans="1:22" ht="15.6">
      <c r="A18" s="583"/>
      <c r="B18" s="584" t="s">
        <v>808</v>
      </c>
      <c r="C18" s="585"/>
      <c r="D18" s="585"/>
      <c r="E18" s="585"/>
      <c r="F18" s="585"/>
      <c r="G18" s="585"/>
      <c r="H18" s="585"/>
      <c r="I18" s="585"/>
      <c r="J18" s="585"/>
      <c r="K18" s="585"/>
      <c r="L18" s="585"/>
      <c r="M18" s="585">
        <v>20</v>
      </c>
      <c r="N18" s="586">
        <v>60000</v>
      </c>
      <c r="O18" s="661">
        <f t="shared" si="0"/>
        <v>1200000</v>
      </c>
      <c r="Q18" s="587"/>
      <c r="R18" s="588"/>
      <c r="S18" s="588"/>
      <c r="T18" s="589"/>
      <c r="U18" s="590"/>
    </row>
    <row r="19" spans="1:22" ht="15.6">
      <c r="A19" s="576">
        <f>A17+1</f>
        <v>6</v>
      </c>
      <c r="B19" s="569" t="s">
        <v>671</v>
      </c>
      <c r="C19" s="661"/>
      <c r="D19" s="661"/>
      <c r="E19" s="661">
        <v>2</v>
      </c>
      <c r="F19" s="661">
        <v>1</v>
      </c>
      <c r="G19" s="661">
        <v>1</v>
      </c>
      <c r="H19" s="661"/>
      <c r="I19" s="661">
        <v>1</v>
      </c>
      <c r="J19" s="661"/>
      <c r="K19" s="661"/>
      <c r="L19" s="661"/>
      <c r="M19" s="661">
        <f t="shared" si="5"/>
        <v>5</v>
      </c>
      <c r="N19" s="591">
        <v>255000</v>
      </c>
      <c r="O19" s="661">
        <f t="shared" si="0"/>
        <v>1275000</v>
      </c>
      <c r="P19" s="556">
        <f t="shared" si="1"/>
        <v>1275000</v>
      </c>
      <c r="Q19" s="578">
        <f t="shared" si="2"/>
        <v>0</v>
      </c>
      <c r="R19" s="579">
        <f t="shared" si="3"/>
        <v>14655.172413793103</v>
      </c>
      <c r="S19" s="579">
        <f>N19/83.42042542</f>
        <v>3056.8053173565318</v>
      </c>
      <c r="T19" s="580">
        <f>M19*S19</f>
        <v>15284.026586782658</v>
      </c>
      <c r="U19" s="581" t="s">
        <v>662</v>
      </c>
      <c r="V19" s="556" t="s">
        <v>672</v>
      </c>
    </row>
    <row r="20" spans="1:22" s="374" customFormat="1" ht="15.6">
      <c r="A20" s="670">
        <f>A19+1</f>
        <v>7</v>
      </c>
      <c r="B20" s="671" t="s">
        <v>673</v>
      </c>
      <c r="C20" s="672"/>
      <c r="D20" s="672"/>
      <c r="E20" s="672">
        <v>6</v>
      </c>
      <c r="F20" s="672"/>
      <c r="G20" s="672"/>
      <c r="H20" s="672"/>
      <c r="I20" s="672"/>
      <c r="J20" s="672">
        <v>2</v>
      </c>
      <c r="K20" s="672"/>
      <c r="L20" s="672"/>
      <c r="M20" s="672">
        <v>10</v>
      </c>
      <c r="N20" s="673">
        <v>30000</v>
      </c>
      <c r="O20" s="672">
        <f t="shared" si="0"/>
        <v>300000</v>
      </c>
      <c r="P20" s="374">
        <f>M20*N20</f>
        <v>300000</v>
      </c>
      <c r="Q20" s="674">
        <f t="shared" si="2"/>
        <v>0</v>
      </c>
      <c r="R20" s="675">
        <f t="shared" si="3"/>
        <v>3448.2758620689656</v>
      </c>
      <c r="S20" s="674">
        <v>976</v>
      </c>
      <c r="T20" s="676">
        <f t="shared" ref="T20:T28" si="6">M20*S20</f>
        <v>9760</v>
      </c>
      <c r="U20" s="677" t="s">
        <v>674</v>
      </c>
    </row>
    <row r="21" spans="1:22" s="374" customFormat="1" ht="15.6">
      <c r="A21" s="670">
        <f t="shared" ref="A21:A31" si="7">A20+1</f>
        <v>8</v>
      </c>
      <c r="B21" s="671" t="s">
        <v>675</v>
      </c>
      <c r="C21" s="672"/>
      <c r="D21" s="672"/>
      <c r="E21" s="672"/>
      <c r="F21" s="672"/>
      <c r="G21" s="672"/>
      <c r="H21" s="672"/>
      <c r="I21" s="672"/>
      <c r="J21" s="672">
        <v>1</v>
      </c>
      <c r="K21" s="672"/>
      <c r="L21" s="672"/>
      <c r="M21" s="672">
        <v>5</v>
      </c>
      <c r="N21" s="678">
        <v>30000</v>
      </c>
      <c r="O21" s="672">
        <f t="shared" si="0"/>
        <v>150000</v>
      </c>
      <c r="P21" s="374">
        <f t="shared" si="1"/>
        <v>150000</v>
      </c>
      <c r="Q21" s="674">
        <f t="shared" si="2"/>
        <v>0</v>
      </c>
      <c r="R21" s="675">
        <f t="shared" si="3"/>
        <v>1724.1379310344828</v>
      </c>
      <c r="S21" s="674">
        <v>206</v>
      </c>
      <c r="T21" s="676">
        <f t="shared" si="6"/>
        <v>1030</v>
      </c>
      <c r="U21" s="677" t="s">
        <v>676</v>
      </c>
    </row>
    <row r="22" spans="1:22" ht="34.5" customHeight="1">
      <c r="A22" s="576">
        <f t="shared" si="7"/>
        <v>9</v>
      </c>
      <c r="B22" s="1000" t="s">
        <v>677</v>
      </c>
      <c r="C22" s="873"/>
      <c r="D22" s="873"/>
      <c r="E22" s="873">
        <v>2</v>
      </c>
      <c r="F22" s="873">
        <v>1</v>
      </c>
      <c r="G22" s="873">
        <v>1</v>
      </c>
      <c r="H22" s="873">
        <v>1</v>
      </c>
      <c r="I22" s="873">
        <v>2</v>
      </c>
      <c r="J22" s="873">
        <v>2</v>
      </c>
      <c r="K22" s="873">
        <v>4</v>
      </c>
      <c r="L22" s="873"/>
      <c r="M22" s="661">
        <v>8</v>
      </c>
      <c r="N22" s="874">
        <v>80000</v>
      </c>
      <c r="O22" s="876">
        <f>N22*M22</f>
        <v>640000</v>
      </c>
      <c r="P22" s="556">
        <f t="shared" si="1"/>
        <v>640000</v>
      </c>
      <c r="Q22" s="578">
        <f t="shared" si="2"/>
        <v>0</v>
      </c>
      <c r="R22" s="579">
        <f t="shared" si="3"/>
        <v>7356.3218390804595</v>
      </c>
      <c r="S22" s="593">
        <f>2750/0.918</f>
        <v>2995.6427015250542</v>
      </c>
      <c r="T22" s="594">
        <f>M22*S22</f>
        <v>23965.141612200434</v>
      </c>
      <c r="U22" s="581" t="s">
        <v>662</v>
      </c>
    </row>
    <row r="23" spans="1:22" ht="15" hidden="1" customHeight="1">
      <c r="A23" s="576">
        <f t="shared" si="7"/>
        <v>10</v>
      </c>
      <c r="B23" s="1000"/>
      <c r="C23" s="873"/>
      <c r="D23" s="873"/>
      <c r="E23" s="873"/>
      <c r="F23" s="873"/>
      <c r="G23" s="873"/>
      <c r="H23" s="873"/>
      <c r="I23" s="873"/>
      <c r="J23" s="873"/>
      <c r="K23" s="873"/>
      <c r="L23" s="873"/>
      <c r="M23" s="661">
        <f t="shared" si="5"/>
        <v>0</v>
      </c>
      <c r="N23" s="875"/>
      <c r="O23" s="873"/>
      <c r="P23" s="556">
        <f t="shared" si="1"/>
        <v>0</v>
      </c>
      <c r="Q23" s="578">
        <f t="shared" si="2"/>
        <v>0</v>
      </c>
      <c r="R23" s="579">
        <f t="shared" si="3"/>
        <v>0</v>
      </c>
      <c r="S23" s="578"/>
      <c r="T23" s="592">
        <f t="shared" si="6"/>
        <v>0</v>
      </c>
      <c r="U23" s="581" t="s">
        <v>662</v>
      </c>
    </row>
    <row r="24" spans="1:22" ht="15" hidden="1" customHeight="1">
      <c r="A24" s="576">
        <f t="shared" si="7"/>
        <v>11</v>
      </c>
      <c r="B24" s="1000"/>
      <c r="C24" s="873"/>
      <c r="D24" s="873"/>
      <c r="E24" s="873"/>
      <c r="F24" s="873"/>
      <c r="G24" s="873"/>
      <c r="H24" s="873"/>
      <c r="I24" s="873"/>
      <c r="J24" s="873"/>
      <c r="K24" s="873"/>
      <c r="L24" s="873"/>
      <c r="M24" s="661">
        <f t="shared" si="5"/>
        <v>0</v>
      </c>
      <c r="N24" s="875"/>
      <c r="O24" s="873"/>
      <c r="P24" s="556">
        <f t="shared" si="1"/>
        <v>0</v>
      </c>
      <c r="Q24" s="578">
        <f t="shared" si="2"/>
        <v>0</v>
      </c>
      <c r="R24" s="579">
        <f t="shared" si="3"/>
        <v>0</v>
      </c>
      <c r="S24" s="578"/>
      <c r="T24" s="592">
        <f t="shared" si="6"/>
        <v>0</v>
      </c>
      <c r="U24" s="581" t="s">
        <v>662</v>
      </c>
    </row>
    <row r="25" spans="1:22" ht="15" hidden="1" customHeight="1">
      <c r="A25" s="576">
        <f t="shared" si="7"/>
        <v>12</v>
      </c>
      <c r="B25" s="1000"/>
      <c r="C25" s="873"/>
      <c r="D25" s="873"/>
      <c r="E25" s="873"/>
      <c r="F25" s="873"/>
      <c r="G25" s="873"/>
      <c r="H25" s="873"/>
      <c r="I25" s="873"/>
      <c r="J25" s="873"/>
      <c r="K25" s="873"/>
      <c r="L25" s="873"/>
      <c r="M25" s="661">
        <f t="shared" si="5"/>
        <v>0</v>
      </c>
      <c r="N25" s="875"/>
      <c r="O25" s="873"/>
      <c r="P25" s="556">
        <f t="shared" si="1"/>
        <v>0</v>
      </c>
      <c r="Q25" s="578">
        <f t="shared" si="2"/>
        <v>0</v>
      </c>
      <c r="R25" s="579">
        <f t="shared" si="3"/>
        <v>0</v>
      </c>
      <c r="S25" s="578"/>
      <c r="T25" s="592">
        <f t="shared" si="6"/>
        <v>0</v>
      </c>
      <c r="U25" s="581" t="s">
        <v>662</v>
      </c>
    </row>
    <row r="26" spans="1:22" ht="15" hidden="1" customHeight="1">
      <c r="A26" s="576">
        <f t="shared" si="7"/>
        <v>13</v>
      </c>
      <c r="B26" s="1000"/>
      <c r="C26" s="873"/>
      <c r="D26" s="873"/>
      <c r="E26" s="873"/>
      <c r="F26" s="873"/>
      <c r="G26" s="873"/>
      <c r="H26" s="873"/>
      <c r="I26" s="873"/>
      <c r="J26" s="873"/>
      <c r="K26" s="873"/>
      <c r="L26" s="873"/>
      <c r="M26" s="661">
        <f t="shared" si="5"/>
        <v>0</v>
      </c>
      <c r="N26" s="875"/>
      <c r="O26" s="873"/>
      <c r="P26" s="556">
        <f t="shared" si="1"/>
        <v>0</v>
      </c>
      <c r="Q26" s="578">
        <f t="shared" si="2"/>
        <v>0</v>
      </c>
      <c r="R26" s="579">
        <f t="shared" si="3"/>
        <v>0</v>
      </c>
      <c r="S26" s="578"/>
      <c r="T26" s="592">
        <f t="shared" si="6"/>
        <v>0</v>
      </c>
      <c r="U26" s="581" t="s">
        <v>662</v>
      </c>
    </row>
    <row r="27" spans="1:22" ht="15" hidden="1" customHeight="1">
      <c r="A27" s="576">
        <f t="shared" si="7"/>
        <v>14</v>
      </c>
      <c r="B27" s="1000"/>
      <c r="C27" s="873"/>
      <c r="D27" s="873"/>
      <c r="E27" s="873"/>
      <c r="F27" s="873"/>
      <c r="G27" s="873"/>
      <c r="H27" s="873"/>
      <c r="I27" s="873"/>
      <c r="J27" s="873"/>
      <c r="K27" s="873"/>
      <c r="L27" s="873"/>
      <c r="M27" s="661">
        <f t="shared" si="5"/>
        <v>0</v>
      </c>
      <c r="N27" s="875"/>
      <c r="O27" s="873"/>
      <c r="P27" s="556">
        <f t="shared" si="1"/>
        <v>0</v>
      </c>
      <c r="Q27" s="578">
        <f t="shared" si="2"/>
        <v>0</v>
      </c>
      <c r="R27" s="579">
        <f t="shared" si="3"/>
        <v>0</v>
      </c>
      <c r="S27" s="578"/>
      <c r="T27" s="592">
        <f t="shared" si="6"/>
        <v>0</v>
      </c>
      <c r="U27" s="581" t="s">
        <v>662</v>
      </c>
    </row>
    <row r="28" spans="1:22" ht="15" hidden="1" customHeight="1">
      <c r="A28" s="576">
        <f t="shared" si="7"/>
        <v>15</v>
      </c>
      <c r="B28" s="1000"/>
      <c r="C28" s="873"/>
      <c r="D28" s="873"/>
      <c r="E28" s="873"/>
      <c r="F28" s="873"/>
      <c r="G28" s="873"/>
      <c r="H28" s="873"/>
      <c r="I28" s="873"/>
      <c r="J28" s="873"/>
      <c r="K28" s="873"/>
      <c r="L28" s="873"/>
      <c r="M28" s="661">
        <f t="shared" si="5"/>
        <v>0</v>
      </c>
      <c r="N28" s="875"/>
      <c r="O28" s="873"/>
      <c r="P28" s="556">
        <f t="shared" si="1"/>
        <v>0</v>
      </c>
      <c r="Q28" s="578">
        <f t="shared" si="2"/>
        <v>0</v>
      </c>
      <c r="R28" s="579">
        <f t="shared" si="3"/>
        <v>0</v>
      </c>
      <c r="S28" s="578"/>
      <c r="T28" s="592">
        <f t="shared" si="6"/>
        <v>0</v>
      </c>
      <c r="U28" s="581" t="s">
        <v>662</v>
      </c>
    </row>
    <row r="29" spans="1:22" ht="31.2">
      <c r="A29" s="576" t="e">
        <f>#REF!+1</f>
        <v>#REF!</v>
      </c>
      <c r="B29" s="569" t="s">
        <v>680</v>
      </c>
      <c r="C29" s="661"/>
      <c r="D29" s="661"/>
      <c r="E29" s="661"/>
      <c r="F29" s="661"/>
      <c r="G29" s="661"/>
      <c r="H29" s="661"/>
      <c r="I29" s="661"/>
      <c r="J29" s="661"/>
      <c r="K29" s="661">
        <v>1</v>
      </c>
      <c r="L29" s="661"/>
      <c r="M29" s="661">
        <f t="shared" si="5"/>
        <v>1</v>
      </c>
      <c r="N29" s="582">
        <v>700000</v>
      </c>
      <c r="O29" s="663">
        <f t="shared" ref="O29:O52" si="8">N29*M29</f>
        <v>700000</v>
      </c>
      <c r="P29" s="556">
        <f t="shared" si="1"/>
        <v>700000</v>
      </c>
      <c r="Q29" s="578">
        <f t="shared" si="2"/>
        <v>0</v>
      </c>
      <c r="R29" s="579">
        <f>O29/87</f>
        <v>8045.977011494253</v>
      </c>
      <c r="S29" s="579">
        <f>N29/83.42042542</f>
        <v>8391.2302829394994</v>
      </c>
      <c r="T29" s="580">
        <f>M29*S29</f>
        <v>8391.2302829394994</v>
      </c>
      <c r="U29" s="581" t="s">
        <v>662</v>
      </c>
    </row>
    <row r="30" spans="1:22" ht="31.2">
      <c r="A30" s="576" t="e">
        <f t="shared" si="7"/>
        <v>#REF!</v>
      </c>
      <c r="B30" s="569" t="s">
        <v>681</v>
      </c>
      <c r="C30" s="661">
        <v>4</v>
      </c>
      <c r="D30" s="661">
        <v>2</v>
      </c>
      <c r="E30" s="661">
        <v>2</v>
      </c>
      <c r="F30" s="661"/>
      <c r="G30" s="661">
        <v>1</v>
      </c>
      <c r="H30" s="661"/>
      <c r="I30" s="661"/>
      <c r="J30" s="661"/>
      <c r="K30" s="661"/>
      <c r="L30" s="661">
        <v>1</v>
      </c>
      <c r="M30" s="661">
        <v>8</v>
      </c>
      <c r="N30" s="591">
        <v>155000</v>
      </c>
      <c r="O30" s="663">
        <f t="shared" si="8"/>
        <v>1240000</v>
      </c>
      <c r="P30" s="556">
        <f t="shared" si="1"/>
        <v>1240000</v>
      </c>
      <c r="Q30" s="578">
        <f t="shared" si="2"/>
        <v>0</v>
      </c>
      <c r="R30" s="579">
        <f t="shared" si="3"/>
        <v>14252.873563218391</v>
      </c>
      <c r="S30" s="579">
        <f>N30/83.42042542</f>
        <v>1858.0581340794606</v>
      </c>
      <c r="T30" s="580">
        <f>M30*S30</f>
        <v>14864.465072635685</v>
      </c>
      <c r="U30" s="581" t="s">
        <v>662</v>
      </c>
    </row>
    <row r="31" spans="1:22" ht="15.6">
      <c r="A31" s="576" t="e">
        <f t="shared" si="7"/>
        <v>#REF!</v>
      </c>
      <c r="B31" s="569" t="s">
        <v>682</v>
      </c>
      <c r="C31" s="661"/>
      <c r="D31" s="661">
        <v>2</v>
      </c>
      <c r="E31" s="661"/>
      <c r="F31" s="661"/>
      <c r="G31" s="661"/>
      <c r="H31" s="661"/>
      <c r="I31" s="661"/>
      <c r="J31" s="661"/>
      <c r="K31" s="661">
        <v>2</v>
      </c>
      <c r="L31" s="661"/>
      <c r="M31" s="661">
        <f t="shared" si="5"/>
        <v>4</v>
      </c>
      <c r="N31" s="591">
        <v>150000</v>
      </c>
      <c r="O31" s="663">
        <f t="shared" si="8"/>
        <v>600000</v>
      </c>
      <c r="P31" s="556">
        <f t="shared" si="1"/>
        <v>600000</v>
      </c>
      <c r="Q31" s="578">
        <f t="shared" si="2"/>
        <v>0</v>
      </c>
      <c r="R31" s="579">
        <f t="shared" si="3"/>
        <v>6896.5517241379312</v>
      </c>
      <c r="S31" s="579">
        <f>N31/83.42042542</f>
        <v>1798.1207749156069</v>
      </c>
      <c r="T31" s="580">
        <f>M31*S31</f>
        <v>7192.4830996624278</v>
      </c>
      <c r="U31" s="581" t="s">
        <v>662</v>
      </c>
    </row>
    <row r="32" spans="1:22" s="374" customFormat="1" ht="43.2">
      <c r="A32" s="670">
        <v>15</v>
      </c>
      <c r="B32" s="671" t="s">
        <v>683</v>
      </c>
      <c r="C32" s="672">
        <v>6</v>
      </c>
      <c r="D32" s="672"/>
      <c r="E32" s="672">
        <v>3</v>
      </c>
      <c r="F32" s="672"/>
      <c r="G32" s="672"/>
      <c r="H32" s="672"/>
      <c r="I32" s="672">
        <v>1</v>
      </c>
      <c r="J32" s="672">
        <v>1</v>
      </c>
      <c r="K32" s="672">
        <v>1</v>
      </c>
      <c r="L32" s="672">
        <v>1</v>
      </c>
      <c r="M32" s="672">
        <v>4</v>
      </c>
      <c r="N32" s="673">
        <v>120000</v>
      </c>
      <c r="O32" s="679">
        <f t="shared" si="8"/>
        <v>480000</v>
      </c>
      <c r="P32" s="374">
        <f t="shared" si="1"/>
        <v>480000</v>
      </c>
      <c r="Q32" s="674">
        <f t="shared" si="2"/>
        <v>0</v>
      </c>
      <c r="R32" s="675">
        <f t="shared" si="3"/>
        <v>5517.2413793103451</v>
      </c>
      <c r="S32" s="674">
        <f>150+1447</f>
        <v>1597</v>
      </c>
      <c r="T32" s="676">
        <f t="shared" ref="T32:T52" si="9">M32*S32</f>
        <v>6388</v>
      </c>
      <c r="U32" s="677" t="s">
        <v>684</v>
      </c>
    </row>
    <row r="33" spans="1:21" s="374" customFormat="1" ht="15.6">
      <c r="A33" s="670">
        <v>17</v>
      </c>
      <c r="B33" s="671" t="s">
        <v>685</v>
      </c>
      <c r="C33" s="672"/>
      <c r="D33" s="672"/>
      <c r="E33" s="672"/>
      <c r="F33" s="672"/>
      <c r="G33" s="672"/>
      <c r="H33" s="672">
        <v>3</v>
      </c>
      <c r="I33" s="672">
        <v>2</v>
      </c>
      <c r="J33" s="672">
        <v>2</v>
      </c>
      <c r="K33" s="672">
        <v>4</v>
      </c>
      <c r="L33" s="672"/>
      <c r="M33" s="672">
        <f t="shared" si="5"/>
        <v>11</v>
      </c>
      <c r="N33" s="673">
        <v>50000</v>
      </c>
      <c r="O33" s="679">
        <f t="shared" si="8"/>
        <v>550000</v>
      </c>
      <c r="P33" s="374">
        <f t="shared" si="1"/>
        <v>550000</v>
      </c>
      <c r="Q33" s="674">
        <f t="shared" si="2"/>
        <v>0</v>
      </c>
      <c r="R33" s="675">
        <f t="shared" si="3"/>
        <v>6321.8390804597702</v>
      </c>
      <c r="S33" s="675">
        <f>N33/83.42042542</f>
        <v>599.37359163853569</v>
      </c>
      <c r="T33" s="676">
        <f t="shared" si="9"/>
        <v>6593.1095080238929</v>
      </c>
      <c r="U33" s="677" t="s">
        <v>662</v>
      </c>
    </row>
    <row r="34" spans="1:21" s="374" customFormat="1" ht="15.6">
      <c r="A34" s="670">
        <v>18</v>
      </c>
      <c r="B34" s="671" t="s">
        <v>686</v>
      </c>
      <c r="C34" s="672"/>
      <c r="D34" s="672"/>
      <c r="E34" s="672"/>
      <c r="F34" s="672"/>
      <c r="G34" s="672"/>
      <c r="H34" s="672">
        <v>4</v>
      </c>
      <c r="I34" s="672">
        <v>4</v>
      </c>
      <c r="J34" s="672">
        <v>6</v>
      </c>
      <c r="K34" s="672">
        <v>6</v>
      </c>
      <c r="L34" s="672"/>
      <c r="M34" s="672">
        <f t="shared" si="5"/>
        <v>20</v>
      </c>
      <c r="N34" s="673">
        <v>8000</v>
      </c>
      <c r="O34" s="679">
        <f t="shared" si="8"/>
        <v>160000</v>
      </c>
      <c r="P34" s="374">
        <f t="shared" si="1"/>
        <v>160000</v>
      </c>
      <c r="Q34" s="674">
        <f t="shared" si="2"/>
        <v>0</v>
      </c>
      <c r="R34" s="675">
        <f t="shared" si="3"/>
        <v>1839.0804597701149</v>
      </c>
      <c r="S34" s="675">
        <f>N34/83.42042542</f>
        <v>95.899774662165711</v>
      </c>
      <c r="T34" s="676">
        <f t="shared" si="9"/>
        <v>1917.9954932433143</v>
      </c>
      <c r="U34" s="677" t="s">
        <v>662</v>
      </c>
    </row>
    <row r="35" spans="1:21" s="374" customFormat="1" ht="28.8">
      <c r="A35" s="670">
        <v>19</v>
      </c>
      <c r="B35" s="680" t="s">
        <v>826</v>
      </c>
      <c r="C35" s="674"/>
      <c r="D35" s="674"/>
      <c r="E35" s="674">
        <v>6</v>
      </c>
      <c r="F35" s="674"/>
      <c r="G35" s="674"/>
      <c r="H35" s="674"/>
      <c r="I35" s="674"/>
      <c r="J35" s="674"/>
      <c r="K35" s="674"/>
      <c r="L35" s="674"/>
      <c r="M35" s="672">
        <v>3</v>
      </c>
      <c r="N35" s="681">
        <v>158000</v>
      </c>
      <c r="O35" s="679">
        <f t="shared" si="8"/>
        <v>474000</v>
      </c>
      <c r="P35" s="374">
        <f t="shared" si="1"/>
        <v>474000</v>
      </c>
      <c r="Q35" s="674">
        <f t="shared" si="2"/>
        <v>0</v>
      </c>
      <c r="R35" s="675">
        <f t="shared" si="3"/>
        <v>5448.2758620689656</v>
      </c>
      <c r="S35" s="674">
        <v>1739</v>
      </c>
      <c r="T35" s="676">
        <f t="shared" si="9"/>
        <v>5217</v>
      </c>
      <c r="U35" s="677" t="s">
        <v>687</v>
      </c>
    </row>
    <row r="36" spans="1:21" s="374" customFormat="1" ht="43.2">
      <c r="A36" s="670">
        <v>20</v>
      </c>
      <c r="B36" s="671" t="s">
        <v>688</v>
      </c>
      <c r="C36" s="672"/>
      <c r="D36" s="672"/>
      <c r="E36" s="672"/>
      <c r="F36" s="672"/>
      <c r="G36" s="672"/>
      <c r="H36" s="672"/>
      <c r="I36" s="672">
        <v>2</v>
      </c>
      <c r="J36" s="672">
        <v>1</v>
      </c>
      <c r="K36" s="672">
        <v>2</v>
      </c>
      <c r="L36" s="672"/>
      <c r="M36" s="672">
        <f t="shared" si="5"/>
        <v>5</v>
      </c>
      <c r="N36" s="682">
        <v>30000</v>
      </c>
      <c r="O36" s="679">
        <f t="shared" si="8"/>
        <v>150000</v>
      </c>
      <c r="P36" s="374">
        <f t="shared" si="1"/>
        <v>150000</v>
      </c>
      <c r="Q36" s="674">
        <f t="shared" si="2"/>
        <v>0</v>
      </c>
      <c r="R36" s="675">
        <f t="shared" si="3"/>
        <v>1724.1379310344828</v>
      </c>
      <c r="S36" s="674">
        <v>350.77600000000001</v>
      </c>
      <c r="T36" s="676">
        <f t="shared" si="9"/>
        <v>1753.88</v>
      </c>
      <c r="U36" s="677" t="s">
        <v>689</v>
      </c>
    </row>
    <row r="37" spans="1:21" s="374" customFormat="1" ht="15.6">
      <c r="A37" s="670">
        <v>0</v>
      </c>
      <c r="B37" s="671" t="s">
        <v>690</v>
      </c>
      <c r="C37" s="672"/>
      <c r="D37" s="672"/>
      <c r="E37" s="672">
        <v>1</v>
      </c>
      <c r="F37" s="672"/>
      <c r="G37" s="672"/>
      <c r="H37" s="672"/>
      <c r="I37" s="672">
        <v>1</v>
      </c>
      <c r="J37" s="672"/>
      <c r="K37" s="672">
        <v>1</v>
      </c>
      <c r="L37" s="672"/>
      <c r="M37" s="672">
        <f t="shared" si="5"/>
        <v>3</v>
      </c>
      <c r="N37" s="682">
        <v>65000</v>
      </c>
      <c r="O37" s="679">
        <f t="shared" si="8"/>
        <v>195000</v>
      </c>
      <c r="P37" s="374">
        <f t="shared" si="1"/>
        <v>195000</v>
      </c>
      <c r="Q37" s="674">
        <f t="shared" si="2"/>
        <v>0</v>
      </c>
      <c r="R37" s="675">
        <f t="shared" si="3"/>
        <v>2241.3793103448274</v>
      </c>
      <c r="S37" s="674">
        <v>1446</v>
      </c>
      <c r="T37" s="676">
        <f t="shared" si="9"/>
        <v>4338</v>
      </c>
      <c r="U37" s="677" t="s">
        <v>691</v>
      </c>
    </row>
    <row r="38" spans="1:21" ht="15.6">
      <c r="A38" s="576">
        <v>22</v>
      </c>
      <c r="B38" s="569" t="s">
        <v>692</v>
      </c>
      <c r="C38" s="661"/>
      <c r="D38" s="661"/>
      <c r="E38" s="661"/>
      <c r="F38" s="661">
        <v>1</v>
      </c>
      <c r="G38" s="661"/>
      <c r="H38" s="661">
        <v>3</v>
      </c>
      <c r="I38" s="661"/>
      <c r="J38" s="661"/>
      <c r="K38" s="661"/>
      <c r="L38" s="661">
        <v>2</v>
      </c>
      <c r="M38" s="661">
        <v>8</v>
      </c>
      <c r="N38" s="662">
        <v>25000</v>
      </c>
      <c r="O38" s="663">
        <f t="shared" si="8"/>
        <v>200000</v>
      </c>
      <c r="P38" s="556">
        <f t="shared" si="1"/>
        <v>200000</v>
      </c>
      <c r="Q38" s="578">
        <v>0</v>
      </c>
      <c r="R38" s="579">
        <f t="shared" si="3"/>
        <v>2298.8505747126437</v>
      </c>
      <c r="S38" s="578">
        <v>162.1</v>
      </c>
      <c r="T38" s="592">
        <f t="shared" si="9"/>
        <v>1296.8</v>
      </c>
      <c r="U38" s="581" t="s">
        <v>662</v>
      </c>
    </row>
    <row r="39" spans="1:21" ht="15.6">
      <c r="A39" s="576">
        <v>23</v>
      </c>
      <c r="B39" s="569" t="s">
        <v>693</v>
      </c>
      <c r="C39" s="661"/>
      <c r="D39" s="661"/>
      <c r="E39" s="661"/>
      <c r="F39" s="661"/>
      <c r="G39" s="661"/>
      <c r="H39" s="661"/>
      <c r="I39" s="661"/>
      <c r="J39" s="661"/>
      <c r="K39" s="661"/>
      <c r="L39" s="661">
        <v>2</v>
      </c>
      <c r="M39" s="661">
        <v>4</v>
      </c>
      <c r="N39" s="662">
        <v>25000</v>
      </c>
      <c r="O39" s="663">
        <f t="shared" si="8"/>
        <v>100000</v>
      </c>
      <c r="P39" s="556">
        <f t="shared" si="1"/>
        <v>100000</v>
      </c>
      <c r="Q39" s="578">
        <v>0</v>
      </c>
      <c r="R39" s="579">
        <f t="shared" si="3"/>
        <v>1149.4252873563219</v>
      </c>
      <c r="S39" s="578">
        <v>109.9</v>
      </c>
      <c r="T39" s="592">
        <f t="shared" si="9"/>
        <v>439.6</v>
      </c>
      <c r="U39" s="581" t="s">
        <v>662</v>
      </c>
    </row>
    <row r="40" spans="1:21" ht="15.6">
      <c r="A40" s="576">
        <v>24</v>
      </c>
      <c r="B40" s="569" t="s">
        <v>694</v>
      </c>
      <c r="C40" s="661"/>
      <c r="D40" s="661"/>
      <c r="E40" s="661"/>
      <c r="F40" s="661">
        <v>1</v>
      </c>
      <c r="G40" s="661"/>
      <c r="H40" s="661">
        <v>2</v>
      </c>
      <c r="I40" s="661"/>
      <c r="J40" s="661"/>
      <c r="K40" s="661"/>
      <c r="L40" s="661"/>
      <c r="M40" s="661">
        <v>7</v>
      </c>
      <c r="N40" s="662">
        <v>8000</v>
      </c>
      <c r="O40" s="663">
        <f t="shared" si="8"/>
        <v>56000</v>
      </c>
      <c r="P40" s="556">
        <f t="shared" si="1"/>
        <v>56000</v>
      </c>
      <c r="Q40" s="578">
        <v>0</v>
      </c>
      <c r="R40" s="579">
        <f t="shared" si="3"/>
        <v>643.67816091954023</v>
      </c>
      <c r="S40" s="578">
        <v>88.4</v>
      </c>
      <c r="T40" s="592">
        <f t="shared" si="9"/>
        <v>618.80000000000007</v>
      </c>
      <c r="U40" s="581" t="s">
        <v>662</v>
      </c>
    </row>
    <row r="41" spans="1:21" ht="15.6">
      <c r="A41" s="576">
        <v>25</v>
      </c>
      <c r="B41" s="569" t="s">
        <v>695</v>
      </c>
      <c r="C41" s="661"/>
      <c r="D41" s="661"/>
      <c r="E41" s="661"/>
      <c r="F41" s="661">
        <v>1</v>
      </c>
      <c r="G41" s="661"/>
      <c r="H41" s="661">
        <v>3</v>
      </c>
      <c r="I41" s="661"/>
      <c r="J41" s="661"/>
      <c r="K41" s="661"/>
      <c r="L41" s="661"/>
      <c r="M41" s="661">
        <v>11</v>
      </c>
      <c r="N41" s="662">
        <v>8000</v>
      </c>
      <c r="O41" s="663">
        <f t="shared" si="8"/>
        <v>88000</v>
      </c>
      <c r="P41" s="556">
        <f t="shared" si="1"/>
        <v>88000</v>
      </c>
      <c r="Q41" s="578">
        <v>0</v>
      </c>
      <c r="R41" s="579">
        <f t="shared" si="3"/>
        <v>1011.4942528735633</v>
      </c>
      <c r="S41" s="578">
        <v>110.2</v>
      </c>
      <c r="T41" s="592">
        <f t="shared" si="9"/>
        <v>1212.2</v>
      </c>
      <c r="U41" s="581" t="s">
        <v>662</v>
      </c>
    </row>
    <row r="42" spans="1:21" ht="15.6">
      <c r="A42" s="576">
        <v>26</v>
      </c>
      <c r="B42" s="569" t="s">
        <v>696</v>
      </c>
      <c r="C42" s="661"/>
      <c r="D42" s="661"/>
      <c r="E42" s="661"/>
      <c r="F42" s="661"/>
      <c r="G42" s="661"/>
      <c r="H42" s="661">
        <v>2</v>
      </c>
      <c r="I42" s="661"/>
      <c r="J42" s="661"/>
      <c r="K42" s="661"/>
      <c r="L42" s="661"/>
      <c r="M42" s="661">
        <f t="shared" si="5"/>
        <v>2</v>
      </c>
      <c r="N42" s="662">
        <v>8000</v>
      </c>
      <c r="O42" s="663">
        <f t="shared" si="8"/>
        <v>16000</v>
      </c>
      <c r="P42" s="556">
        <f t="shared" si="1"/>
        <v>16000</v>
      </c>
      <c r="Q42" s="578">
        <v>0</v>
      </c>
      <c r="R42" s="579">
        <f t="shared" si="3"/>
        <v>183.90804597701148</v>
      </c>
      <c r="S42" s="578">
        <v>108.1</v>
      </c>
      <c r="T42" s="592">
        <f t="shared" si="9"/>
        <v>216.2</v>
      </c>
      <c r="U42" s="581" t="s">
        <v>662</v>
      </c>
    </row>
    <row r="43" spans="1:21" ht="15.6">
      <c r="A43" s="576">
        <v>27</v>
      </c>
      <c r="B43" s="569" t="s">
        <v>828</v>
      </c>
      <c r="C43" s="661">
        <v>2</v>
      </c>
      <c r="D43" s="661"/>
      <c r="E43" s="661"/>
      <c r="F43" s="661"/>
      <c r="G43" s="661"/>
      <c r="H43" s="661"/>
      <c r="I43" s="661"/>
      <c r="J43" s="661"/>
      <c r="K43" s="661"/>
      <c r="L43" s="661"/>
      <c r="M43" s="661">
        <f t="shared" si="5"/>
        <v>2</v>
      </c>
      <c r="N43" s="662">
        <v>20000</v>
      </c>
      <c r="O43" s="663">
        <f t="shared" si="8"/>
        <v>40000</v>
      </c>
      <c r="P43" s="556">
        <f t="shared" si="1"/>
        <v>40000</v>
      </c>
      <c r="Q43" s="578">
        <v>0</v>
      </c>
      <c r="R43" s="579">
        <f t="shared" si="3"/>
        <v>459.77011494252872</v>
      </c>
      <c r="S43" s="578">
        <v>178.57</v>
      </c>
      <c r="T43" s="592">
        <f t="shared" si="9"/>
        <v>357.14</v>
      </c>
      <c r="U43" s="581" t="s">
        <v>662</v>
      </c>
    </row>
    <row r="44" spans="1:21" ht="15.6">
      <c r="A44" s="576">
        <v>28</v>
      </c>
      <c r="B44" s="569" t="s">
        <v>697</v>
      </c>
      <c r="C44" s="661">
        <v>1</v>
      </c>
      <c r="D44" s="661"/>
      <c r="E44" s="661">
        <v>2</v>
      </c>
      <c r="F44" s="661"/>
      <c r="G44" s="661"/>
      <c r="H44" s="661"/>
      <c r="I44" s="661">
        <v>1</v>
      </c>
      <c r="J44" s="661"/>
      <c r="K44" s="661"/>
      <c r="L44" s="661"/>
      <c r="M44" s="661">
        <f t="shared" si="5"/>
        <v>4</v>
      </c>
      <c r="N44" s="591">
        <v>50000</v>
      </c>
      <c r="O44" s="663">
        <f t="shared" si="8"/>
        <v>200000</v>
      </c>
      <c r="P44" s="556">
        <f t="shared" si="1"/>
        <v>200000</v>
      </c>
      <c r="Q44" s="578">
        <f t="shared" si="2"/>
        <v>0</v>
      </c>
      <c r="R44" s="579">
        <f t="shared" si="3"/>
        <v>2298.8505747126437</v>
      </c>
      <c r="S44" s="578">
        <v>488.1</v>
      </c>
      <c r="T44" s="592">
        <f t="shared" si="9"/>
        <v>1952.4</v>
      </c>
      <c r="U44" s="581" t="s">
        <v>698</v>
      </c>
    </row>
    <row r="45" spans="1:21" s="374" customFormat="1" ht="86.4">
      <c r="A45" s="670">
        <v>29</v>
      </c>
      <c r="B45" s="671" t="s">
        <v>699</v>
      </c>
      <c r="C45" s="672"/>
      <c r="D45" s="672"/>
      <c r="E45" s="672"/>
      <c r="F45" s="672"/>
      <c r="G45" s="672"/>
      <c r="H45" s="672"/>
      <c r="I45" s="672">
        <v>1</v>
      </c>
      <c r="J45" s="672"/>
      <c r="K45" s="672"/>
      <c r="L45" s="672"/>
      <c r="M45" s="672">
        <f t="shared" si="5"/>
        <v>1</v>
      </c>
      <c r="N45" s="673">
        <v>20000</v>
      </c>
      <c r="O45" s="679">
        <f t="shared" si="8"/>
        <v>20000</v>
      </c>
      <c r="P45" s="374">
        <f t="shared" si="1"/>
        <v>20000</v>
      </c>
      <c r="Q45" s="674">
        <f t="shared" si="2"/>
        <v>0</v>
      </c>
      <c r="R45" s="675">
        <f t="shared" si="3"/>
        <v>229.88505747126436</v>
      </c>
      <c r="S45" s="675">
        <f>13921/83.42042542</f>
        <v>166.8775953840011</v>
      </c>
      <c r="T45" s="685">
        <f t="shared" si="9"/>
        <v>166.8775953840011</v>
      </c>
      <c r="U45" s="686" t="s">
        <v>700</v>
      </c>
    </row>
    <row r="46" spans="1:21" s="374" customFormat="1" ht="28.8">
      <c r="A46" s="670">
        <v>30</v>
      </c>
      <c r="B46" s="671" t="s">
        <v>701</v>
      </c>
      <c r="C46" s="672"/>
      <c r="D46" s="672"/>
      <c r="E46" s="672">
        <v>10</v>
      </c>
      <c r="F46" s="672"/>
      <c r="G46" s="672"/>
      <c r="H46" s="672"/>
      <c r="I46" s="672"/>
      <c r="J46" s="672"/>
      <c r="K46" s="672"/>
      <c r="L46" s="672">
        <v>1</v>
      </c>
      <c r="M46" s="672">
        <v>6</v>
      </c>
      <c r="N46" s="673">
        <v>15000</v>
      </c>
      <c r="O46" s="679">
        <f t="shared" si="8"/>
        <v>90000</v>
      </c>
      <c r="P46" s="374">
        <f>M46*N46</f>
        <v>90000</v>
      </c>
      <c r="Q46" s="674">
        <f t="shared" si="2"/>
        <v>0</v>
      </c>
      <c r="R46" s="675">
        <f t="shared" si="3"/>
        <v>1034.4827586206898</v>
      </c>
      <c r="S46" s="674">
        <v>98</v>
      </c>
      <c r="T46" s="685">
        <f t="shared" si="9"/>
        <v>588</v>
      </c>
      <c r="U46" s="686" t="s">
        <v>702</v>
      </c>
    </row>
    <row r="47" spans="1:21" ht="15.6">
      <c r="A47" s="576">
        <v>31</v>
      </c>
      <c r="B47" s="569" t="s">
        <v>703</v>
      </c>
      <c r="C47" s="661">
        <v>16</v>
      </c>
      <c r="D47" s="661"/>
      <c r="E47" s="661">
        <v>10</v>
      </c>
      <c r="F47" s="661"/>
      <c r="G47" s="661"/>
      <c r="H47" s="661"/>
      <c r="I47" s="661"/>
      <c r="J47" s="661"/>
      <c r="K47" s="661"/>
      <c r="L47" s="661">
        <v>8</v>
      </c>
      <c r="M47" s="661">
        <f t="shared" si="5"/>
        <v>34</v>
      </c>
      <c r="N47" s="662">
        <v>3000</v>
      </c>
      <c r="O47" s="663">
        <f t="shared" si="8"/>
        <v>102000</v>
      </c>
      <c r="P47" s="556">
        <f t="shared" si="1"/>
        <v>102000</v>
      </c>
      <c r="Q47" s="578">
        <f t="shared" si="2"/>
        <v>0</v>
      </c>
      <c r="R47" s="579">
        <f t="shared" si="3"/>
        <v>1172.4137931034484</v>
      </c>
      <c r="S47" s="578">
        <v>50</v>
      </c>
      <c r="T47" s="580">
        <f t="shared" si="9"/>
        <v>1700</v>
      </c>
      <c r="U47" s="581" t="s">
        <v>662</v>
      </c>
    </row>
    <row r="48" spans="1:21" s="374" customFormat="1" ht="15.6">
      <c r="A48" s="670">
        <v>32</v>
      </c>
      <c r="B48" s="671" t="s">
        <v>704</v>
      </c>
      <c r="C48" s="672">
        <v>3</v>
      </c>
      <c r="D48" s="672"/>
      <c r="E48" s="672"/>
      <c r="F48" s="672"/>
      <c r="G48" s="672"/>
      <c r="H48" s="672"/>
      <c r="I48" s="672"/>
      <c r="J48" s="672"/>
      <c r="K48" s="672"/>
      <c r="L48" s="672"/>
      <c r="M48" s="672">
        <f t="shared" si="5"/>
        <v>3</v>
      </c>
      <c r="N48" s="673">
        <v>50000</v>
      </c>
      <c r="O48" s="679">
        <f t="shared" si="8"/>
        <v>150000</v>
      </c>
      <c r="P48" s="374">
        <f t="shared" si="1"/>
        <v>150000</v>
      </c>
      <c r="Q48" s="674">
        <f t="shared" si="2"/>
        <v>0</v>
      </c>
      <c r="R48" s="675">
        <f t="shared" si="3"/>
        <v>1724.1379310344828</v>
      </c>
      <c r="S48" s="674">
        <v>425</v>
      </c>
      <c r="T48" s="685">
        <f t="shared" si="9"/>
        <v>1275</v>
      </c>
      <c r="U48" s="677" t="s">
        <v>691</v>
      </c>
    </row>
    <row r="49" spans="1:21" ht="15.6">
      <c r="A49" s="569">
        <v>35</v>
      </c>
      <c r="B49" s="596" t="s">
        <v>810</v>
      </c>
      <c r="C49" s="569"/>
      <c r="D49" s="569"/>
      <c r="E49" s="569">
        <v>10</v>
      </c>
      <c r="F49" s="569"/>
      <c r="G49" s="569"/>
      <c r="H49" s="569"/>
      <c r="I49" s="569"/>
      <c r="J49" s="569"/>
      <c r="K49" s="569"/>
      <c r="L49" s="569"/>
      <c r="M49" s="661">
        <v>5</v>
      </c>
      <c r="N49" s="595">
        <v>8000</v>
      </c>
      <c r="O49" s="663">
        <f t="shared" si="8"/>
        <v>40000</v>
      </c>
      <c r="P49" s="556">
        <f t="shared" si="1"/>
        <v>40000</v>
      </c>
      <c r="Q49" s="578">
        <f t="shared" si="2"/>
        <v>0</v>
      </c>
      <c r="R49" s="579">
        <f t="shared" si="3"/>
        <v>459.77011494252872</v>
      </c>
      <c r="S49" s="578">
        <v>291.60000000000002</v>
      </c>
      <c r="T49" s="580">
        <f t="shared" si="9"/>
        <v>1458</v>
      </c>
      <c r="U49" s="581" t="s">
        <v>662</v>
      </c>
    </row>
    <row r="50" spans="1:21" ht="15.6">
      <c r="A50" s="569">
        <v>36</v>
      </c>
      <c r="B50" s="569" t="s">
        <v>708</v>
      </c>
      <c r="C50" s="569"/>
      <c r="D50" s="569"/>
      <c r="E50" s="569">
        <v>1</v>
      </c>
      <c r="F50" s="569"/>
      <c r="G50" s="569"/>
      <c r="H50" s="569"/>
      <c r="I50" s="569"/>
      <c r="J50" s="569"/>
      <c r="K50" s="569"/>
      <c r="L50" s="569"/>
      <c r="M50" s="661">
        <v>2</v>
      </c>
      <c r="N50" s="595">
        <v>715000</v>
      </c>
      <c r="O50" s="663">
        <f t="shared" si="8"/>
        <v>1430000</v>
      </c>
      <c r="P50" s="556">
        <f t="shared" si="1"/>
        <v>1430000</v>
      </c>
      <c r="Q50" s="578">
        <f t="shared" si="2"/>
        <v>0</v>
      </c>
      <c r="R50" s="579">
        <f t="shared" si="3"/>
        <v>16436.781609195401</v>
      </c>
      <c r="S50" s="578">
        <v>7750</v>
      </c>
      <c r="T50" s="580">
        <f t="shared" si="9"/>
        <v>15500</v>
      </c>
      <c r="U50" s="581" t="s">
        <v>662</v>
      </c>
    </row>
    <row r="51" spans="1:21" s="374" customFormat="1" ht="15.6">
      <c r="A51" s="671">
        <v>37</v>
      </c>
      <c r="B51" s="671" t="s">
        <v>709</v>
      </c>
      <c r="C51" s="671"/>
      <c r="D51" s="671"/>
      <c r="E51" s="671">
        <v>2</v>
      </c>
      <c r="F51" s="671"/>
      <c r="G51" s="671"/>
      <c r="H51" s="671"/>
      <c r="I51" s="671"/>
      <c r="J51" s="671"/>
      <c r="K51" s="671"/>
      <c r="L51" s="671"/>
      <c r="M51" s="672">
        <f t="shared" si="5"/>
        <v>2</v>
      </c>
      <c r="N51" s="684">
        <v>700000</v>
      </c>
      <c r="O51" s="679">
        <f t="shared" si="8"/>
        <v>1400000</v>
      </c>
      <c r="P51" s="374">
        <f t="shared" si="1"/>
        <v>1400000</v>
      </c>
      <c r="Q51" s="674">
        <f t="shared" si="2"/>
        <v>0</v>
      </c>
      <c r="R51" s="675">
        <f t="shared" si="3"/>
        <v>16091.954022988506</v>
      </c>
      <c r="S51" s="674">
        <v>5298</v>
      </c>
      <c r="T51" s="685">
        <f t="shared" si="9"/>
        <v>10596</v>
      </c>
      <c r="U51" s="677" t="s">
        <v>710</v>
      </c>
    </row>
    <row r="52" spans="1:21" s="374" customFormat="1" ht="15.6">
      <c r="A52" s="671">
        <v>40</v>
      </c>
      <c r="B52" s="671" t="s">
        <v>829</v>
      </c>
      <c r="C52" s="672">
        <v>2</v>
      </c>
      <c r="D52" s="671"/>
      <c r="E52" s="671"/>
      <c r="F52" s="671"/>
      <c r="G52" s="671"/>
      <c r="H52" s="671"/>
      <c r="I52" s="671"/>
      <c r="J52" s="671"/>
      <c r="K52" s="671"/>
      <c r="L52" s="671"/>
      <c r="M52" s="672">
        <f t="shared" si="5"/>
        <v>2</v>
      </c>
      <c r="N52" s="684">
        <v>20000</v>
      </c>
      <c r="O52" s="679">
        <f t="shared" si="8"/>
        <v>40000</v>
      </c>
      <c r="P52" s="374">
        <f t="shared" si="1"/>
        <v>40000</v>
      </c>
      <c r="Q52" s="674">
        <f t="shared" si="2"/>
        <v>0</v>
      </c>
      <c r="R52" s="675">
        <f t="shared" si="3"/>
        <v>459.77011494252872</v>
      </c>
      <c r="S52" s="675">
        <f>P52/83.42042542</f>
        <v>479.49887331082851</v>
      </c>
      <c r="T52" s="685">
        <f t="shared" si="9"/>
        <v>958.99774662165703</v>
      </c>
      <c r="U52" s="677" t="s">
        <v>712</v>
      </c>
    </row>
    <row r="53" spans="1:21" ht="15.6">
      <c r="N53" s="597" t="s">
        <v>715</v>
      </c>
      <c r="O53" s="598">
        <f>SUM(O7:O52)</f>
        <v>32679754</v>
      </c>
      <c r="P53" s="556">
        <f>SUM(P13:P52)</f>
        <v>20707754</v>
      </c>
    </row>
    <row r="55" spans="1:21" ht="15.6">
      <c r="N55" s="598" t="s">
        <v>806</v>
      </c>
      <c r="O55" s="598">
        <f>O53/83.4</f>
        <v>391843.57314148679</v>
      </c>
      <c r="R55" s="599">
        <f>SUM(R13:R54)</f>
        <v>238020.16091954027</v>
      </c>
      <c r="T55" s="600">
        <f>SUM(T13:T54)</f>
        <v>276929.41496964038</v>
      </c>
    </row>
    <row r="59" spans="1:21">
      <c r="O59" s="602">
        <f>O53/83.42042542</f>
        <v>391747.63057687605</v>
      </c>
    </row>
  </sheetData>
  <mergeCells count="33">
    <mergeCell ref="J22:J28"/>
    <mergeCell ref="K22:K28"/>
    <mergeCell ref="L22:L28"/>
    <mergeCell ref="N22:N28"/>
    <mergeCell ref="O22:O28"/>
    <mergeCell ref="T3:T6"/>
    <mergeCell ref="U3:U6"/>
    <mergeCell ref="B22:B28"/>
    <mergeCell ref="C22:C28"/>
    <mergeCell ref="D22:D28"/>
    <mergeCell ref="E22:E28"/>
    <mergeCell ref="F22:F28"/>
    <mergeCell ref="G22:G28"/>
    <mergeCell ref="H22:H28"/>
    <mergeCell ref="I22:I28"/>
    <mergeCell ref="N3:N6"/>
    <mergeCell ref="O3:O6"/>
    <mergeCell ref="P3:P6"/>
    <mergeCell ref="Q3:Q6"/>
    <mergeCell ref="R3:R6"/>
    <mergeCell ref="S3:S6"/>
    <mergeCell ref="L3:L6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K3:K6"/>
  </mergeCells>
  <hyperlinks>
    <hyperlink ref="U45" r:id="rId1"/>
    <hyperlink ref="U46" r:id="rId2"/>
  </hyperlinks>
  <pageMargins left="0.7" right="0.7" top="0.75" bottom="0.75" header="0.3" footer="0.3"/>
  <pageSetup paperSize="9" orientation="portrait" r:id="rId3"/>
  <headerFooter>
    <oddHeader>&amp;Cанер+принтер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8"/>
  <sheetViews>
    <sheetView zoomScale="110" zoomScaleNormal="11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J37" sqref="J37"/>
    </sheetView>
  </sheetViews>
  <sheetFormatPr defaultColWidth="9.109375" defaultRowHeight="14.4"/>
  <cols>
    <col min="1" max="1" width="36.6640625" style="799" customWidth="1"/>
    <col min="2" max="2" width="30" style="799" customWidth="1"/>
    <col min="3" max="9" width="9.109375" style="799"/>
    <col min="10" max="10" width="30.6640625" style="798" customWidth="1"/>
    <col min="11" max="16384" width="9.109375" style="799"/>
  </cols>
  <sheetData>
    <row r="2" spans="1:10">
      <c r="A2" s="795"/>
      <c r="B2" s="795"/>
      <c r="C2" s="796" t="s">
        <v>84</v>
      </c>
      <c r="D2" s="796">
        <v>0.17</v>
      </c>
      <c r="E2" s="796" t="s">
        <v>3</v>
      </c>
      <c r="F2" s="796" t="s">
        <v>75</v>
      </c>
      <c r="G2" s="796" t="s">
        <v>76</v>
      </c>
      <c r="H2" s="796" t="s">
        <v>77</v>
      </c>
      <c r="I2" s="797" t="s">
        <v>92</v>
      </c>
    </row>
    <row r="3" spans="1:10" ht="28.8">
      <c r="A3" s="795" t="s">
        <v>63</v>
      </c>
      <c r="B3" s="795"/>
      <c r="C3" s="795"/>
      <c r="D3" s="800"/>
      <c r="E3" s="801"/>
      <c r="F3" s="802"/>
      <c r="G3" s="802"/>
      <c r="H3" s="802"/>
      <c r="I3" s="803"/>
    </row>
    <row r="4" spans="1:10" ht="28.8">
      <c r="A4" s="804" t="s">
        <v>431</v>
      </c>
      <c r="B4" s="805"/>
      <c r="C4" s="805"/>
      <c r="D4" s="805"/>
      <c r="E4" s="805"/>
      <c r="F4" s="802"/>
      <c r="G4" s="802"/>
      <c r="H4" s="802"/>
      <c r="I4" s="803"/>
    </row>
    <row r="5" spans="1:10" ht="115.2">
      <c r="A5" s="805" t="s">
        <v>432</v>
      </c>
      <c r="B5" s="805" t="s">
        <v>924</v>
      </c>
      <c r="C5" s="805">
        <v>1000</v>
      </c>
      <c r="D5" s="805">
        <v>170</v>
      </c>
      <c r="E5" s="806">
        <v>3</v>
      </c>
      <c r="F5" s="802">
        <f>SUM(C5+D5)*E5</f>
        <v>3510</v>
      </c>
      <c r="G5" s="802"/>
      <c r="H5" s="802"/>
      <c r="I5" s="803">
        <f>SUM(F5:H5)</f>
        <v>3510</v>
      </c>
    </row>
    <row r="6" spans="1:10" ht="28.8">
      <c r="A6" s="805"/>
      <c r="B6" s="805" t="s">
        <v>410</v>
      </c>
      <c r="C6" s="805">
        <v>1400</v>
      </c>
      <c r="D6" s="805"/>
      <c r="E6" s="806">
        <v>1</v>
      </c>
      <c r="F6" s="802">
        <v>1400</v>
      </c>
      <c r="G6" s="802"/>
      <c r="H6" s="802"/>
      <c r="I6" s="803">
        <f>SUM(F6:H6)</f>
        <v>1400</v>
      </c>
    </row>
    <row r="7" spans="1:10" ht="28.8">
      <c r="A7" s="805"/>
      <c r="B7" s="805" t="s">
        <v>434</v>
      </c>
      <c r="C7" s="805">
        <v>1500</v>
      </c>
      <c r="D7" s="805">
        <v>255</v>
      </c>
      <c r="E7" s="806">
        <v>1</v>
      </c>
      <c r="F7" s="802">
        <f>SUM(C7:D7)</f>
        <v>1755</v>
      </c>
      <c r="G7" s="802"/>
      <c r="H7" s="802"/>
      <c r="I7" s="803">
        <f t="shared" ref="I7:I54" si="0">SUM(F7:H7)</f>
        <v>1755</v>
      </c>
    </row>
    <row r="8" spans="1:10" ht="100.8">
      <c r="A8" s="807" t="s">
        <v>925</v>
      </c>
      <c r="B8" s="807" t="s">
        <v>926</v>
      </c>
      <c r="C8" s="807">
        <v>1000</v>
      </c>
      <c r="D8" s="807">
        <f>C8*17%</f>
        <v>170</v>
      </c>
      <c r="E8" s="808">
        <v>2</v>
      </c>
      <c r="F8" s="809">
        <v>2340</v>
      </c>
      <c r="G8" s="809">
        <v>2340</v>
      </c>
      <c r="H8" s="809">
        <v>2340</v>
      </c>
      <c r="I8" s="803">
        <f t="shared" si="0"/>
        <v>7020</v>
      </c>
    </row>
    <row r="9" spans="1:10" ht="68.400000000000006" customHeight="1">
      <c r="A9" s="810"/>
      <c r="B9" s="811" t="s">
        <v>927</v>
      </c>
      <c r="C9" s="811">
        <v>500</v>
      </c>
      <c r="D9" s="811"/>
      <c r="E9" s="812">
        <v>2</v>
      </c>
      <c r="F9" s="813">
        <f>C9*E9</f>
        <v>1000</v>
      </c>
      <c r="G9" s="813">
        <f>C9*E9</f>
        <v>1000</v>
      </c>
      <c r="H9" s="813">
        <f>500*E9</f>
        <v>1000</v>
      </c>
      <c r="I9" s="814">
        <f>SUM(F9:H9)</f>
        <v>3000</v>
      </c>
    </row>
    <row r="10" spans="1:10" ht="43.2">
      <c r="A10" s="815"/>
      <c r="B10" s="815" t="s">
        <v>928</v>
      </c>
      <c r="C10" s="815">
        <v>1000</v>
      </c>
      <c r="D10" s="815">
        <f>C10*17%</f>
        <v>170</v>
      </c>
      <c r="E10" s="816">
        <v>2</v>
      </c>
      <c r="F10" s="817">
        <f>(1000+170)*2</f>
        <v>2340</v>
      </c>
      <c r="G10" s="817">
        <v>2340</v>
      </c>
      <c r="H10" s="817">
        <v>2340</v>
      </c>
      <c r="I10" s="818">
        <f>SUM(F10:H10)</f>
        <v>7020</v>
      </c>
    </row>
    <row r="11" spans="1:10" ht="55.2" customHeight="1">
      <c r="A11" s="810"/>
      <c r="B11" s="815" t="s">
        <v>929</v>
      </c>
      <c r="C11" s="815">
        <v>5000</v>
      </c>
      <c r="D11" s="815"/>
      <c r="E11" s="816">
        <v>1</v>
      </c>
      <c r="F11" s="817">
        <f>C11</f>
        <v>5000</v>
      </c>
      <c r="G11" s="817"/>
      <c r="H11" s="817"/>
      <c r="I11" s="818">
        <f>F11</f>
        <v>5000</v>
      </c>
    </row>
    <row r="12" spans="1:10" ht="57.6">
      <c r="A12" s="819"/>
      <c r="B12" s="820" t="s">
        <v>433</v>
      </c>
      <c r="C12" s="819">
        <v>3400</v>
      </c>
      <c r="D12" s="819"/>
      <c r="E12" s="819">
        <v>2</v>
      </c>
      <c r="F12" s="819">
        <v>3400</v>
      </c>
      <c r="G12" s="819">
        <v>3400</v>
      </c>
      <c r="H12" s="819"/>
      <c r="I12" s="821">
        <f t="shared" si="0"/>
        <v>6800</v>
      </c>
    </row>
    <row r="13" spans="1:10" ht="100.8">
      <c r="A13" s="822" t="s">
        <v>930</v>
      </c>
      <c r="B13" s="822" t="s">
        <v>436</v>
      </c>
      <c r="C13" s="822">
        <v>600</v>
      </c>
      <c r="D13" s="822"/>
      <c r="E13" s="823">
        <v>2</v>
      </c>
      <c r="F13" s="824">
        <v>1200</v>
      </c>
      <c r="G13" s="824">
        <v>1200</v>
      </c>
      <c r="H13" s="824">
        <v>1200</v>
      </c>
      <c r="I13" s="818">
        <f t="shared" si="0"/>
        <v>3600</v>
      </c>
    </row>
    <row r="14" spans="1:10" ht="174.6" customHeight="1">
      <c r="A14" s="1001" t="s">
        <v>931</v>
      </c>
      <c r="B14" s="825" t="s">
        <v>932</v>
      </c>
      <c r="C14" s="825">
        <v>14000</v>
      </c>
      <c r="D14" s="825">
        <f>C14*17%</f>
        <v>2380</v>
      </c>
      <c r="E14" s="822"/>
      <c r="F14" s="824">
        <v>30000</v>
      </c>
      <c r="G14" s="824"/>
      <c r="H14" s="824"/>
      <c r="I14" s="818">
        <f t="shared" si="0"/>
        <v>30000</v>
      </c>
      <c r="J14" s="826" t="s">
        <v>933</v>
      </c>
    </row>
    <row r="15" spans="1:10" ht="72">
      <c r="A15" s="1001"/>
      <c r="B15" s="822" t="s">
        <v>437</v>
      </c>
      <c r="C15" s="822">
        <v>1000</v>
      </c>
      <c r="D15" s="822">
        <v>170</v>
      </c>
      <c r="E15" s="822">
        <v>4</v>
      </c>
      <c r="F15" s="824">
        <v>4680</v>
      </c>
      <c r="G15" s="824"/>
      <c r="H15" s="824"/>
      <c r="I15" s="818">
        <f t="shared" si="0"/>
        <v>4680</v>
      </c>
    </row>
    <row r="16" spans="1:10" ht="28.8">
      <c r="A16" s="827"/>
      <c r="B16" s="822" t="s">
        <v>411</v>
      </c>
      <c r="C16" s="822">
        <v>1600</v>
      </c>
      <c r="D16" s="822"/>
      <c r="E16" s="822">
        <v>1</v>
      </c>
      <c r="F16" s="824">
        <v>1600</v>
      </c>
      <c r="G16" s="824"/>
      <c r="H16" s="824"/>
      <c r="I16" s="818">
        <f t="shared" si="0"/>
        <v>1600</v>
      </c>
    </row>
    <row r="17" spans="1:11" ht="72">
      <c r="A17" s="822" t="s">
        <v>934</v>
      </c>
      <c r="B17" s="822" t="s">
        <v>935</v>
      </c>
      <c r="C17" s="822">
        <v>25000</v>
      </c>
      <c r="D17" s="822"/>
      <c r="E17" s="823">
        <v>2</v>
      </c>
      <c r="F17" s="819"/>
      <c r="G17" s="824">
        <v>50000</v>
      </c>
      <c r="H17" s="824"/>
      <c r="I17" s="818">
        <f t="shared" si="0"/>
        <v>50000</v>
      </c>
    </row>
    <row r="18" spans="1:11" ht="57.6">
      <c r="A18" s="822" t="s">
        <v>936</v>
      </c>
      <c r="B18" s="822" t="s">
        <v>412</v>
      </c>
      <c r="C18" s="822">
        <v>500</v>
      </c>
      <c r="D18" s="822"/>
      <c r="E18" s="823">
        <v>2</v>
      </c>
      <c r="F18" s="819">
        <v>1000</v>
      </c>
      <c r="G18" s="824">
        <v>1000</v>
      </c>
      <c r="H18" s="824">
        <v>1000</v>
      </c>
      <c r="I18" s="818">
        <v>3000</v>
      </c>
      <c r="J18" s="828" t="s">
        <v>937</v>
      </c>
    </row>
    <row r="19" spans="1:11" ht="57.6">
      <c r="A19" s="822"/>
      <c r="B19" s="822" t="s">
        <v>938</v>
      </c>
      <c r="C19" s="822">
        <v>3500</v>
      </c>
      <c r="D19" s="822"/>
      <c r="E19" s="823">
        <v>1</v>
      </c>
      <c r="F19" s="819">
        <f>C19</f>
        <v>3500</v>
      </c>
      <c r="G19" s="824"/>
      <c r="H19" s="824"/>
      <c r="I19" s="818">
        <f>E19*F19</f>
        <v>3500</v>
      </c>
    </row>
    <row r="20" spans="1:11" ht="72">
      <c r="A20" s="822" t="s">
        <v>939</v>
      </c>
      <c r="B20" s="822" t="s">
        <v>940</v>
      </c>
      <c r="C20" s="822">
        <v>1500</v>
      </c>
      <c r="D20" s="822">
        <f>C20*17%</f>
        <v>255.00000000000003</v>
      </c>
      <c r="E20" s="822">
        <v>3</v>
      </c>
      <c r="F20" s="824">
        <f>(D20+C20)*E20</f>
        <v>5265</v>
      </c>
      <c r="G20" s="824"/>
      <c r="H20" s="824"/>
      <c r="I20" s="818">
        <f t="shared" si="0"/>
        <v>5265</v>
      </c>
      <c r="J20" s="819"/>
      <c r="K20" s="819"/>
    </row>
    <row r="21" spans="1:11">
      <c r="A21" s="822"/>
      <c r="B21" s="822" t="s">
        <v>397</v>
      </c>
      <c r="C21" s="822">
        <v>2000</v>
      </c>
      <c r="D21" s="822"/>
      <c r="E21" s="822">
        <v>2</v>
      </c>
      <c r="F21" s="824">
        <v>4000</v>
      </c>
      <c r="G21" s="824"/>
      <c r="H21" s="824"/>
      <c r="I21" s="818">
        <f t="shared" si="0"/>
        <v>4000</v>
      </c>
      <c r="J21" s="819"/>
      <c r="K21" s="819"/>
    </row>
    <row r="22" spans="1:11" ht="115.2">
      <c r="A22" s="822" t="s">
        <v>941</v>
      </c>
      <c r="B22" s="829" t="s">
        <v>942</v>
      </c>
      <c r="C22" s="830">
        <v>500</v>
      </c>
      <c r="D22" s="823"/>
      <c r="E22" s="823">
        <v>21</v>
      </c>
      <c r="F22" s="824">
        <f>C22*E22</f>
        <v>10500</v>
      </c>
      <c r="G22" s="824">
        <f>C22*E22</f>
        <v>10500</v>
      </c>
      <c r="H22" s="824">
        <f>C22*E22</f>
        <v>10500</v>
      </c>
      <c r="I22" s="818">
        <f t="shared" si="0"/>
        <v>31500</v>
      </c>
      <c r="J22" s="828" t="s">
        <v>943</v>
      </c>
      <c r="K22" s="819"/>
    </row>
    <row r="23" spans="1:11" ht="57.6">
      <c r="A23" s="819"/>
      <c r="B23" s="822" t="s">
        <v>438</v>
      </c>
      <c r="C23" s="822">
        <v>3000</v>
      </c>
      <c r="D23" s="822"/>
      <c r="E23" s="822">
        <v>3</v>
      </c>
      <c r="F23" s="824">
        <v>3000</v>
      </c>
      <c r="G23" s="824">
        <v>3000</v>
      </c>
      <c r="H23" s="824">
        <v>3000</v>
      </c>
      <c r="I23" s="818">
        <f t="shared" si="0"/>
        <v>9000</v>
      </c>
      <c r="J23" s="819"/>
      <c r="K23" s="819"/>
    </row>
    <row r="24" spans="1:11" ht="86.4">
      <c r="A24" s="831" t="s">
        <v>944</v>
      </c>
      <c r="B24" s="822" t="s">
        <v>439</v>
      </c>
      <c r="C24" s="823">
        <v>3000</v>
      </c>
      <c r="D24" s="823"/>
      <c r="E24" s="823">
        <v>3</v>
      </c>
      <c r="F24" s="819"/>
      <c r="G24" s="824">
        <v>9000</v>
      </c>
      <c r="H24" s="824">
        <v>9000</v>
      </c>
      <c r="I24" s="818">
        <f t="shared" si="0"/>
        <v>18000</v>
      </c>
      <c r="J24" s="828" t="s">
        <v>945</v>
      </c>
      <c r="K24" s="819"/>
    </row>
    <row r="25" spans="1:11" ht="28.8">
      <c r="A25" s="832" t="s">
        <v>440</v>
      </c>
      <c r="B25" s="822"/>
      <c r="C25" s="822"/>
      <c r="D25" s="822"/>
      <c r="E25" s="822"/>
      <c r="F25" s="824"/>
      <c r="G25" s="824"/>
      <c r="H25" s="824"/>
      <c r="I25" s="818">
        <f t="shared" si="0"/>
        <v>0</v>
      </c>
      <c r="J25" s="819"/>
      <c r="K25" s="819"/>
    </row>
    <row r="26" spans="1:11" ht="115.2">
      <c r="A26" s="829" t="s">
        <v>441</v>
      </c>
      <c r="B26" s="822" t="s">
        <v>946</v>
      </c>
      <c r="C26" s="822">
        <v>4500</v>
      </c>
      <c r="D26" s="822">
        <v>765</v>
      </c>
      <c r="E26" s="823">
        <v>3</v>
      </c>
      <c r="F26" s="824">
        <f>SUM(D26+C26)</f>
        <v>5265</v>
      </c>
      <c r="G26" s="824">
        <v>5265</v>
      </c>
      <c r="H26" s="824"/>
      <c r="I26" s="818">
        <f t="shared" si="0"/>
        <v>10530</v>
      </c>
      <c r="J26" s="819"/>
      <c r="K26" s="819"/>
    </row>
    <row r="27" spans="1:11" ht="57.6">
      <c r="A27" s="829"/>
      <c r="B27" s="829" t="s">
        <v>947</v>
      </c>
      <c r="C27" s="822">
        <v>1400</v>
      </c>
      <c r="D27" s="822"/>
      <c r="E27" s="823">
        <v>1</v>
      </c>
      <c r="F27" s="824">
        <f>C27*E27</f>
        <v>1400</v>
      </c>
      <c r="G27" s="824">
        <f>C27*E27</f>
        <v>1400</v>
      </c>
      <c r="H27" s="824"/>
      <c r="I27" s="818">
        <f t="shared" si="0"/>
        <v>2800</v>
      </c>
      <c r="J27" s="833"/>
      <c r="K27" s="819"/>
    </row>
    <row r="28" spans="1:11" ht="86.4">
      <c r="A28" s="822" t="s">
        <v>948</v>
      </c>
      <c r="B28" s="822" t="s">
        <v>949</v>
      </c>
      <c r="C28" s="822">
        <v>3000</v>
      </c>
      <c r="D28" s="822">
        <v>510</v>
      </c>
      <c r="E28" s="823">
        <v>4</v>
      </c>
      <c r="F28" s="824">
        <v>14040</v>
      </c>
      <c r="G28" s="824"/>
      <c r="H28" s="824"/>
      <c r="I28" s="818">
        <f t="shared" si="0"/>
        <v>14040</v>
      </c>
      <c r="J28" s="819"/>
      <c r="K28" s="819"/>
    </row>
    <row r="29" spans="1:11" ht="43.2">
      <c r="A29" s="822"/>
      <c r="B29" s="822" t="s">
        <v>950</v>
      </c>
      <c r="C29" s="822">
        <v>1600</v>
      </c>
      <c r="D29" s="822"/>
      <c r="E29" s="823">
        <v>3</v>
      </c>
      <c r="F29" s="824">
        <v>4800</v>
      </c>
      <c r="G29" s="824">
        <v>4800</v>
      </c>
      <c r="H29" s="824"/>
      <c r="I29" s="818">
        <f t="shared" si="0"/>
        <v>9600</v>
      </c>
      <c r="J29" s="819"/>
      <c r="K29" s="819"/>
    </row>
    <row r="30" spans="1:11" ht="100.8">
      <c r="A30" s="822" t="s">
        <v>442</v>
      </c>
      <c r="B30" s="829" t="s">
        <v>951</v>
      </c>
      <c r="C30" s="829">
        <v>2000</v>
      </c>
      <c r="D30" s="829">
        <f>C30*17%</f>
        <v>340</v>
      </c>
      <c r="E30" s="830">
        <v>5</v>
      </c>
      <c r="F30" s="834">
        <f>(C30+D30)*E30</f>
        <v>11700</v>
      </c>
      <c r="G30" s="834">
        <f>(C30+D30)*E30</f>
        <v>11700</v>
      </c>
      <c r="H30" s="834"/>
      <c r="I30" s="818">
        <f>SUM(F30:H30)</f>
        <v>23400</v>
      </c>
      <c r="J30" s="835"/>
    </row>
    <row r="31" spans="1:11" ht="28.8">
      <c r="A31" s="822"/>
      <c r="B31" s="829" t="s">
        <v>413</v>
      </c>
      <c r="C31" s="829">
        <v>1400</v>
      </c>
      <c r="D31" s="829"/>
      <c r="E31" s="830">
        <v>2</v>
      </c>
      <c r="F31" s="834">
        <f>C31</f>
        <v>1400</v>
      </c>
      <c r="G31" s="834">
        <f>C31</f>
        <v>1400</v>
      </c>
      <c r="H31" s="834"/>
      <c r="I31" s="818">
        <f t="shared" si="0"/>
        <v>2800</v>
      </c>
      <c r="J31" s="819"/>
    </row>
    <row r="32" spans="1:11">
      <c r="A32" s="832" t="s">
        <v>64</v>
      </c>
      <c r="B32" s="822"/>
      <c r="C32" s="822"/>
      <c r="D32" s="822"/>
      <c r="E32" s="822"/>
      <c r="F32" s="824"/>
      <c r="G32" s="824"/>
      <c r="H32" s="824"/>
      <c r="I32" s="818">
        <f t="shared" si="0"/>
        <v>0</v>
      </c>
      <c r="J32" s="819"/>
    </row>
    <row r="33" spans="1:10" ht="115.2">
      <c r="A33" s="822" t="s">
        <v>952</v>
      </c>
      <c r="B33" s="822" t="s">
        <v>953</v>
      </c>
      <c r="C33" s="822">
        <v>1000</v>
      </c>
      <c r="D33" s="822">
        <v>170</v>
      </c>
      <c r="E33" s="822">
        <v>2</v>
      </c>
      <c r="F33" s="824">
        <v>2340</v>
      </c>
      <c r="G33" s="824"/>
      <c r="H33" s="824"/>
      <c r="I33" s="818">
        <f t="shared" si="0"/>
        <v>2340</v>
      </c>
      <c r="J33" s="819"/>
    </row>
    <row r="34" spans="1:10" ht="28.8">
      <c r="A34" s="822"/>
      <c r="B34" s="822" t="s">
        <v>414</v>
      </c>
      <c r="C34" s="836">
        <v>7000</v>
      </c>
      <c r="D34" s="836"/>
      <c r="E34" s="822">
        <v>1</v>
      </c>
      <c r="F34" s="824">
        <v>7000</v>
      </c>
      <c r="G34" s="824"/>
      <c r="H34" s="824"/>
      <c r="I34" s="818">
        <f t="shared" si="0"/>
        <v>7000</v>
      </c>
      <c r="J34" s="819"/>
    </row>
    <row r="35" spans="1:10" ht="43.2">
      <c r="A35" s="822"/>
      <c r="B35" s="822" t="s">
        <v>954</v>
      </c>
      <c r="C35" s="836">
        <v>1600</v>
      </c>
      <c r="D35" s="836"/>
      <c r="E35" s="822">
        <v>1</v>
      </c>
      <c r="F35" s="824"/>
      <c r="G35" s="824">
        <v>1600</v>
      </c>
      <c r="H35" s="824">
        <v>1600</v>
      </c>
      <c r="I35" s="818">
        <f t="shared" si="0"/>
        <v>3200</v>
      </c>
      <c r="J35" s="819"/>
    </row>
    <row r="36" spans="1:10" ht="43.2">
      <c r="A36" s="827" t="s">
        <v>955</v>
      </c>
      <c r="B36" s="827" t="s">
        <v>956</v>
      </c>
      <c r="C36" s="836"/>
      <c r="D36" s="836"/>
      <c r="E36" s="822"/>
      <c r="F36" s="824"/>
      <c r="G36" s="824"/>
      <c r="H36" s="824"/>
      <c r="I36" s="818">
        <v>0</v>
      </c>
      <c r="J36" s="828" t="s">
        <v>957</v>
      </c>
    </row>
    <row r="37" spans="1:10" ht="100.8">
      <c r="A37" s="822" t="s">
        <v>958</v>
      </c>
      <c r="B37" s="822" t="s">
        <v>959</v>
      </c>
      <c r="C37" s="823">
        <v>49000</v>
      </c>
      <c r="D37" s="823"/>
      <c r="E37" s="823">
        <v>1</v>
      </c>
      <c r="F37" s="824">
        <v>49000</v>
      </c>
      <c r="G37" s="824"/>
      <c r="H37" s="824">
        <v>49000</v>
      </c>
      <c r="I37" s="818">
        <f t="shared" si="0"/>
        <v>98000</v>
      </c>
      <c r="J37" s="833"/>
    </row>
    <row r="38" spans="1:10" ht="72">
      <c r="A38" s="822" t="s">
        <v>960</v>
      </c>
      <c r="B38" s="837" t="s">
        <v>961</v>
      </c>
      <c r="C38" s="838">
        <v>5000</v>
      </c>
      <c r="D38" s="838"/>
      <c r="E38" s="838">
        <v>1</v>
      </c>
      <c r="F38" s="838">
        <v>5000</v>
      </c>
      <c r="G38" s="838">
        <v>5000</v>
      </c>
      <c r="H38" s="838">
        <v>5000</v>
      </c>
      <c r="I38" s="818">
        <f t="shared" si="0"/>
        <v>15000</v>
      </c>
      <c r="J38" s="833" t="s">
        <v>962</v>
      </c>
    </row>
    <row r="39" spans="1:10" ht="28.8">
      <c r="A39" s="832" t="s">
        <v>65</v>
      </c>
      <c r="B39" s="822"/>
      <c r="C39" s="822"/>
      <c r="D39" s="822"/>
      <c r="E39" s="822"/>
      <c r="F39" s="824"/>
      <c r="G39" s="824"/>
      <c r="H39" s="824"/>
      <c r="I39" s="818">
        <f t="shared" si="0"/>
        <v>0</v>
      </c>
      <c r="J39" s="819"/>
    </row>
    <row r="40" spans="1:10" ht="100.8">
      <c r="A40" s="822" t="s">
        <v>963</v>
      </c>
      <c r="B40" s="822" t="s">
        <v>444</v>
      </c>
      <c r="C40" s="822">
        <v>3500</v>
      </c>
      <c r="D40" s="823"/>
      <c r="E40" s="823">
        <v>3</v>
      </c>
      <c r="F40" s="824">
        <v>10500</v>
      </c>
      <c r="G40" s="824"/>
      <c r="H40" s="824"/>
      <c r="I40" s="818">
        <f t="shared" si="0"/>
        <v>10500</v>
      </c>
      <c r="J40" s="819"/>
    </row>
    <row r="41" spans="1:10" ht="57.6">
      <c r="A41" s="822"/>
      <c r="B41" s="829" t="s">
        <v>964</v>
      </c>
      <c r="C41" s="822">
        <v>1000</v>
      </c>
      <c r="D41" s="823"/>
      <c r="E41" s="823">
        <v>8</v>
      </c>
      <c r="F41" s="824"/>
      <c r="G41" s="824">
        <v>8000</v>
      </c>
      <c r="H41" s="824">
        <v>8000</v>
      </c>
      <c r="I41" s="818">
        <f>G41+H41</f>
        <v>16000</v>
      </c>
      <c r="J41" s="819"/>
    </row>
    <row r="42" spans="1:10" ht="72">
      <c r="A42" s="822" t="s">
        <v>965</v>
      </c>
      <c r="B42" s="829" t="s">
        <v>966</v>
      </c>
      <c r="C42" s="822">
        <v>1000</v>
      </c>
      <c r="D42" s="823"/>
      <c r="E42" s="823">
        <v>3</v>
      </c>
      <c r="F42" s="824">
        <f>C42*E42</f>
        <v>3000</v>
      </c>
      <c r="G42" s="824"/>
      <c r="H42" s="824"/>
      <c r="I42" s="818">
        <v>3000</v>
      </c>
      <c r="J42" s="819"/>
    </row>
    <row r="43" spans="1:10" ht="28.8">
      <c r="A43" s="839" t="s">
        <v>66</v>
      </c>
      <c r="B43" s="822"/>
      <c r="C43" s="822"/>
      <c r="D43" s="822"/>
      <c r="E43" s="822"/>
      <c r="F43" s="824"/>
      <c r="G43" s="824"/>
      <c r="H43" s="824"/>
      <c r="I43" s="818">
        <f t="shared" si="0"/>
        <v>0</v>
      </c>
      <c r="J43" s="819"/>
    </row>
    <row r="44" spans="1:10" ht="100.8">
      <c r="A44" s="822" t="s">
        <v>445</v>
      </c>
      <c r="B44" s="822" t="s">
        <v>967</v>
      </c>
      <c r="C44" s="836">
        <v>240</v>
      </c>
      <c r="D44" s="823">
        <f>C44*17%</f>
        <v>40.800000000000004</v>
      </c>
      <c r="E44" s="823">
        <v>21</v>
      </c>
      <c r="F44" s="840">
        <f>(C44+D44)*21*12</f>
        <v>70761.600000000006</v>
      </c>
      <c r="G44" s="840">
        <f>(C44+D44)*E44*12</f>
        <v>70761.600000000006</v>
      </c>
      <c r="H44" s="840">
        <f>(C44+D44)*E44*12</f>
        <v>70761.600000000006</v>
      </c>
      <c r="I44" s="841">
        <f>SUM(F44:H44)</f>
        <v>212284.80000000002</v>
      </c>
      <c r="J44" s="819"/>
    </row>
    <row r="45" spans="1:10" ht="57.6">
      <c r="A45" s="822" t="s">
        <v>968</v>
      </c>
      <c r="B45" s="822" t="s">
        <v>969</v>
      </c>
      <c r="C45" s="836">
        <v>2000</v>
      </c>
      <c r="D45" s="823">
        <v>340</v>
      </c>
      <c r="E45" s="823">
        <v>3</v>
      </c>
      <c r="F45" s="840">
        <v>7020</v>
      </c>
      <c r="G45" s="840"/>
      <c r="H45" s="840"/>
      <c r="I45" s="841">
        <v>7020</v>
      </c>
      <c r="J45" s="819"/>
    </row>
    <row r="46" spans="1:10">
      <c r="A46" s="822"/>
      <c r="B46" s="822" t="s">
        <v>399</v>
      </c>
      <c r="C46" s="836">
        <v>1000</v>
      </c>
      <c r="D46" s="823"/>
      <c r="E46" s="823">
        <v>2</v>
      </c>
      <c r="F46" s="840">
        <v>1000</v>
      </c>
      <c r="G46" s="840">
        <v>1000</v>
      </c>
      <c r="H46" s="840"/>
      <c r="I46" s="841">
        <v>2000</v>
      </c>
      <c r="J46" s="819"/>
    </row>
    <row r="47" spans="1:10" ht="72">
      <c r="A47" s="842" t="s">
        <v>970</v>
      </c>
      <c r="B47" s="822" t="s">
        <v>971</v>
      </c>
      <c r="C47" s="843">
        <v>6150</v>
      </c>
      <c r="D47" s="843"/>
      <c r="E47" s="843">
        <v>1</v>
      </c>
      <c r="F47" s="843">
        <v>6150</v>
      </c>
      <c r="G47" s="843"/>
      <c r="H47" s="843"/>
      <c r="I47" s="818">
        <f t="shared" si="0"/>
        <v>6150</v>
      </c>
      <c r="J47" s="833"/>
    </row>
    <row r="48" spans="1:10" ht="72">
      <c r="A48" s="844" t="s">
        <v>972</v>
      </c>
      <c r="B48" s="822" t="s">
        <v>973</v>
      </c>
      <c r="C48" s="823">
        <v>3070</v>
      </c>
      <c r="D48" s="823">
        <v>522</v>
      </c>
      <c r="E48" s="823">
        <v>1</v>
      </c>
      <c r="F48" s="824">
        <v>43104</v>
      </c>
      <c r="G48" s="824"/>
      <c r="H48" s="824"/>
      <c r="I48" s="818">
        <f t="shared" si="0"/>
        <v>43104</v>
      </c>
      <c r="J48" s="845" t="s">
        <v>974</v>
      </c>
    </row>
    <row r="49" spans="1:10" ht="43.2">
      <c r="A49" s="831" t="s">
        <v>975</v>
      </c>
      <c r="B49" s="827" t="s">
        <v>976</v>
      </c>
      <c r="C49" s="822">
        <v>100</v>
      </c>
      <c r="D49" s="822">
        <f>C49*17%</f>
        <v>17</v>
      </c>
      <c r="E49" s="822">
        <v>60</v>
      </c>
      <c r="F49" s="824">
        <f>(C49+D49)*E49</f>
        <v>7020</v>
      </c>
      <c r="G49" s="824">
        <f>F49</f>
        <v>7020</v>
      </c>
      <c r="H49" s="824">
        <f>G49</f>
        <v>7020</v>
      </c>
      <c r="I49" s="818">
        <v>21060</v>
      </c>
      <c r="J49" s="845"/>
    </row>
    <row r="50" spans="1:10" ht="57.6">
      <c r="A50" s="822" t="s">
        <v>977</v>
      </c>
      <c r="B50" s="822" t="s">
        <v>978</v>
      </c>
      <c r="C50" s="823">
        <v>5000</v>
      </c>
      <c r="D50" s="823"/>
      <c r="E50" s="823">
        <v>2</v>
      </c>
      <c r="F50" s="824">
        <f>C50*2</f>
        <v>10000</v>
      </c>
      <c r="G50" s="824"/>
      <c r="H50" s="824"/>
      <c r="I50" s="818">
        <f t="shared" si="0"/>
        <v>10000</v>
      </c>
      <c r="J50" s="819"/>
    </row>
    <row r="51" spans="1:10" ht="28.8">
      <c r="A51" s="822" t="s">
        <v>979</v>
      </c>
      <c r="B51" s="846" t="s">
        <v>428</v>
      </c>
      <c r="C51" s="847">
        <v>150</v>
      </c>
      <c r="D51" s="847">
        <v>25.500000000000004</v>
      </c>
      <c r="E51" s="847">
        <v>10</v>
      </c>
      <c r="F51" s="847">
        <v>1755</v>
      </c>
      <c r="G51" s="847">
        <v>1755</v>
      </c>
      <c r="H51" s="847">
        <v>1755</v>
      </c>
      <c r="I51" s="818">
        <f t="shared" si="0"/>
        <v>5265</v>
      </c>
      <c r="J51" s="819"/>
    </row>
    <row r="52" spans="1:10">
      <c r="A52" s="822"/>
      <c r="B52" s="847" t="s">
        <v>430</v>
      </c>
      <c r="C52" s="847">
        <v>500</v>
      </c>
      <c r="D52" s="847">
        <v>85</v>
      </c>
      <c r="E52" s="847">
        <v>5</v>
      </c>
      <c r="F52" s="847">
        <v>2925</v>
      </c>
      <c r="G52" s="847">
        <v>2925</v>
      </c>
      <c r="H52" s="847">
        <v>2925</v>
      </c>
      <c r="I52" s="818">
        <f t="shared" si="0"/>
        <v>8775</v>
      </c>
      <c r="J52" s="819"/>
    </row>
    <row r="53" spans="1:10">
      <c r="A53" s="822"/>
      <c r="B53" s="848" t="s">
        <v>429</v>
      </c>
      <c r="C53" s="847"/>
      <c r="D53" s="847"/>
      <c r="E53" s="847"/>
      <c r="F53" s="847">
        <v>1000</v>
      </c>
      <c r="G53" s="847">
        <v>1000</v>
      </c>
      <c r="H53" s="847">
        <v>1000</v>
      </c>
      <c r="I53" s="818">
        <f t="shared" si="0"/>
        <v>3000</v>
      </c>
      <c r="J53" s="819"/>
    </row>
    <row r="54" spans="1:10" ht="72">
      <c r="A54" s="822" t="s">
        <v>980</v>
      </c>
      <c r="B54" s="836" t="s">
        <v>398</v>
      </c>
      <c r="C54" s="836">
        <v>50</v>
      </c>
      <c r="D54" s="836"/>
      <c r="E54" s="836">
        <v>20</v>
      </c>
      <c r="F54" s="824">
        <v>1000</v>
      </c>
      <c r="G54" s="824">
        <v>1000</v>
      </c>
      <c r="H54" s="824">
        <v>1000</v>
      </c>
      <c r="I54" s="818">
        <f t="shared" si="0"/>
        <v>3000</v>
      </c>
      <c r="J54" s="819"/>
    </row>
    <row r="55" spans="1:10" ht="72">
      <c r="A55" s="822" t="s">
        <v>981</v>
      </c>
      <c r="B55" s="822" t="s">
        <v>982</v>
      </c>
      <c r="C55" s="822">
        <v>1000</v>
      </c>
      <c r="D55" s="822">
        <v>170</v>
      </c>
      <c r="E55" s="822">
        <v>5</v>
      </c>
      <c r="F55" s="824">
        <v>5850</v>
      </c>
      <c r="G55" s="824"/>
      <c r="H55" s="824"/>
      <c r="I55" s="818">
        <v>5850</v>
      </c>
      <c r="J55" s="833"/>
    </row>
    <row r="56" spans="1:10" ht="28.8">
      <c r="A56" s="822"/>
      <c r="B56" s="822" t="s">
        <v>983</v>
      </c>
      <c r="C56" s="822">
        <v>1400</v>
      </c>
      <c r="D56" s="822"/>
      <c r="E56" s="822">
        <v>1</v>
      </c>
      <c r="F56" s="824">
        <f>C56</f>
        <v>1400</v>
      </c>
      <c r="G56" s="824"/>
      <c r="H56" s="824"/>
      <c r="I56" s="818">
        <f>F56</f>
        <v>1400</v>
      </c>
      <c r="J56" s="833"/>
    </row>
    <row r="57" spans="1:10">
      <c r="A57" s="822" t="s">
        <v>984</v>
      </c>
      <c r="B57" s="822"/>
      <c r="C57" s="822"/>
      <c r="D57" s="822"/>
      <c r="E57" s="822"/>
      <c r="F57" s="824"/>
      <c r="G57" s="824"/>
      <c r="H57" s="824"/>
      <c r="I57" s="818"/>
      <c r="J57" s="833"/>
    </row>
    <row r="58" spans="1:10">
      <c r="A58" s="822"/>
      <c r="B58" s="849" t="s">
        <v>457</v>
      </c>
      <c r="C58" s="850">
        <v>600</v>
      </c>
      <c r="D58" s="822">
        <v>102.00000000000001</v>
      </c>
      <c r="E58" s="822">
        <v>2</v>
      </c>
      <c r="F58" s="824">
        <v>16848</v>
      </c>
      <c r="G58" s="824">
        <v>16848</v>
      </c>
      <c r="H58" s="824">
        <v>16848</v>
      </c>
      <c r="I58" s="818">
        <v>50544</v>
      </c>
      <c r="J58" s="833"/>
    </row>
    <row r="59" spans="1:10">
      <c r="A59" s="822"/>
      <c r="B59" s="849" t="s">
        <v>458</v>
      </c>
      <c r="C59" s="850">
        <v>450</v>
      </c>
      <c r="D59" s="822">
        <v>76.5</v>
      </c>
      <c r="E59" s="822">
        <v>2</v>
      </c>
      <c r="F59" s="824">
        <v>12636</v>
      </c>
      <c r="G59" s="824">
        <v>12636</v>
      </c>
      <c r="H59" s="824">
        <v>12636</v>
      </c>
      <c r="I59" s="818">
        <v>37908</v>
      </c>
      <c r="J59" s="833"/>
    </row>
    <row r="60" spans="1:10">
      <c r="A60" s="822"/>
      <c r="B60" s="849" t="s">
        <v>459</v>
      </c>
      <c r="C60" s="850">
        <v>450</v>
      </c>
      <c r="D60" s="822">
        <v>76.5</v>
      </c>
      <c r="E60" s="822">
        <v>2</v>
      </c>
      <c r="F60" s="824">
        <v>12636</v>
      </c>
      <c r="G60" s="824">
        <v>12636</v>
      </c>
      <c r="H60" s="824">
        <v>12636</v>
      </c>
      <c r="I60" s="818">
        <v>37908</v>
      </c>
      <c r="J60" s="833"/>
    </row>
    <row r="61" spans="1:10">
      <c r="A61" s="822"/>
      <c r="B61" s="849" t="s">
        <v>460</v>
      </c>
      <c r="C61" s="850">
        <v>450</v>
      </c>
      <c r="D61" s="822">
        <v>76.5</v>
      </c>
      <c r="E61" s="822">
        <v>2</v>
      </c>
      <c r="F61" s="824">
        <v>12636</v>
      </c>
      <c r="G61" s="824">
        <v>12636</v>
      </c>
      <c r="H61" s="824">
        <v>12636</v>
      </c>
      <c r="I61" s="818">
        <v>37908</v>
      </c>
      <c r="J61" s="833"/>
    </row>
    <row r="62" spans="1:10">
      <c r="A62" s="822"/>
      <c r="B62" s="849" t="s">
        <v>461</v>
      </c>
      <c r="C62" s="850">
        <v>600</v>
      </c>
      <c r="D62" s="822">
        <v>102</v>
      </c>
      <c r="E62" s="822">
        <v>2</v>
      </c>
      <c r="F62" s="824">
        <v>16848</v>
      </c>
      <c r="G62" s="824">
        <v>16848</v>
      </c>
      <c r="H62" s="824">
        <v>16848</v>
      </c>
      <c r="I62" s="818">
        <f>SUM(F62:H62)</f>
        <v>50544</v>
      </c>
      <c r="J62" s="833"/>
    </row>
    <row r="63" spans="1:10">
      <c r="A63" s="822"/>
      <c r="B63" s="851" t="s">
        <v>462</v>
      </c>
      <c r="C63" s="852">
        <v>900</v>
      </c>
      <c r="D63" s="822"/>
      <c r="E63" s="822">
        <v>2</v>
      </c>
      <c r="F63" s="824">
        <v>21600</v>
      </c>
      <c r="G63" s="824">
        <v>21600</v>
      </c>
      <c r="H63" s="824">
        <v>21600</v>
      </c>
      <c r="I63" s="818">
        <f>SUM(F63:H63)</f>
        <v>64800</v>
      </c>
      <c r="J63" s="833"/>
    </row>
    <row r="64" spans="1:10" ht="28.8">
      <c r="A64" s="822"/>
      <c r="B64" s="851" t="s">
        <v>463</v>
      </c>
      <c r="C64" s="852">
        <v>30</v>
      </c>
      <c r="D64" s="822"/>
      <c r="E64" s="822">
        <v>2</v>
      </c>
      <c r="F64" s="824">
        <v>720</v>
      </c>
      <c r="G64" s="824">
        <v>720</v>
      </c>
      <c r="H64" s="824">
        <v>720</v>
      </c>
      <c r="I64" s="818">
        <v>2160</v>
      </c>
      <c r="J64" s="833"/>
    </row>
    <row r="65" spans="1:10">
      <c r="A65" s="822"/>
      <c r="B65" s="851" t="s">
        <v>425</v>
      </c>
      <c r="C65" s="852">
        <v>15</v>
      </c>
      <c r="D65" s="822"/>
      <c r="E65" s="822">
        <v>2</v>
      </c>
      <c r="F65" s="824">
        <v>360</v>
      </c>
      <c r="G65" s="824">
        <v>360</v>
      </c>
      <c r="H65" s="824">
        <v>360</v>
      </c>
      <c r="I65" s="818">
        <v>1080</v>
      </c>
      <c r="J65" s="833"/>
    </row>
    <row r="66" spans="1:10">
      <c r="A66" s="822"/>
      <c r="B66" s="851" t="s">
        <v>295</v>
      </c>
      <c r="C66" s="852">
        <v>30</v>
      </c>
      <c r="D66" s="822"/>
      <c r="E66" s="822">
        <v>2</v>
      </c>
      <c r="F66" s="824">
        <v>720</v>
      </c>
      <c r="G66" s="824">
        <v>720</v>
      </c>
      <c r="H66" s="824">
        <v>720</v>
      </c>
      <c r="I66" s="818">
        <f>SUM(F66:H66)</f>
        <v>2160</v>
      </c>
      <c r="J66" s="833">
        <f>SUM(I58:I66)</f>
        <v>285012</v>
      </c>
    </row>
    <row r="67" spans="1:10" ht="43.2">
      <c r="A67" s="832" t="s">
        <v>67</v>
      </c>
      <c r="B67" s="822"/>
      <c r="C67" s="822"/>
      <c r="D67" s="822"/>
      <c r="E67" s="822"/>
      <c r="F67" s="824"/>
      <c r="G67" s="824"/>
      <c r="H67" s="824"/>
      <c r="I67" s="818">
        <v>0</v>
      </c>
      <c r="J67" s="819"/>
    </row>
    <row r="68" spans="1:10" ht="115.2">
      <c r="A68" s="827" t="s">
        <v>68</v>
      </c>
      <c r="B68" s="822" t="s">
        <v>415</v>
      </c>
      <c r="C68" s="836">
        <v>7000</v>
      </c>
      <c r="D68" s="836"/>
      <c r="E68" s="822">
        <v>1</v>
      </c>
      <c r="F68" s="824">
        <f>C68</f>
        <v>7000</v>
      </c>
      <c r="G68" s="824"/>
      <c r="H68" s="824"/>
      <c r="I68" s="818">
        <f>F68</f>
        <v>7000</v>
      </c>
      <c r="J68" s="819"/>
    </row>
    <row r="69" spans="1:10" ht="28.8">
      <c r="A69" s="822"/>
      <c r="B69" s="822" t="s">
        <v>985</v>
      </c>
      <c r="C69" s="836">
        <v>2300</v>
      </c>
      <c r="D69" s="836"/>
      <c r="E69" s="822">
        <v>1</v>
      </c>
      <c r="F69" s="824"/>
      <c r="G69" s="824">
        <v>2300</v>
      </c>
      <c r="H69" s="824">
        <v>2300</v>
      </c>
      <c r="I69" s="818">
        <v>4600</v>
      </c>
      <c r="J69" s="833"/>
    </row>
    <row r="70" spans="1:10" ht="86.4">
      <c r="A70" s="827" t="s">
        <v>986</v>
      </c>
      <c r="B70" s="822" t="s">
        <v>987</v>
      </c>
      <c r="C70" s="836">
        <v>1000</v>
      </c>
      <c r="D70" s="836">
        <v>170</v>
      </c>
      <c r="E70" s="822">
        <v>3</v>
      </c>
      <c r="F70" s="824">
        <f>1170*E70</f>
        <v>3510</v>
      </c>
      <c r="G70" s="824"/>
      <c r="H70" s="824"/>
      <c r="I70" s="818">
        <f>F70</f>
        <v>3510</v>
      </c>
      <c r="J70" s="833"/>
    </row>
    <row r="71" spans="1:10" ht="28.8">
      <c r="A71" s="827"/>
      <c r="B71" s="822" t="s">
        <v>988</v>
      </c>
      <c r="C71" s="836">
        <v>1400</v>
      </c>
      <c r="D71" s="836"/>
      <c r="E71" s="822">
        <v>1</v>
      </c>
      <c r="F71" s="824">
        <f>C71</f>
        <v>1400</v>
      </c>
      <c r="G71" s="824"/>
      <c r="H71" s="824"/>
      <c r="I71" s="818">
        <f>F71</f>
        <v>1400</v>
      </c>
      <c r="J71" s="833"/>
    </row>
    <row r="72" spans="1:10" ht="43.2">
      <c r="A72" s="822" t="s">
        <v>989</v>
      </c>
      <c r="B72" s="822" t="s">
        <v>990</v>
      </c>
      <c r="C72" s="822">
        <v>3500</v>
      </c>
      <c r="D72" s="823"/>
      <c r="E72" s="823">
        <v>2</v>
      </c>
      <c r="F72" s="824">
        <v>7000</v>
      </c>
      <c r="G72" s="824">
        <v>7000</v>
      </c>
      <c r="H72" s="824"/>
      <c r="I72" s="818">
        <v>14000</v>
      </c>
      <c r="J72" s="833"/>
    </row>
    <row r="73" spans="1:10" ht="110.4">
      <c r="A73" s="853" t="s">
        <v>991</v>
      </c>
      <c r="B73" s="854" t="s">
        <v>443</v>
      </c>
      <c r="C73" s="847">
        <v>5000</v>
      </c>
      <c r="D73" s="847"/>
      <c r="E73" s="847">
        <v>2</v>
      </c>
      <c r="F73" s="847">
        <v>10000</v>
      </c>
      <c r="G73" s="847"/>
      <c r="H73" s="847"/>
      <c r="I73" s="847">
        <v>10000</v>
      </c>
      <c r="J73" s="833"/>
    </row>
    <row r="74" spans="1:10" ht="129.6">
      <c r="A74" s="822" t="s">
        <v>992</v>
      </c>
      <c r="B74" s="827" t="s">
        <v>993</v>
      </c>
      <c r="C74" s="822">
        <v>500</v>
      </c>
      <c r="D74" s="822">
        <f>C74*17%</f>
        <v>85</v>
      </c>
      <c r="E74" s="822">
        <v>15</v>
      </c>
      <c r="F74" s="824">
        <f>585*E74</f>
        <v>8775</v>
      </c>
      <c r="G74" s="824"/>
      <c r="H74" s="824"/>
      <c r="I74" s="818">
        <v>8775</v>
      </c>
      <c r="J74" s="828" t="s">
        <v>994</v>
      </c>
    </row>
    <row r="75" spans="1:10" ht="28.8">
      <c r="A75" s="822"/>
      <c r="B75" s="827" t="s">
        <v>447</v>
      </c>
      <c r="C75" s="822">
        <v>700</v>
      </c>
      <c r="D75" s="822"/>
      <c r="E75" s="823">
        <v>5</v>
      </c>
      <c r="F75" s="824">
        <v>3500</v>
      </c>
      <c r="G75" s="824"/>
      <c r="H75" s="824"/>
      <c r="I75" s="818">
        <v>3500</v>
      </c>
      <c r="J75" s="819"/>
    </row>
    <row r="76" spans="1:10" ht="100.8">
      <c r="A76" s="822" t="s">
        <v>995</v>
      </c>
      <c r="B76" s="822" t="s">
        <v>996</v>
      </c>
      <c r="C76" s="822">
        <v>1000</v>
      </c>
      <c r="D76" s="822">
        <v>170</v>
      </c>
      <c r="E76" s="822">
        <v>5</v>
      </c>
      <c r="F76" s="824">
        <v>5850</v>
      </c>
      <c r="G76" s="824"/>
      <c r="H76" s="824"/>
      <c r="I76" s="818">
        <v>5850</v>
      </c>
      <c r="J76" s="819"/>
    </row>
    <row r="77" spans="1:10" ht="28.8">
      <c r="A77" s="822"/>
      <c r="B77" s="822" t="s">
        <v>446</v>
      </c>
      <c r="C77" s="822">
        <v>3500</v>
      </c>
      <c r="D77" s="822"/>
      <c r="E77" s="822">
        <v>2</v>
      </c>
      <c r="G77" s="824">
        <v>7000</v>
      </c>
      <c r="H77" s="824"/>
      <c r="I77" s="818">
        <v>7000</v>
      </c>
      <c r="J77" s="828" t="s">
        <v>997</v>
      </c>
    </row>
    <row r="78" spans="1:10" ht="115.2">
      <c r="A78" s="825" t="s">
        <v>998</v>
      </c>
      <c r="B78" s="822" t="s">
        <v>999</v>
      </c>
      <c r="C78" s="822">
        <v>500</v>
      </c>
      <c r="D78" s="822">
        <f>C78*17%</f>
        <v>85</v>
      </c>
      <c r="E78" s="822">
        <v>5</v>
      </c>
      <c r="F78" s="824">
        <f>585*E78</f>
        <v>2925</v>
      </c>
      <c r="G78" s="824"/>
      <c r="H78" s="824"/>
      <c r="I78" s="818">
        <f>F78</f>
        <v>2925</v>
      </c>
      <c r="J78" s="828"/>
    </row>
    <row r="79" spans="1:10" ht="28.8">
      <c r="A79" s="825"/>
      <c r="B79" s="822" t="s">
        <v>1000</v>
      </c>
      <c r="C79" s="822">
        <v>1400</v>
      </c>
      <c r="D79" s="822"/>
      <c r="E79" s="822">
        <v>1</v>
      </c>
      <c r="F79" s="824">
        <f>C79</f>
        <v>1400</v>
      </c>
      <c r="G79" s="824"/>
      <c r="H79" s="824"/>
      <c r="I79" s="818">
        <f>F79</f>
        <v>1400</v>
      </c>
      <c r="J79" s="828"/>
    </row>
    <row r="80" spans="1:10" ht="72">
      <c r="A80" s="827" t="s">
        <v>1001</v>
      </c>
      <c r="B80" s="822" t="s">
        <v>1002</v>
      </c>
      <c r="C80" s="836">
        <v>1400</v>
      </c>
      <c r="D80" s="836"/>
      <c r="E80" s="823">
        <v>3</v>
      </c>
      <c r="F80" s="824">
        <v>4200</v>
      </c>
      <c r="G80" s="824">
        <v>4200</v>
      </c>
      <c r="H80" s="824">
        <v>4200</v>
      </c>
      <c r="I80" s="818">
        <f>SUM(F80:H80)</f>
        <v>12600</v>
      </c>
      <c r="J80" s="819"/>
    </row>
    <row r="81" spans="1:10" ht="28.8">
      <c r="A81" s="827" t="s">
        <v>1003</v>
      </c>
      <c r="B81" s="827" t="s">
        <v>1004</v>
      </c>
      <c r="C81" s="836">
        <v>4000</v>
      </c>
      <c r="D81" s="836"/>
      <c r="E81" s="822"/>
      <c r="F81" s="824">
        <v>4000</v>
      </c>
      <c r="G81" s="824">
        <v>4000</v>
      </c>
      <c r="H81" s="824">
        <v>4000</v>
      </c>
      <c r="I81" s="818">
        <f>SUM(F81:H81)</f>
        <v>12000</v>
      </c>
      <c r="J81" s="819"/>
    </row>
    <row r="82" spans="1:10" ht="72">
      <c r="A82" s="827" t="s">
        <v>1005</v>
      </c>
      <c r="B82" s="827" t="s">
        <v>1006</v>
      </c>
      <c r="C82" s="836">
        <v>1000</v>
      </c>
      <c r="D82" s="836"/>
      <c r="E82" s="822">
        <v>8</v>
      </c>
      <c r="F82" s="824">
        <f>SUM(E82*C82)</f>
        <v>8000</v>
      </c>
      <c r="G82" s="824">
        <f>C82*E82</f>
        <v>8000</v>
      </c>
      <c r="H82" s="824">
        <f>C82*E82</f>
        <v>8000</v>
      </c>
      <c r="I82" s="818">
        <f>SUM(F82:H82)</f>
        <v>24000</v>
      </c>
      <c r="J82" s="819"/>
    </row>
    <row r="83" spans="1:10" ht="72">
      <c r="A83" s="827" t="s">
        <v>1007</v>
      </c>
      <c r="B83" s="827" t="s">
        <v>1008</v>
      </c>
      <c r="C83" s="836">
        <v>800</v>
      </c>
      <c r="D83" s="836"/>
      <c r="E83" s="822">
        <v>8</v>
      </c>
      <c r="F83" s="824">
        <v>6400</v>
      </c>
      <c r="G83" s="824">
        <v>6400</v>
      </c>
      <c r="H83" s="824">
        <v>6400</v>
      </c>
      <c r="I83" s="818">
        <f>SUM(F83:H83)</f>
        <v>19200</v>
      </c>
      <c r="J83" s="819"/>
    </row>
    <row r="84" spans="1:10" ht="57.6">
      <c r="A84" s="832" t="s">
        <v>69</v>
      </c>
      <c r="B84" s="822"/>
      <c r="C84" s="822"/>
      <c r="D84" s="822"/>
      <c r="E84" s="822"/>
      <c r="F84" s="824"/>
      <c r="G84" s="824"/>
      <c r="H84" s="824"/>
      <c r="I84" s="818">
        <v>0</v>
      </c>
      <c r="J84" s="819"/>
    </row>
    <row r="85" spans="1:10" ht="57.6">
      <c r="A85" s="822" t="s">
        <v>448</v>
      </c>
      <c r="B85" s="822" t="s">
        <v>449</v>
      </c>
      <c r="C85" s="836">
        <v>500</v>
      </c>
      <c r="D85" s="822">
        <v>85</v>
      </c>
      <c r="E85" s="822">
        <v>2</v>
      </c>
      <c r="F85" s="824">
        <v>1170</v>
      </c>
      <c r="G85" s="824"/>
      <c r="H85" s="824"/>
      <c r="I85" s="818">
        <v>1170</v>
      </c>
      <c r="J85" s="819"/>
    </row>
    <row r="86" spans="1:10" ht="28.8">
      <c r="A86" s="822"/>
      <c r="B86" s="822" t="s">
        <v>1009</v>
      </c>
      <c r="C86" s="836">
        <v>2300</v>
      </c>
      <c r="D86" s="822"/>
      <c r="E86" s="822">
        <v>1</v>
      </c>
      <c r="F86" s="824">
        <v>2300</v>
      </c>
      <c r="G86" s="824"/>
      <c r="H86" s="824"/>
      <c r="I86" s="818">
        <v>2300</v>
      </c>
      <c r="J86" s="819"/>
    </row>
    <row r="87" spans="1:10" ht="86.4">
      <c r="A87" s="822" t="s">
        <v>1010</v>
      </c>
      <c r="B87" s="822" t="s">
        <v>1011</v>
      </c>
      <c r="C87" s="822">
        <v>500</v>
      </c>
      <c r="D87" s="822">
        <f>C87*17%</f>
        <v>85</v>
      </c>
      <c r="E87" s="823">
        <v>4</v>
      </c>
      <c r="F87" s="824">
        <f>585*E87</f>
        <v>2340</v>
      </c>
      <c r="G87" s="824">
        <v>2340</v>
      </c>
      <c r="H87" s="824">
        <v>2340</v>
      </c>
      <c r="I87" s="818">
        <f>SUM(F87:H87)</f>
        <v>7020</v>
      </c>
      <c r="J87" s="819"/>
    </row>
    <row r="88" spans="1:10" ht="28.8">
      <c r="A88" s="822"/>
      <c r="B88" s="822" t="s">
        <v>435</v>
      </c>
      <c r="C88" s="822">
        <v>1400</v>
      </c>
      <c r="D88" s="822"/>
      <c r="E88" s="823">
        <v>3</v>
      </c>
      <c r="F88" s="824">
        <v>1400</v>
      </c>
      <c r="G88" s="824">
        <v>1400</v>
      </c>
      <c r="H88" s="824">
        <v>1400</v>
      </c>
      <c r="I88" s="818">
        <f>SUM(F88:H88)</f>
        <v>4200</v>
      </c>
      <c r="J88" s="799"/>
    </row>
    <row r="89" spans="1:10" ht="86.4">
      <c r="A89" s="822" t="s">
        <v>70</v>
      </c>
      <c r="B89" s="822" t="s">
        <v>464</v>
      </c>
      <c r="C89" s="836"/>
      <c r="D89" s="836"/>
      <c r="E89" s="823"/>
      <c r="F89" s="824">
        <v>10000</v>
      </c>
      <c r="G89" s="824"/>
      <c r="H89" s="824"/>
      <c r="I89" s="818">
        <v>10000</v>
      </c>
      <c r="J89" s="828" t="s">
        <v>1012</v>
      </c>
    </row>
    <row r="90" spans="1:10" ht="72">
      <c r="A90" s="822" t="s">
        <v>1013</v>
      </c>
      <c r="B90" s="822"/>
      <c r="C90" s="836"/>
      <c r="D90" s="836"/>
      <c r="E90" s="823"/>
      <c r="F90" s="818"/>
      <c r="G90" s="818"/>
      <c r="H90" s="818"/>
      <c r="I90" s="818"/>
      <c r="J90" s="819"/>
    </row>
    <row r="91" spans="1:10" ht="28.8">
      <c r="A91" s="822"/>
      <c r="B91" s="855" t="s">
        <v>401</v>
      </c>
      <c r="C91" s="856">
        <v>500</v>
      </c>
      <c r="D91" s="856">
        <v>85</v>
      </c>
      <c r="E91" s="856">
        <v>1</v>
      </c>
      <c r="F91" s="856">
        <v>7020</v>
      </c>
      <c r="G91" s="856">
        <v>7020</v>
      </c>
      <c r="H91" s="856">
        <v>7020</v>
      </c>
      <c r="I91" s="818">
        <f>SUM(F91:H91)</f>
        <v>21060</v>
      </c>
      <c r="J91" s="819"/>
    </row>
    <row r="92" spans="1:10">
      <c r="A92" s="822"/>
      <c r="B92" s="857" t="s">
        <v>402</v>
      </c>
      <c r="C92" s="856">
        <v>350</v>
      </c>
      <c r="D92" s="856">
        <v>60</v>
      </c>
      <c r="E92" s="856">
        <v>1</v>
      </c>
      <c r="F92" s="856">
        <v>4920</v>
      </c>
      <c r="G92" s="856">
        <v>4920</v>
      </c>
      <c r="H92" s="856">
        <v>4920</v>
      </c>
      <c r="I92" s="818">
        <f t="shared" ref="I92:I101" si="1">SUM(F92:H92)</f>
        <v>14760</v>
      </c>
      <c r="J92" s="819"/>
    </row>
    <row r="93" spans="1:10">
      <c r="A93" s="822"/>
      <c r="B93" s="855" t="s">
        <v>1014</v>
      </c>
      <c r="C93" s="856">
        <v>300</v>
      </c>
      <c r="D93" s="856">
        <v>51</v>
      </c>
      <c r="E93" s="856">
        <v>3</v>
      </c>
      <c r="F93" s="856">
        <v>12636</v>
      </c>
      <c r="G93" s="824">
        <v>12636</v>
      </c>
      <c r="H93" s="824">
        <v>12636</v>
      </c>
      <c r="I93" s="818">
        <f t="shared" si="1"/>
        <v>37908</v>
      </c>
      <c r="J93" s="819"/>
    </row>
    <row r="94" spans="1:10">
      <c r="A94" s="822"/>
      <c r="B94" s="855" t="s">
        <v>1015</v>
      </c>
      <c r="C94" s="856">
        <v>300</v>
      </c>
      <c r="D94" s="856">
        <v>51</v>
      </c>
      <c r="E94" s="856">
        <v>1</v>
      </c>
      <c r="F94" s="856">
        <v>4212</v>
      </c>
      <c r="G94" s="856">
        <v>4212</v>
      </c>
      <c r="H94" s="856">
        <v>4212</v>
      </c>
      <c r="I94" s="818">
        <f t="shared" si="1"/>
        <v>12636</v>
      </c>
      <c r="J94" s="819"/>
    </row>
    <row r="95" spans="1:10" ht="28.8">
      <c r="A95" s="822"/>
      <c r="B95" s="857" t="s">
        <v>403</v>
      </c>
      <c r="C95" s="856">
        <v>800</v>
      </c>
      <c r="D95" s="856"/>
      <c r="E95" s="856">
        <v>1</v>
      </c>
      <c r="F95" s="856">
        <v>9600</v>
      </c>
      <c r="G95" s="856">
        <v>9600</v>
      </c>
      <c r="H95" s="856">
        <v>9600</v>
      </c>
      <c r="I95" s="818">
        <f t="shared" si="1"/>
        <v>28800</v>
      </c>
      <c r="J95" s="819"/>
    </row>
    <row r="96" spans="1:10">
      <c r="A96" s="822"/>
      <c r="B96" s="857" t="s">
        <v>404</v>
      </c>
      <c r="C96" s="856">
        <v>50</v>
      </c>
      <c r="D96" s="856"/>
      <c r="E96" s="856">
        <v>1</v>
      </c>
      <c r="F96" s="856">
        <v>600</v>
      </c>
      <c r="G96" s="856">
        <v>600</v>
      </c>
      <c r="H96" s="856">
        <v>600</v>
      </c>
      <c r="I96" s="818">
        <f t="shared" si="1"/>
        <v>1800</v>
      </c>
      <c r="J96" s="819"/>
    </row>
    <row r="97" spans="1:10" ht="28.8">
      <c r="A97" s="822"/>
      <c r="B97" s="857" t="s">
        <v>405</v>
      </c>
      <c r="C97" s="856">
        <v>5</v>
      </c>
      <c r="D97" s="856"/>
      <c r="E97" s="856">
        <v>10</v>
      </c>
      <c r="F97" s="856">
        <v>600</v>
      </c>
      <c r="G97" s="824">
        <v>600</v>
      </c>
      <c r="H97" s="824">
        <v>600</v>
      </c>
      <c r="I97" s="818">
        <f t="shared" si="1"/>
        <v>1800</v>
      </c>
      <c r="J97" s="819"/>
    </row>
    <row r="98" spans="1:10" ht="28.8">
      <c r="A98" s="822"/>
      <c r="B98" s="857" t="s">
        <v>406</v>
      </c>
      <c r="C98" s="856">
        <v>30</v>
      </c>
      <c r="D98" s="856"/>
      <c r="E98" s="856">
        <v>1</v>
      </c>
      <c r="F98" s="856">
        <v>360</v>
      </c>
      <c r="G98" s="824">
        <v>360</v>
      </c>
      <c r="H98" s="824">
        <v>360</v>
      </c>
      <c r="I98" s="818">
        <f t="shared" si="1"/>
        <v>1080</v>
      </c>
      <c r="J98" s="819"/>
    </row>
    <row r="99" spans="1:10" ht="28.8">
      <c r="A99" s="822"/>
      <c r="B99" s="857" t="s">
        <v>407</v>
      </c>
      <c r="C99" s="856">
        <v>50</v>
      </c>
      <c r="D99" s="856"/>
      <c r="E99" s="856">
        <v>1</v>
      </c>
      <c r="F99" s="856">
        <v>600</v>
      </c>
      <c r="G99" s="824">
        <v>600</v>
      </c>
      <c r="H99" s="824">
        <v>600</v>
      </c>
      <c r="I99" s="818">
        <f t="shared" si="1"/>
        <v>1800</v>
      </c>
      <c r="J99" s="819"/>
    </row>
    <row r="100" spans="1:10" ht="28.8">
      <c r="A100" s="822"/>
      <c r="B100" s="857" t="s">
        <v>408</v>
      </c>
      <c r="C100" s="856">
        <v>10</v>
      </c>
      <c r="D100" s="856"/>
      <c r="E100" s="856">
        <v>10</v>
      </c>
      <c r="F100" s="856">
        <v>1200</v>
      </c>
      <c r="G100" s="824">
        <v>1200</v>
      </c>
      <c r="H100" s="824">
        <v>1200</v>
      </c>
      <c r="I100" s="818">
        <f t="shared" si="1"/>
        <v>3600</v>
      </c>
      <c r="J100" s="819"/>
    </row>
    <row r="101" spans="1:10">
      <c r="A101" s="822"/>
      <c r="B101" s="857" t="s">
        <v>409</v>
      </c>
      <c r="C101" s="856">
        <v>25</v>
      </c>
      <c r="D101" s="856"/>
      <c r="E101" s="856">
        <v>1</v>
      </c>
      <c r="F101" s="856">
        <v>300</v>
      </c>
      <c r="G101" s="824">
        <v>300</v>
      </c>
      <c r="H101" s="824">
        <v>300</v>
      </c>
      <c r="I101" s="818">
        <f t="shared" si="1"/>
        <v>900</v>
      </c>
      <c r="J101" s="819">
        <f>SUM(I91:I101)</f>
        <v>126144</v>
      </c>
    </row>
    <row r="102" spans="1:10" ht="86.4">
      <c r="A102" s="827" t="s">
        <v>451</v>
      </c>
      <c r="B102" s="857" t="s">
        <v>400</v>
      </c>
      <c r="C102" s="856">
        <v>1000</v>
      </c>
      <c r="D102" s="856">
        <v>170</v>
      </c>
      <c r="E102" s="856">
        <v>2</v>
      </c>
      <c r="F102" s="856">
        <v>2340</v>
      </c>
      <c r="G102" s="824"/>
      <c r="H102" s="824"/>
      <c r="I102" s="818">
        <v>2340</v>
      </c>
    </row>
    <row r="103" spans="1:10" ht="72">
      <c r="A103" s="827" t="s">
        <v>1016</v>
      </c>
      <c r="B103" s="799" t="s">
        <v>1017</v>
      </c>
      <c r="C103" s="819">
        <v>1000</v>
      </c>
      <c r="D103" s="819"/>
      <c r="E103" s="819">
        <v>2</v>
      </c>
      <c r="F103" s="819">
        <v>2000</v>
      </c>
      <c r="G103" s="819"/>
      <c r="H103" s="819"/>
      <c r="I103" s="819">
        <v>2000</v>
      </c>
    </row>
    <row r="104" spans="1:10" ht="86.4">
      <c r="A104" s="858"/>
      <c r="B104" s="859" t="s">
        <v>1018</v>
      </c>
      <c r="C104" s="819">
        <v>7000</v>
      </c>
      <c r="D104" s="819"/>
      <c r="E104" s="819">
        <v>1</v>
      </c>
      <c r="F104" s="819">
        <f>C104*E104</f>
        <v>7000</v>
      </c>
      <c r="G104" s="819"/>
      <c r="H104" s="819"/>
      <c r="I104" s="819">
        <f>F104</f>
        <v>7000</v>
      </c>
    </row>
    <row r="105" spans="1:10" ht="100.8">
      <c r="A105" s="819"/>
      <c r="B105" s="827" t="s">
        <v>450</v>
      </c>
      <c r="C105" s="819">
        <v>5000</v>
      </c>
      <c r="D105" s="819"/>
      <c r="E105" s="819">
        <v>1</v>
      </c>
      <c r="F105" s="819"/>
      <c r="G105" s="819">
        <f>C105</f>
        <v>5000</v>
      </c>
      <c r="H105" s="819"/>
      <c r="I105" s="819">
        <f>G105</f>
        <v>5000</v>
      </c>
    </row>
    <row r="106" spans="1:10" ht="28.8">
      <c r="A106" s="827" t="s">
        <v>1019</v>
      </c>
      <c r="B106" s="799" t="s">
        <v>1020</v>
      </c>
      <c r="C106" s="819">
        <v>1000</v>
      </c>
      <c r="D106" s="819"/>
      <c r="E106" s="819">
        <v>2</v>
      </c>
      <c r="F106" s="819"/>
      <c r="G106" s="819">
        <v>1000</v>
      </c>
      <c r="H106" s="819"/>
      <c r="I106" s="819">
        <f>G106</f>
        <v>1000</v>
      </c>
    </row>
    <row r="107" spans="1:10">
      <c r="B107" s="827"/>
      <c r="C107" s="860"/>
      <c r="D107" s="860"/>
      <c r="E107" s="860"/>
      <c r="F107" s="860"/>
      <c r="G107" s="860"/>
      <c r="H107" s="860"/>
      <c r="I107" s="860"/>
    </row>
    <row r="108" spans="1:10" ht="15.6">
      <c r="A108" s="861" t="s">
        <v>537</v>
      </c>
      <c r="B108" s="861"/>
      <c r="C108" s="861"/>
      <c r="D108" s="861"/>
      <c r="E108" s="861"/>
      <c r="F108" s="861"/>
      <c r="G108" s="861"/>
      <c r="H108" s="861"/>
      <c r="I108" s="861"/>
    </row>
    <row r="109" spans="1:10">
      <c r="A109" s="862"/>
      <c r="C109" s="819"/>
      <c r="D109" s="819"/>
      <c r="E109" s="819"/>
      <c r="F109" s="819"/>
      <c r="G109" s="819"/>
      <c r="H109" s="819"/>
      <c r="I109" s="819"/>
    </row>
    <row r="110" spans="1:10">
      <c r="A110" s="863"/>
      <c r="B110" s="863"/>
      <c r="C110" s="863"/>
      <c r="D110" s="863"/>
      <c r="E110" s="863"/>
      <c r="F110" s="863"/>
      <c r="G110" s="863"/>
      <c r="H110" s="863"/>
      <c r="I110" s="863"/>
    </row>
    <row r="111" spans="1:10">
      <c r="A111" s="819"/>
      <c r="B111" s="819"/>
      <c r="C111" s="819"/>
      <c r="D111" s="819"/>
      <c r="E111" s="819"/>
      <c r="F111" s="819"/>
      <c r="G111" s="819"/>
      <c r="H111" s="819"/>
      <c r="I111" s="819">
        <f>SUM(I5:I107)</f>
        <v>1337714.8</v>
      </c>
    </row>
    <row r="112" spans="1:10">
      <c r="A112" s="819"/>
      <c r="B112" s="819"/>
      <c r="C112" s="819"/>
      <c r="D112" s="819"/>
      <c r="E112" s="819"/>
      <c r="F112" s="819"/>
      <c r="G112" s="819"/>
      <c r="H112" s="819"/>
      <c r="I112" s="819"/>
    </row>
    <row r="113" spans="1:9">
      <c r="A113" s="819"/>
      <c r="B113" s="819"/>
      <c r="C113" s="819"/>
      <c r="D113" s="819"/>
      <c r="E113" s="819"/>
      <c r="F113" s="819"/>
      <c r="G113" s="819"/>
      <c r="H113" s="819"/>
      <c r="I113" s="819"/>
    </row>
    <row r="114" spans="1:9">
      <c r="A114" s="819"/>
      <c r="B114" s="819"/>
      <c r="C114" s="819"/>
      <c r="D114" s="819"/>
      <c r="E114" s="819"/>
      <c r="F114" s="819"/>
      <c r="G114" s="819"/>
      <c r="H114" s="819"/>
      <c r="I114" s="819"/>
    </row>
    <row r="115" spans="1:9">
      <c r="A115" s="819"/>
      <c r="B115" s="819"/>
      <c r="C115" s="819"/>
      <c r="D115" s="819"/>
      <c r="E115" s="819"/>
      <c r="F115" s="819"/>
      <c r="G115" s="819"/>
      <c r="H115" s="819"/>
      <c r="I115" s="819"/>
    </row>
    <row r="116" spans="1:9">
      <c r="A116" s="819"/>
      <c r="B116" s="819"/>
      <c r="C116" s="819"/>
      <c r="D116" s="819"/>
      <c r="E116" s="819"/>
      <c r="F116" s="819"/>
      <c r="G116" s="819"/>
      <c r="H116" s="819"/>
      <c r="I116" s="819"/>
    </row>
    <row r="117" spans="1:9">
      <c r="A117" s="819"/>
      <c r="B117" s="819"/>
      <c r="C117" s="819"/>
      <c r="D117" s="819"/>
      <c r="E117" s="819"/>
      <c r="F117" s="819"/>
      <c r="G117" s="819"/>
      <c r="H117" s="819"/>
      <c r="I117" s="819"/>
    </row>
    <row r="118" spans="1:9">
      <c r="A118" s="819"/>
      <c r="B118" s="819"/>
      <c r="C118" s="819"/>
      <c r="D118" s="819"/>
      <c r="E118" s="819"/>
      <c r="F118" s="819"/>
      <c r="G118" s="819"/>
      <c r="H118" s="819"/>
      <c r="I118" s="819"/>
    </row>
  </sheetData>
  <mergeCells count="1">
    <mergeCell ref="A14:A1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view="pageBreakPreview" topLeftCell="A12" zoomScale="90" zoomScaleNormal="70" zoomScaleSheetLayoutView="90" workbookViewId="0">
      <selection activeCell="B16" sqref="B16"/>
    </sheetView>
  </sheetViews>
  <sheetFormatPr defaultColWidth="9.109375" defaultRowHeight="15.6"/>
  <cols>
    <col min="1" max="1" width="46.109375" style="693" customWidth="1"/>
    <col min="2" max="2" width="34.88671875" style="693" customWidth="1"/>
    <col min="3" max="4" width="14.88671875" style="693" customWidth="1"/>
    <col min="5" max="6" width="15.44140625" style="693" customWidth="1"/>
    <col min="7" max="7" width="21.109375" style="693" customWidth="1"/>
    <col min="8" max="8" width="20.5546875" style="693" customWidth="1"/>
    <col min="9" max="9" width="9.109375" style="693"/>
    <col min="10" max="10" width="23" style="693" bestFit="1" customWidth="1"/>
    <col min="11" max="16384" width="9.109375" style="693"/>
  </cols>
  <sheetData>
    <row r="1" spans="1:12" ht="27" customHeight="1">
      <c r="A1" s="1002"/>
      <c r="B1" s="1002"/>
      <c r="C1" s="1002"/>
      <c r="D1" s="1002"/>
      <c r="E1" s="1002"/>
      <c r="F1" s="1002"/>
      <c r="G1" s="1002"/>
      <c r="H1" s="1002"/>
      <c r="I1" s="691"/>
      <c r="J1" s="691"/>
      <c r="K1" s="691"/>
      <c r="L1" s="692"/>
    </row>
    <row r="2" spans="1:12" ht="42.75" customHeight="1">
      <c r="A2" s="1003"/>
      <c r="B2" s="1003"/>
      <c r="C2" s="1003"/>
      <c r="D2" s="1003"/>
      <c r="E2" s="1003"/>
      <c r="F2" s="1003"/>
      <c r="G2" s="1003"/>
      <c r="H2" s="1003"/>
      <c r="I2" s="694"/>
      <c r="J2" s="694"/>
      <c r="K2" s="694"/>
      <c r="L2" s="694"/>
    </row>
    <row r="3" spans="1:12" ht="16.2" thickBot="1">
      <c r="A3" s="693" t="s">
        <v>776</v>
      </c>
    </row>
    <row r="4" spans="1:12" ht="47.4" thickBot="1">
      <c r="A4" s="695" t="s">
        <v>161</v>
      </c>
      <c r="B4" s="695" t="s">
        <v>465</v>
      </c>
      <c r="C4" s="695" t="s">
        <v>858</v>
      </c>
      <c r="D4" s="695" t="s">
        <v>466</v>
      </c>
      <c r="E4" s="695" t="s">
        <v>467</v>
      </c>
      <c r="F4" s="695" t="s">
        <v>468</v>
      </c>
      <c r="G4" s="695" t="s">
        <v>469</v>
      </c>
      <c r="H4" s="696" t="s">
        <v>470</v>
      </c>
      <c r="I4" s="697"/>
      <c r="J4" s="697"/>
      <c r="K4" s="697"/>
    </row>
    <row r="5" spans="1:12">
      <c r="D5" s="698"/>
      <c r="E5" s="699"/>
      <c r="F5" s="699"/>
      <c r="G5" s="699"/>
      <c r="H5" s="699"/>
    </row>
    <row r="6" spans="1:12" ht="16.2" thickBot="1">
      <c r="A6" s="700"/>
      <c r="B6" s="700"/>
      <c r="C6" s="700"/>
      <c r="D6" s="700"/>
      <c r="E6" s="700"/>
      <c r="F6" s="700"/>
      <c r="G6" s="700"/>
      <c r="H6" s="700"/>
      <c r="I6" s="693" t="s">
        <v>471</v>
      </c>
      <c r="J6" s="693">
        <v>83.420425420000001</v>
      </c>
    </row>
    <row r="7" spans="1:12" ht="69" customHeight="1" thickBot="1">
      <c r="A7" s="701" t="s">
        <v>472</v>
      </c>
      <c r="B7" s="695" t="s">
        <v>858</v>
      </c>
      <c r="C7" s="701" t="s">
        <v>473</v>
      </c>
      <c r="D7" s="695" t="s">
        <v>466</v>
      </c>
      <c r="E7" s="695" t="str">
        <f>E4</f>
        <v>январь-декабрь 2024</v>
      </c>
      <c r="F7" s="695" t="str">
        <f>F4</f>
        <v>январь-декабрь 2025</v>
      </c>
      <c r="G7" s="695" t="str">
        <f>G4</f>
        <v>январь-декабрь 2026</v>
      </c>
      <c r="H7" s="696" t="str">
        <f>H4</f>
        <v>Всего за период январь 2024-декабрь 2026</v>
      </c>
    </row>
    <row r="8" spans="1:12" ht="53.25" customHeight="1">
      <c r="A8" s="702" t="s">
        <v>859</v>
      </c>
      <c r="B8" s="703">
        <f>90000/83.42042542</f>
        <v>1078.8724649493643</v>
      </c>
      <c r="C8" s="704">
        <v>1</v>
      </c>
      <c r="D8" s="704">
        <v>12</v>
      </c>
      <c r="E8" s="705">
        <f>B8*C8*D8*50%</f>
        <v>6473.2347896961855</v>
      </c>
      <c r="F8" s="703">
        <f>B8*C8*D8*75%</f>
        <v>9709.8521845442774</v>
      </c>
      <c r="G8" s="705">
        <f t="shared" ref="G8:G9" si="0">B8*C8*D8</f>
        <v>12946.469579392371</v>
      </c>
      <c r="H8" s="706">
        <f t="shared" ref="H8:H16" si="1">SUM(E8:G8)</f>
        <v>29129.556553632836</v>
      </c>
    </row>
    <row r="9" spans="1:12" ht="51" customHeight="1">
      <c r="A9" s="702" t="s">
        <v>860</v>
      </c>
      <c r="B9" s="703">
        <f>70000/J6</f>
        <v>839.12302829394991</v>
      </c>
      <c r="C9" s="707">
        <v>1</v>
      </c>
      <c r="D9" s="704">
        <v>12</v>
      </c>
      <c r="E9" s="705">
        <f>B9*C9*D9*50%</f>
        <v>5034.7381697636993</v>
      </c>
      <c r="F9" s="703">
        <f>B9*C9*D9*75%</f>
        <v>7552.1072546455489</v>
      </c>
      <c r="G9" s="705">
        <f t="shared" si="0"/>
        <v>10069.476339527399</v>
      </c>
      <c r="H9" s="706">
        <f t="shared" si="1"/>
        <v>22656.321763936648</v>
      </c>
    </row>
    <row r="10" spans="1:12" ht="51" customHeight="1">
      <c r="A10" s="702" t="s">
        <v>861</v>
      </c>
      <c r="B10" s="703">
        <f>70000/J6</f>
        <v>839.12302829394991</v>
      </c>
      <c r="C10" s="707">
        <v>1</v>
      </c>
      <c r="D10" s="707">
        <v>12</v>
      </c>
      <c r="E10" s="705">
        <f>B10*25%*C10*D10</f>
        <v>2517.3690848818496</v>
      </c>
      <c r="F10" s="703">
        <f>B10*50%*C10*D10</f>
        <v>5034.7381697636993</v>
      </c>
      <c r="G10" s="705">
        <f>B10*75%*C10*D10</f>
        <v>7552.1072546455489</v>
      </c>
      <c r="H10" s="706">
        <f t="shared" si="1"/>
        <v>15104.214509291098</v>
      </c>
    </row>
    <row r="11" spans="1:12" ht="144" customHeight="1">
      <c r="A11" s="702" t="s">
        <v>862</v>
      </c>
      <c r="B11" s="708">
        <f>70000/J6</f>
        <v>839.12302829394991</v>
      </c>
      <c r="C11" s="707">
        <v>1</v>
      </c>
      <c r="D11" s="707">
        <v>12</v>
      </c>
      <c r="E11" s="705">
        <f>B11*50%*2*D11</f>
        <v>10069.476339527399</v>
      </c>
      <c r="F11" s="703">
        <f>B11*50%*4*D11</f>
        <v>20138.952679054797</v>
      </c>
      <c r="G11" s="705">
        <f>B11*150%*2*D11</f>
        <v>30208.429018582196</v>
      </c>
      <c r="H11" s="706">
        <f t="shared" si="1"/>
        <v>60416.858037164391</v>
      </c>
    </row>
    <row r="12" spans="1:12" ht="38.25" customHeight="1">
      <c r="A12" s="702" t="s">
        <v>863</v>
      </c>
      <c r="B12" s="709">
        <f>70000/J6</f>
        <v>839.12302829394991</v>
      </c>
      <c r="C12" s="707">
        <v>1</v>
      </c>
      <c r="D12" s="707">
        <v>12</v>
      </c>
      <c r="E12" s="705">
        <f>B12*25%*C12*D12</f>
        <v>2517.3690848818496</v>
      </c>
      <c r="F12" s="703">
        <f>B12*50%*C12*D12</f>
        <v>5034.7381697636993</v>
      </c>
      <c r="G12" s="705">
        <f>B12*50%*C12*D12</f>
        <v>5034.7381697636993</v>
      </c>
      <c r="H12" s="706">
        <f t="shared" si="1"/>
        <v>12586.845424409248</v>
      </c>
    </row>
    <row r="13" spans="1:12" ht="38.1" customHeight="1">
      <c r="A13" s="710" t="s">
        <v>864</v>
      </c>
      <c r="B13" s="708">
        <f>60000/J6</f>
        <v>719.2483099662428</v>
      </c>
      <c r="C13" s="707">
        <v>1</v>
      </c>
      <c r="D13" s="707">
        <v>12</v>
      </c>
      <c r="E13" s="705">
        <f>B13*50%*C13*D13</f>
        <v>4315.489859797457</v>
      </c>
      <c r="F13" s="703">
        <f>B13*50%*C13*D13</f>
        <v>4315.489859797457</v>
      </c>
      <c r="G13" s="705">
        <f>B13*50%*C13*D13</f>
        <v>4315.489859797457</v>
      </c>
      <c r="H13" s="706">
        <f t="shared" si="1"/>
        <v>12946.469579392371</v>
      </c>
    </row>
    <row r="14" spans="1:12">
      <c r="A14" s="711" t="s">
        <v>474</v>
      </c>
      <c r="B14" s="712"/>
      <c r="C14" s="707"/>
      <c r="D14" s="707"/>
      <c r="E14" s="713">
        <f>SUM(E8:E13)*17.25%</f>
        <v>5335.0243391746053</v>
      </c>
      <c r="F14" s="714">
        <f>SUM(F8:F13)*17.25%</f>
        <v>8933.0640097807354</v>
      </c>
      <c r="G14" s="713">
        <f>SUM(G8:G13)*17.25%</f>
        <v>12096.857513244744</v>
      </c>
      <c r="H14" s="715">
        <f t="shared" si="1"/>
        <v>26364.945862200086</v>
      </c>
    </row>
    <row r="15" spans="1:12" ht="73.5" customHeight="1">
      <c r="A15" s="716" t="s">
        <v>475</v>
      </c>
      <c r="B15" s="689">
        <v>60</v>
      </c>
      <c r="C15" s="717">
        <v>1</v>
      </c>
      <c r="D15" s="717">
        <v>12</v>
      </c>
      <c r="E15" s="718">
        <f>B15*C15*D15</f>
        <v>720</v>
      </c>
      <c r="F15" s="718">
        <f>E15</f>
        <v>720</v>
      </c>
      <c r="G15" s="718">
        <f>F15</f>
        <v>720</v>
      </c>
      <c r="H15" s="718">
        <f t="shared" si="1"/>
        <v>2160</v>
      </c>
    </row>
    <row r="16" spans="1:12" ht="51" customHeight="1" thickBot="1">
      <c r="A16" s="719" t="s">
        <v>476</v>
      </c>
      <c r="B16" s="690">
        <f>88400/J6</f>
        <v>1059.692510016931</v>
      </c>
      <c r="C16" s="720">
        <v>1</v>
      </c>
      <c r="D16" s="720">
        <v>2</v>
      </c>
      <c r="E16" s="721">
        <f>B16*D16</f>
        <v>2119.385020033862</v>
      </c>
      <c r="F16" s="721">
        <f t="shared" ref="F16" si="2">C16*E16</f>
        <v>2119.385020033862</v>
      </c>
      <c r="G16" s="721">
        <f>B16*D16</f>
        <v>2119.385020033862</v>
      </c>
      <c r="H16" s="722">
        <f t="shared" si="1"/>
        <v>6358.1550601015861</v>
      </c>
    </row>
    <row r="17" spans="1:8" ht="21.75" customHeight="1" thickBot="1">
      <c r="A17" s="723"/>
      <c r="B17" s="724"/>
      <c r="C17" s="724"/>
      <c r="D17" s="725"/>
      <c r="E17" s="725">
        <f>SUM(E8:E16)</f>
        <v>39102.086687756913</v>
      </c>
      <c r="F17" s="725">
        <f>SUM(F8:F16)</f>
        <v>63558.327347384082</v>
      </c>
      <c r="G17" s="725">
        <f>SUM(G8:G16)</f>
        <v>85062.952754987273</v>
      </c>
      <c r="H17" s="725">
        <f>SUM(H8:H16)</f>
        <v>187723.36679012826</v>
      </c>
    </row>
    <row r="18" spans="1:8">
      <c r="A18" s="726"/>
      <c r="B18" s="726"/>
      <c r="C18" s="726"/>
      <c r="D18" s="726"/>
      <c r="E18" s="726"/>
      <c r="F18" s="726"/>
      <c r="G18" s="726"/>
      <c r="H18" s="726"/>
    </row>
    <row r="19" spans="1:8">
      <c r="A19" s="726"/>
      <c r="B19" s="726"/>
      <c r="C19" s="726"/>
      <c r="D19" s="726"/>
      <c r="E19" s="726"/>
      <c r="F19" s="726"/>
      <c r="G19" s="726"/>
      <c r="H19" s="726"/>
    </row>
    <row r="20" spans="1:8">
      <c r="A20" s="726"/>
      <c r="B20" s="726"/>
      <c r="C20" s="726"/>
      <c r="D20" s="726"/>
      <c r="E20" s="726"/>
      <c r="F20" s="726"/>
      <c r="G20" s="726"/>
      <c r="H20" s="726"/>
    </row>
    <row r="21" spans="1:8">
      <c r="A21" s="726"/>
      <c r="B21" s="726"/>
      <c r="C21" s="726"/>
      <c r="D21" s="726"/>
      <c r="E21" s="726"/>
      <c r="F21" s="726"/>
      <c r="G21" s="726"/>
      <c r="H21" s="726"/>
    </row>
    <row r="22" spans="1:8">
      <c r="A22" s="726"/>
      <c r="B22" s="726"/>
      <c r="C22" s="726"/>
      <c r="D22" s="726"/>
      <c r="E22" s="726"/>
      <c r="F22" s="726"/>
      <c r="G22" s="726"/>
      <c r="H22" s="726"/>
    </row>
    <row r="23" spans="1:8">
      <c r="A23" s="726"/>
      <c r="B23" s="726"/>
      <c r="C23" s="726"/>
      <c r="D23" s="726"/>
      <c r="E23" s="726"/>
      <c r="F23" s="726"/>
      <c r="G23" s="726"/>
      <c r="H23" s="726"/>
    </row>
    <row r="24" spans="1:8">
      <c r="A24" s="726"/>
      <c r="B24" s="726"/>
      <c r="C24" s="726"/>
      <c r="D24" s="726"/>
      <c r="E24" s="726"/>
      <c r="F24" s="726"/>
      <c r="G24" s="726"/>
      <c r="H24" s="726"/>
    </row>
    <row r="25" spans="1:8">
      <c r="A25" s="726"/>
      <c r="B25" s="726"/>
      <c r="C25" s="726"/>
      <c r="D25" s="726"/>
      <c r="E25" s="726"/>
      <c r="F25" s="726"/>
      <c r="G25" s="726"/>
      <c r="H25" s="726"/>
    </row>
    <row r="26" spans="1:8">
      <c r="A26" s="726"/>
      <c r="B26" s="726"/>
      <c r="C26" s="726"/>
      <c r="D26" s="726"/>
      <c r="E26" s="726"/>
      <c r="F26" s="726"/>
      <c r="G26" s="726"/>
      <c r="H26" s="726"/>
    </row>
    <row r="27" spans="1:8">
      <c r="A27" s="726"/>
      <c r="B27" s="726"/>
      <c r="C27" s="726"/>
      <c r="D27" s="726"/>
      <c r="E27" s="726"/>
      <c r="F27" s="726"/>
      <c r="G27" s="726"/>
      <c r="H27" s="726"/>
    </row>
    <row r="28" spans="1:8">
      <c r="A28" s="726"/>
      <c r="B28" s="726"/>
      <c r="C28" s="726"/>
      <c r="D28" s="726"/>
      <c r="E28" s="726"/>
      <c r="F28" s="726"/>
      <c r="G28" s="726"/>
      <c r="H28" s="726"/>
    </row>
    <row r="29" spans="1:8">
      <c r="A29" s="726"/>
      <c r="B29" s="726"/>
      <c r="C29" s="726"/>
      <c r="D29" s="726"/>
      <c r="E29" s="726"/>
      <c r="F29" s="726"/>
      <c r="G29" s="726"/>
      <c r="H29" s="726"/>
    </row>
    <row r="30" spans="1:8">
      <c r="A30" s="726"/>
      <c r="B30" s="726"/>
      <c r="C30" s="726"/>
      <c r="D30" s="726"/>
      <c r="E30" s="726"/>
      <c r="F30" s="726"/>
      <c r="G30" s="726"/>
      <c r="H30" s="726"/>
    </row>
    <row r="31" spans="1:8">
      <c r="A31" s="726"/>
      <c r="B31" s="726"/>
      <c r="C31" s="726"/>
      <c r="D31" s="726"/>
      <c r="E31" s="726"/>
      <c r="F31" s="726"/>
      <c r="G31" s="726"/>
      <c r="H31" s="726"/>
    </row>
    <row r="32" spans="1:8">
      <c r="A32" s="726"/>
      <c r="B32" s="726"/>
      <c r="C32" s="726"/>
      <c r="D32" s="726"/>
      <c r="E32" s="726"/>
      <c r="F32" s="726"/>
      <c r="G32" s="726"/>
      <c r="H32" s="726"/>
    </row>
    <row r="33" spans="1:8">
      <c r="A33" s="726"/>
      <c r="B33" s="726"/>
      <c r="C33" s="726"/>
      <c r="D33" s="726"/>
      <c r="E33" s="726"/>
      <c r="F33" s="726"/>
      <c r="G33" s="726"/>
      <c r="H33" s="726"/>
    </row>
    <row r="34" spans="1:8">
      <c r="A34" s="726"/>
      <c r="B34" s="726"/>
      <c r="C34" s="726"/>
      <c r="D34" s="726"/>
      <c r="E34" s="726"/>
      <c r="F34" s="726"/>
      <c r="G34" s="726"/>
      <c r="H34" s="726"/>
    </row>
    <row r="35" spans="1:8">
      <c r="A35" s="726"/>
      <c r="B35" s="726"/>
      <c r="C35" s="726"/>
      <c r="D35" s="726"/>
      <c r="E35" s="726"/>
      <c r="F35" s="726"/>
      <c r="G35" s="726"/>
      <c r="H35" s="726"/>
    </row>
    <row r="36" spans="1:8">
      <c r="A36" s="726"/>
      <c r="B36" s="726"/>
      <c r="C36" s="726"/>
      <c r="D36" s="726"/>
      <c r="E36" s="726"/>
      <c r="F36" s="726"/>
      <c r="G36" s="726"/>
      <c r="H36" s="726"/>
    </row>
    <row r="37" spans="1:8">
      <c r="A37" s="726"/>
      <c r="B37" s="726"/>
      <c r="C37" s="726"/>
      <c r="D37" s="726"/>
      <c r="E37" s="726"/>
      <c r="F37" s="726"/>
      <c r="G37" s="726"/>
      <c r="H37" s="726"/>
    </row>
    <row r="38" spans="1:8">
      <c r="A38" s="726"/>
      <c r="B38" s="726"/>
      <c r="C38" s="726"/>
      <c r="D38" s="726"/>
      <c r="E38" s="726"/>
      <c r="F38" s="726"/>
      <c r="G38" s="726"/>
      <c r="H38" s="726"/>
    </row>
    <row r="39" spans="1:8">
      <c r="A39" s="726"/>
      <c r="B39" s="726"/>
      <c r="C39" s="726"/>
      <c r="D39" s="726"/>
      <c r="E39" s="726"/>
      <c r="F39" s="726"/>
      <c r="G39" s="726"/>
      <c r="H39" s="726"/>
    </row>
    <row r="40" spans="1:8">
      <c r="A40" s="726"/>
      <c r="B40" s="726"/>
      <c r="C40" s="726"/>
      <c r="D40" s="726"/>
      <c r="E40" s="726"/>
      <c r="F40" s="726"/>
      <c r="G40" s="726"/>
      <c r="H40" s="726"/>
    </row>
    <row r="41" spans="1:8">
      <c r="A41" s="726"/>
      <c r="B41" s="726"/>
      <c r="C41" s="726"/>
      <c r="D41" s="726"/>
      <c r="E41" s="726"/>
      <c r="F41" s="726"/>
      <c r="G41" s="726"/>
      <c r="H41" s="726"/>
    </row>
    <row r="42" spans="1:8">
      <c r="A42" s="726"/>
      <c r="B42" s="726"/>
      <c r="C42" s="726"/>
      <c r="D42" s="726"/>
      <c r="E42" s="726"/>
      <c r="F42" s="726"/>
      <c r="G42" s="726"/>
      <c r="H42" s="726"/>
    </row>
    <row r="43" spans="1:8">
      <c r="A43" s="726"/>
      <c r="B43" s="726"/>
      <c r="C43" s="726"/>
      <c r="D43" s="726"/>
      <c r="E43" s="726"/>
      <c r="F43" s="726"/>
      <c r="G43" s="726"/>
      <c r="H43" s="726"/>
    </row>
    <row r="44" spans="1:8">
      <c r="A44" s="726"/>
      <c r="B44" s="726"/>
      <c r="C44" s="726"/>
      <c r="D44" s="726"/>
      <c r="E44" s="726"/>
      <c r="F44" s="726"/>
      <c r="G44" s="726"/>
      <c r="H44" s="726"/>
    </row>
    <row r="45" spans="1:8">
      <c r="A45" s="726"/>
      <c r="B45" s="726"/>
      <c r="C45" s="726"/>
      <c r="D45" s="726"/>
      <c r="E45" s="726"/>
      <c r="F45" s="726"/>
      <c r="G45" s="726"/>
      <c r="H45" s="726"/>
    </row>
    <row r="46" spans="1:8">
      <c r="A46" s="726"/>
      <c r="B46" s="726"/>
      <c r="C46" s="726"/>
      <c r="D46" s="726"/>
      <c r="E46" s="726"/>
      <c r="F46" s="726"/>
      <c r="G46" s="726"/>
      <c r="H46" s="726"/>
    </row>
    <row r="47" spans="1:8">
      <c r="A47" s="726"/>
      <c r="B47" s="726"/>
      <c r="C47" s="726"/>
      <c r="D47" s="726"/>
      <c r="E47" s="726"/>
      <c r="F47" s="726"/>
      <c r="G47" s="726"/>
      <c r="H47" s="726"/>
    </row>
    <row r="48" spans="1:8">
      <c r="A48" s="726"/>
      <c r="B48" s="726"/>
      <c r="C48" s="726"/>
      <c r="D48" s="726"/>
      <c r="E48" s="726"/>
      <c r="F48" s="726"/>
      <c r="G48" s="726"/>
      <c r="H48" s="726"/>
    </row>
    <row r="49" spans="1:8">
      <c r="A49" s="726"/>
      <c r="B49" s="726"/>
      <c r="C49" s="726"/>
      <c r="D49" s="726"/>
      <c r="E49" s="726"/>
      <c r="F49" s="726"/>
      <c r="G49" s="726"/>
      <c r="H49" s="726"/>
    </row>
    <row r="50" spans="1:8">
      <c r="A50" s="726"/>
      <c r="B50" s="726"/>
      <c r="C50" s="726"/>
      <c r="D50" s="726"/>
      <c r="E50" s="726"/>
      <c r="F50" s="726"/>
      <c r="G50" s="726"/>
      <c r="H50" s="726"/>
    </row>
    <row r="51" spans="1:8">
      <c r="A51" s="726"/>
      <c r="B51" s="726"/>
      <c r="C51" s="726"/>
      <c r="D51" s="726"/>
      <c r="E51" s="726"/>
      <c r="F51" s="726"/>
      <c r="G51" s="726"/>
      <c r="H51" s="726"/>
    </row>
    <row r="52" spans="1:8">
      <c r="A52" s="726"/>
      <c r="B52" s="726"/>
      <c r="C52" s="726"/>
      <c r="D52" s="726"/>
      <c r="E52" s="726"/>
      <c r="F52" s="726"/>
      <c r="G52" s="726"/>
      <c r="H52" s="726"/>
    </row>
    <row r="53" spans="1:8">
      <c r="A53" s="726"/>
      <c r="B53" s="726"/>
      <c r="C53" s="726"/>
      <c r="D53" s="726"/>
      <c r="E53" s="726"/>
      <c r="F53" s="726"/>
      <c r="G53" s="726"/>
      <c r="H53" s="726"/>
    </row>
    <row r="54" spans="1:8">
      <c r="A54" s="726"/>
      <c r="B54" s="726"/>
      <c r="C54" s="726"/>
      <c r="D54" s="726"/>
      <c r="E54" s="726"/>
      <c r="F54" s="726"/>
      <c r="G54" s="726"/>
      <c r="H54" s="726"/>
    </row>
    <row r="55" spans="1:8">
      <c r="A55" s="726"/>
      <c r="B55" s="726"/>
      <c r="C55" s="726"/>
      <c r="D55" s="726"/>
      <c r="E55" s="726"/>
      <c r="F55" s="726"/>
      <c r="G55" s="726"/>
      <c r="H55" s="726"/>
    </row>
    <row r="56" spans="1:8">
      <c r="A56" s="726"/>
      <c r="B56" s="726"/>
      <c r="C56" s="726"/>
      <c r="D56" s="726"/>
      <c r="E56" s="726"/>
      <c r="F56" s="726"/>
      <c r="G56" s="726"/>
      <c r="H56" s="726"/>
    </row>
    <row r="57" spans="1:8">
      <c r="A57" s="726"/>
      <c r="B57" s="726"/>
      <c r="C57" s="726"/>
      <c r="D57" s="726"/>
      <c r="E57" s="726"/>
      <c r="F57" s="726"/>
      <c r="G57" s="726"/>
      <c r="H57" s="726"/>
    </row>
    <row r="58" spans="1:8">
      <c r="A58" s="726"/>
      <c r="B58" s="726"/>
      <c r="C58" s="726"/>
      <c r="D58" s="726"/>
      <c r="E58" s="726"/>
      <c r="F58" s="726"/>
      <c r="G58" s="726"/>
      <c r="H58" s="726"/>
    </row>
    <row r="59" spans="1:8">
      <c r="A59" s="726"/>
      <c r="B59" s="726"/>
      <c r="C59" s="726"/>
      <c r="D59" s="726"/>
      <c r="E59" s="726"/>
      <c r="F59" s="726"/>
      <c r="G59" s="726"/>
      <c r="H59" s="726"/>
    </row>
    <row r="60" spans="1:8">
      <c r="A60" s="726"/>
      <c r="B60" s="726"/>
      <c r="C60" s="726"/>
      <c r="D60" s="726"/>
      <c r="E60" s="726"/>
      <c r="F60" s="726"/>
      <c r="G60" s="726"/>
      <c r="H60" s="726"/>
    </row>
    <row r="61" spans="1:8">
      <c r="A61" s="726"/>
      <c r="B61" s="726"/>
      <c r="C61" s="726"/>
      <c r="D61" s="726"/>
      <c r="E61" s="726"/>
      <c r="F61" s="726"/>
      <c r="G61" s="726"/>
      <c r="H61" s="726"/>
    </row>
    <row r="62" spans="1:8">
      <c r="A62" s="726"/>
      <c r="B62" s="726"/>
      <c r="C62" s="726"/>
      <c r="D62" s="726"/>
      <c r="E62" s="726"/>
      <c r="F62" s="726"/>
      <c r="G62" s="726"/>
      <c r="H62" s="726"/>
    </row>
    <row r="63" spans="1:8">
      <c r="A63" s="726"/>
      <c r="B63" s="726"/>
      <c r="C63" s="726"/>
      <c r="D63" s="726"/>
      <c r="E63" s="726"/>
      <c r="F63" s="726"/>
      <c r="G63" s="726"/>
      <c r="H63" s="726"/>
    </row>
    <row r="64" spans="1:8">
      <c r="A64" s="726"/>
      <c r="B64" s="726"/>
      <c r="C64" s="726"/>
      <c r="D64" s="726"/>
      <c r="E64" s="726"/>
      <c r="F64" s="726"/>
      <c r="G64" s="726"/>
      <c r="H64" s="726"/>
    </row>
    <row r="65" spans="1:8">
      <c r="A65" s="726"/>
      <c r="B65" s="726"/>
      <c r="C65" s="726"/>
      <c r="D65" s="726"/>
      <c r="E65" s="726"/>
      <c r="F65" s="726"/>
      <c r="G65" s="726"/>
      <c r="H65" s="726"/>
    </row>
    <row r="66" spans="1:8">
      <c r="A66" s="726"/>
      <c r="B66" s="726"/>
      <c r="C66" s="726"/>
      <c r="D66" s="726"/>
      <c r="E66" s="726"/>
      <c r="F66" s="726"/>
      <c r="G66" s="726"/>
      <c r="H66" s="726"/>
    </row>
  </sheetData>
  <mergeCells count="2"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A25A6F71035948B515E381823E7259" ma:contentTypeVersion="16" ma:contentTypeDescription="Create a new document." ma:contentTypeScope="" ma:versionID="d6b83a29c8b0b326fc7c7183332e7349">
  <xsd:schema xmlns:xsd="http://www.w3.org/2001/XMLSchema" xmlns:xs="http://www.w3.org/2001/XMLSchema" xmlns:p="http://schemas.microsoft.com/office/2006/metadata/properties" xmlns:ns2="5e778171-010b-46a9-9793-56f57a2ad9d8" xmlns:ns3="371e50f6-fa26-46ed-8bd6-fc2b4837b6bc" targetNamespace="http://schemas.microsoft.com/office/2006/metadata/properties" ma:root="true" ma:fieldsID="65512da26eca0478be375d6a5068726e" ns2:_="" ns3:_="">
    <xsd:import namespace="5e778171-010b-46a9-9793-56f57a2ad9d8"/>
    <xsd:import namespace="371e50f6-fa26-46ed-8bd6-fc2b4837b6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78171-010b-46a9-9793-56f57a2ad9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e50f6-fa26-46ed-8bd6-fc2b4837b6b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8a4056-c86a-4be0-b1f7-9ee7a6280a05}" ma:internalName="TaxCatchAll" ma:showField="CatchAllData" ma:web="371e50f6-fa26-46ed-8bd6-fc2b4837b6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778171-010b-46a9-9793-56f57a2ad9d8">
      <Terms xmlns="http://schemas.microsoft.com/office/infopath/2007/PartnerControls"/>
    </lcf76f155ced4ddcb4097134ff3c332f>
    <TaxCatchAll xmlns="371e50f6-fa26-46ed-8bd6-fc2b4837b6bc" xsi:nil="true"/>
  </documentManagement>
</p:properties>
</file>

<file path=customXml/itemProps1.xml><?xml version="1.0" encoding="utf-8"?>
<ds:datastoreItem xmlns:ds="http://schemas.openxmlformats.org/officeDocument/2006/customXml" ds:itemID="{89E68131-37EC-4978-8E2C-35106AB61A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778171-010b-46a9-9793-56f57a2ad9d8"/>
    <ds:schemaRef ds:uri="371e50f6-fa26-46ed-8bd6-fc2b4837b6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913A15-696C-4F57-9156-0CA47362B5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6852C0-6900-4FD1-A3FB-BA5E28C494D6}">
  <ds:schemaRefs>
    <ds:schemaRef ds:uri="http://www.w3.org/XML/1998/namespace"/>
    <ds:schemaRef ds:uri="5e778171-010b-46a9-9793-56f57a2ad9d8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371e50f6-fa26-46ed-8bd6-fc2b4837b6b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2</vt:i4>
      </vt:variant>
    </vt:vector>
  </HeadingPairs>
  <TitlesOfParts>
    <vt:vector size="27" baseType="lpstr">
      <vt:lpstr>Бюджет ВИЧ общий</vt:lpstr>
      <vt:lpstr>расчет на тренинги </vt:lpstr>
      <vt:lpstr>Модуль 1-2</vt:lpstr>
      <vt:lpstr>Закупки</vt:lpstr>
      <vt:lpstr>Модуль 1РЦПН</vt:lpstr>
      <vt:lpstr>Модуль 3РЦПН</vt:lpstr>
      <vt:lpstr>Модуль 9</vt:lpstr>
      <vt:lpstr>ИМН к модулю 9</vt:lpstr>
      <vt:lpstr>Модуль 10</vt:lpstr>
      <vt:lpstr>Мод10 детали</vt:lpstr>
      <vt:lpstr>ИМН СР</vt:lpstr>
      <vt:lpstr>ИППП СР</vt:lpstr>
      <vt:lpstr>Модуль 11</vt:lpstr>
      <vt:lpstr>Модуль 12</vt:lpstr>
      <vt:lpstr>РЦПН</vt:lpstr>
      <vt:lpstr>Модуль 13</vt:lpstr>
      <vt:lpstr>Модуль 14</vt:lpstr>
      <vt:lpstr>Модуль ЛЖВ НПО</vt:lpstr>
      <vt:lpstr>Модуль 18 РЦС</vt:lpstr>
      <vt:lpstr>Прогноз на 3 года АРВ</vt:lpstr>
      <vt:lpstr> Диагностика РЦС</vt:lpstr>
      <vt:lpstr>ИМН РЦС</vt:lpstr>
      <vt:lpstr>ОборудованияЛДВ</vt:lpstr>
      <vt:lpstr>Модуль 20</vt:lpstr>
      <vt:lpstr>ЦРЗ</vt:lpstr>
      <vt:lpstr>РЦПН!Область_печати</vt:lpstr>
      <vt:lpstr>ЦРЗ!Область_печати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Новикова</dc:creator>
  <cp:lastModifiedBy>USER</cp:lastModifiedBy>
  <dcterms:created xsi:type="dcterms:W3CDTF">2023-01-16T05:00:47Z</dcterms:created>
  <dcterms:modified xsi:type="dcterms:W3CDTF">2023-03-03T02:43:41Z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0x0101009DA25A6F71035948B515E381823E7259</vt:lpwstr>
  </property>
  <property fmtid="{D5CDD505-2E9C-101B-9397-08002B2CF9AE}" pid="3" name="MediaServiceImageTags">
    <vt:lpwstr/>
  </property>
</Properties>
</file>