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трановая заявка в ГФ 2024\Ближе к финалу 02.03.23\"/>
    </mc:Choice>
  </mc:AlternateContent>
  <bookViews>
    <workbookView xWindow="0" yWindow="0" windowWidth="23040" windowHeight="9192"/>
  </bookViews>
  <sheets>
    <sheet name="общий бюджет ТБ" sheetId="6" r:id="rId1"/>
    <sheet name="шелтер" sheetId="1" r:id="rId2"/>
    <sheet name="соц-сопровождение, КП и пробаци" sheetId="3" r:id="rId3"/>
    <sheet name="активное выявление" sheetId="4" r:id="rId4"/>
    <sheet name="надбавки мед работникам" sheetId="5" r:id="rId5"/>
    <sheet name="расчет тренингов" sheetId="7" r:id="rId6"/>
    <sheet name="Xpert upgrade" sheetId="11" r:id="rId7"/>
    <sheet name="ВОК лабораторий" sheetId="9" r:id="rId8"/>
    <sheet name="лаб.PAAR" sheetId="8" r:id="rId9"/>
    <sheet name="секвенирование" sheetId="10" r:id="rId10"/>
    <sheet name="медикаменты 2024-2027(9 мес)" sheetId="12" r:id="rId11"/>
    <sheet name="хим.профилактика" sheetId="13" r:id="rId12"/>
    <sheet name="Детские+В6" sheetId="14" r:id="rId13"/>
    <sheet name="2025" sheetId="15" r:id="rId14"/>
    <sheet name="2026" sheetId="16" r:id="rId15"/>
    <sheet name="2027" sheetId="17" r:id="rId16"/>
  </sheets>
  <definedNames>
    <definedName name="_xlnm._FilterDatabase" localSheetId="10" hidden="1">'медикаменты 2024-2027(9 мес)'!$A$2:$Y$32</definedName>
    <definedName name="_xlnm._FilterDatabase" localSheetId="1" hidden="1">шелтер!$A$4:$J$24</definedName>
    <definedName name="_xlnm.Print_Area" localSheetId="1">шелтер!$A$1:$J$24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6" l="1"/>
  <c r="F58" i="6"/>
  <c r="F57" i="6"/>
  <c r="E26" i="6" l="1"/>
  <c r="D26" i="6"/>
  <c r="C26" i="6"/>
  <c r="F59" i="6"/>
  <c r="G26" i="17" l="1"/>
  <c r="C26" i="17"/>
  <c r="K28" i="17" s="1"/>
  <c r="K25" i="17"/>
  <c r="J25" i="17"/>
  <c r="K23" i="17"/>
  <c r="J23" i="17"/>
  <c r="K22" i="17"/>
  <c r="J22" i="17"/>
  <c r="K20" i="17"/>
  <c r="J20" i="17"/>
  <c r="K19" i="17"/>
  <c r="J19" i="17"/>
  <c r="K18" i="17"/>
  <c r="J18" i="17"/>
  <c r="K17" i="17"/>
  <c r="J17" i="17"/>
  <c r="K16" i="17"/>
  <c r="J16" i="17"/>
  <c r="K13" i="17"/>
  <c r="J13" i="17"/>
  <c r="K11" i="17"/>
  <c r="J11" i="17"/>
  <c r="K10" i="17"/>
  <c r="J10" i="17"/>
  <c r="K8" i="17"/>
  <c r="J8" i="17"/>
  <c r="K7" i="17"/>
  <c r="J7" i="17"/>
  <c r="K6" i="17"/>
  <c r="J6" i="17"/>
  <c r="K5" i="17"/>
  <c r="J5" i="17"/>
  <c r="K4" i="17"/>
  <c r="J4" i="17"/>
  <c r="K3" i="17"/>
  <c r="K26" i="17" s="1"/>
  <c r="J3" i="17"/>
  <c r="K28" i="16"/>
  <c r="G26" i="16"/>
  <c r="C26" i="16"/>
  <c r="K25" i="16"/>
  <c r="J25" i="16"/>
  <c r="K23" i="16"/>
  <c r="J23" i="16"/>
  <c r="K22" i="16"/>
  <c r="J22" i="16"/>
  <c r="K20" i="16"/>
  <c r="J20" i="16"/>
  <c r="K19" i="16"/>
  <c r="J19" i="16"/>
  <c r="K18" i="16"/>
  <c r="J18" i="16"/>
  <c r="K17" i="16"/>
  <c r="J17" i="16"/>
  <c r="K16" i="16"/>
  <c r="J16" i="16"/>
  <c r="K13" i="16"/>
  <c r="J13" i="16"/>
  <c r="K11" i="16"/>
  <c r="J11" i="16"/>
  <c r="K10" i="16"/>
  <c r="J10" i="16"/>
  <c r="K8" i="16"/>
  <c r="J8" i="16"/>
  <c r="K7" i="16"/>
  <c r="J7" i="16"/>
  <c r="K6" i="16"/>
  <c r="J6" i="16"/>
  <c r="K5" i="16"/>
  <c r="J5" i="16"/>
  <c r="K4" i="16"/>
  <c r="J4" i="16"/>
  <c r="K3" i="16"/>
  <c r="K26" i="16" s="1"/>
  <c r="J3" i="16"/>
  <c r="K26" i="15"/>
  <c r="G26" i="15"/>
  <c r="C26" i="15"/>
  <c r="K25" i="15"/>
  <c r="J25" i="15"/>
  <c r="K23" i="15"/>
  <c r="J23" i="15"/>
  <c r="K20" i="15"/>
  <c r="J20" i="15"/>
  <c r="K19" i="15"/>
  <c r="J19" i="15"/>
  <c r="K18" i="15"/>
  <c r="J18" i="15"/>
  <c r="K17" i="15"/>
  <c r="J17" i="15"/>
  <c r="K11" i="15"/>
  <c r="J11" i="15"/>
  <c r="K8" i="15"/>
  <c r="J8" i="15"/>
  <c r="K7" i="15"/>
  <c r="J7" i="15"/>
  <c r="K6" i="15"/>
  <c r="J6" i="15"/>
  <c r="K4" i="15"/>
  <c r="J4" i="15"/>
  <c r="K3" i="15"/>
  <c r="J3" i="15"/>
  <c r="D17" i="14"/>
  <c r="E17" i="14" s="1"/>
  <c r="F15" i="14"/>
  <c r="D15" i="14"/>
  <c r="E15" i="14" s="1"/>
  <c r="F14" i="14"/>
  <c r="E14" i="14"/>
  <c r="D14" i="14"/>
  <c r="F13" i="14"/>
  <c r="E13" i="14"/>
  <c r="D13" i="14"/>
  <c r="D8" i="14"/>
  <c r="G8" i="14" s="1"/>
  <c r="J8" i="14" s="1"/>
  <c r="G7" i="14"/>
  <c r="D7" i="14"/>
  <c r="D9" i="14" s="1"/>
  <c r="J6" i="14"/>
  <c r="M6" i="14" s="1"/>
  <c r="I6" i="14"/>
  <c r="H6" i="14"/>
  <c r="G6" i="14"/>
  <c r="E6" i="14"/>
  <c r="C6" i="14"/>
  <c r="F6" i="14" s="1"/>
  <c r="J5" i="14"/>
  <c r="M5" i="14" s="1"/>
  <c r="I5" i="14"/>
  <c r="H5" i="14"/>
  <c r="G5" i="14"/>
  <c r="E5" i="14"/>
  <c r="C5" i="14"/>
  <c r="F5" i="14" s="1"/>
  <c r="J4" i="14"/>
  <c r="M4" i="14" s="1"/>
  <c r="I4" i="14"/>
  <c r="H4" i="14"/>
  <c r="G4" i="14"/>
  <c r="E4" i="14"/>
  <c r="C4" i="14"/>
  <c r="F4" i="14" s="1"/>
  <c r="I13" i="13"/>
  <c r="G5" i="13"/>
  <c r="G6" i="13" s="1"/>
  <c r="C5" i="13"/>
  <c r="C6" i="13" s="1"/>
  <c r="O4" i="13"/>
  <c r="K4" i="13"/>
  <c r="C4" i="13"/>
  <c r="P3" i="13"/>
  <c r="L3" i="13"/>
  <c r="H3" i="13"/>
  <c r="D3" i="13"/>
  <c r="W30" i="12"/>
  <c r="W32" i="12" s="1"/>
  <c r="M46" i="12" s="1"/>
  <c r="O30" i="12"/>
  <c r="O32" i="12" s="1"/>
  <c r="M44" i="12" s="1"/>
  <c r="O29" i="12"/>
  <c r="P28" i="12"/>
  <c r="O28" i="12"/>
  <c r="J28" i="12"/>
  <c r="I28" i="12" s="1"/>
  <c r="D28" i="12"/>
  <c r="C28" i="12"/>
  <c r="C30" i="12" s="1"/>
  <c r="W27" i="12"/>
  <c r="Q27" i="12"/>
  <c r="K27" i="12"/>
  <c r="Y26" i="12"/>
  <c r="W29" i="12" s="1"/>
  <c r="O26" i="12"/>
  <c r="K26" i="12"/>
  <c r="I26" i="12"/>
  <c r="I30" i="12" s="1"/>
  <c r="I32" i="12" s="1"/>
  <c r="M43" i="12" s="1"/>
  <c r="E26" i="12"/>
  <c r="M35" i="12" s="1"/>
  <c r="C26" i="12"/>
  <c r="C29" i="12" s="1"/>
  <c r="R25" i="12"/>
  <c r="S25" i="12" s="1"/>
  <c r="L25" i="12"/>
  <c r="F25" i="12"/>
  <c r="S24" i="12"/>
  <c r="T23" i="12"/>
  <c r="S23" i="12"/>
  <c r="R23" i="12"/>
  <c r="L23" i="12"/>
  <c r="F23" i="12"/>
  <c r="T22" i="12"/>
  <c r="R22" i="12"/>
  <c r="L22" i="12"/>
  <c r="S22" i="12" s="1"/>
  <c r="F22" i="12"/>
  <c r="S21" i="12"/>
  <c r="R20" i="12"/>
  <c r="S20" i="12" s="1"/>
  <c r="L20" i="12"/>
  <c r="F20" i="12"/>
  <c r="T19" i="12"/>
  <c r="S19" i="12"/>
  <c r="R19" i="12"/>
  <c r="L19" i="12"/>
  <c r="F19" i="12"/>
  <c r="S18" i="12"/>
  <c r="R18" i="12"/>
  <c r="L18" i="12"/>
  <c r="F18" i="12"/>
  <c r="T17" i="12"/>
  <c r="R17" i="12"/>
  <c r="L17" i="12"/>
  <c r="S17" i="12" s="1"/>
  <c r="F17" i="12"/>
  <c r="R16" i="12"/>
  <c r="S16" i="12" s="1"/>
  <c r="L16" i="12"/>
  <c r="F16" i="12"/>
  <c r="T16" i="12" s="1"/>
  <c r="S15" i="12"/>
  <c r="S14" i="12"/>
  <c r="S13" i="12"/>
  <c r="R13" i="12"/>
  <c r="L13" i="12"/>
  <c r="F13" i="12"/>
  <c r="R12" i="12"/>
  <c r="L12" i="12"/>
  <c r="S12" i="12" s="1"/>
  <c r="F12" i="12"/>
  <c r="T12" i="12" s="1"/>
  <c r="R11" i="12"/>
  <c r="T11" i="12" s="1"/>
  <c r="L11" i="12"/>
  <c r="F11" i="12"/>
  <c r="R10" i="12"/>
  <c r="S10" i="12" s="1"/>
  <c r="L10" i="12"/>
  <c r="F10" i="12"/>
  <c r="S9" i="12"/>
  <c r="R8" i="12"/>
  <c r="L8" i="12"/>
  <c r="S8" i="12" s="1"/>
  <c r="F8" i="12"/>
  <c r="T8" i="12" s="1"/>
  <c r="R7" i="12"/>
  <c r="T7" i="12" s="1"/>
  <c r="L7" i="12"/>
  <c r="F7" i="12"/>
  <c r="R6" i="12"/>
  <c r="S6" i="12" s="1"/>
  <c r="L6" i="12"/>
  <c r="T6" i="12" s="1"/>
  <c r="F6" i="12"/>
  <c r="T5" i="12"/>
  <c r="S5" i="12"/>
  <c r="R5" i="12"/>
  <c r="L5" i="12"/>
  <c r="F5" i="12"/>
  <c r="T4" i="12"/>
  <c r="R4" i="12"/>
  <c r="L4" i="12"/>
  <c r="S4" i="12" s="1"/>
  <c r="F4" i="12"/>
  <c r="R3" i="12"/>
  <c r="T3" i="12" s="1"/>
  <c r="L3" i="12"/>
  <c r="F3" i="12"/>
  <c r="O6" i="13" l="1"/>
  <c r="I32" i="17"/>
  <c r="C31" i="12"/>
  <c r="C32" i="12" s="1"/>
  <c r="G9" i="14"/>
  <c r="J9" i="14" s="1"/>
  <c r="I12" i="14"/>
  <c r="M7" i="14"/>
  <c r="K30" i="16"/>
  <c r="J7" i="14"/>
  <c r="O7" i="14" s="1"/>
  <c r="K29" i="15"/>
  <c r="K32" i="15" s="1"/>
  <c r="S3" i="12"/>
  <c r="S7" i="12"/>
  <c r="T10" i="12"/>
  <c r="S11" i="12"/>
  <c r="T20" i="12"/>
  <c r="K5" i="13"/>
  <c r="K6" i="13" s="1"/>
  <c r="I29" i="12"/>
  <c r="M34" i="12"/>
  <c r="M36" i="12" s="1"/>
  <c r="O5" i="13"/>
  <c r="M42" i="12" l="1"/>
  <c r="M40" i="12"/>
  <c r="I14" i="13"/>
  <c r="I15" i="13" s="1"/>
  <c r="M38" i="12"/>
  <c r="M37" i="12"/>
  <c r="B3" i="5" l="1"/>
  <c r="E3" i="5" s="1"/>
  <c r="B4" i="5"/>
  <c r="E4" i="5" s="1"/>
  <c r="F4" i="5" s="1"/>
  <c r="G4" i="5" s="1"/>
  <c r="B11" i="5"/>
  <c r="E11" i="5" s="1"/>
  <c r="B9" i="5"/>
  <c r="E9" i="5" s="1"/>
  <c r="B8" i="5"/>
  <c r="E8" i="5" s="1"/>
  <c r="B7" i="5"/>
  <c r="E7" i="5" s="1"/>
  <c r="C6" i="5"/>
  <c r="B6" i="5"/>
  <c r="C5" i="5"/>
  <c r="B5" i="5"/>
  <c r="E5" i="5" l="1"/>
  <c r="F5" i="5" s="1"/>
  <c r="G5" i="5" s="1"/>
  <c r="F3" i="5"/>
  <c r="G3" i="5" s="1"/>
  <c r="H4" i="5"/>
  <c r="E6" i="5"/>
  <c r="F7" i="5"/>
  <c r="G7" i="5" s="1"/>
  <c r="H7" i="5"/>
  <c r="F8" i="5"/>
  <c r="G8" i="5" s="1"/>
  <c r="F11" i="5"/>
  <c r="G11" i="5" s="1"/>
  <c r="F9" i="5"/>
  <c r="G9" i="5" s="1"/>
  <c r="E10" i="5" l="1"/>
  <c r="H10" i="5" s="1"/>
  <c r="H9" i="5"/>
  <c r="H3" i="5"/>
  <c r="H11" i="5"/>
  <c r="F6" i="5"/>
  <c r="G6" i="5" s="1"/>
  <c r="H5" i="5"/>
  <c r="H6" i="5"/>
  <c r="G10" i="5"/>
  <c r="F10" i="5"/>
  <c r="H8" i="5"/>
  <c r="E12" i="5" l="1"/>
  <c r="F12" i="5" s="1"/>
  <c r="G12" i="5" s="1"/>
  <c r="H12" i="5" l="1"/>
  <c r="E30" i="6"/>
  <c r="C30" i="6"/>
  <c r="D18" i="6"/>
  <c r="E18" i="6"/>
  <c r="C18" i="6"/>
  <c r="E10" i="6"/>
  <c r="D10" i="6"/>
  <c r="C10" i="6"/>
  <c r="D32" i="6" l="1"/>
  <c r="C32" i="6"/>
  <c r="F32" i="6" l="1"/>
  <c r="G43" i="6"/>
  <c r="G51" i="6"/>
  <c r="E51" i="6"/>
  <c r="D51" i="6"/>
  <c r="C51" i="6"/>
  <c r="G35" i="6"/>
  <c r="G20" i="6"/>
  <c r="G14" i="6"/>
  <c r="G4" i="6"/>
  <c r="M18" i="11"/>
  <c r="L18" i="11"/>
  <c r="K18" i="11"/>
  <c r="I18" i="11"/>
  <c r="M17" i="11"/>
  <c r="L17" i="11"/>
  <c r="L19" i="11" s="1"/>
  <c r="K17" i="11"/>
  <c r="I17" i="11"/>
  <c r="B13" i="11"/>
  <c r="J10" i="11"/>
  <c r="B10" i="11"/>
  <c r="M9" i="11"/>
  <c r="L9" i="11"/>
  <c r="K9" i="11"/>
  <c r="I9" i="11"/>
  <c r="J8" i="11"/>
  <c r="B8" i="11"/>
  <c r="M7" i="11"/>
  <c r="L7" i="11"/>
  <c r="K7" i="11"/>
  <c r="N7" i="11" s="1"/>
  <c r="I7" i="11"/>
  <c r="J6" i="11"/>
  <c r="B6" i="11"/>
  <c r="M5" i="11"/>
  <c r="L5" i="11"/>
  <c r="K5" i="11"/>
  <c r="I5" i="11"/>
  <c r="M4" i="11"/>
  <c r="L4" i="11"/>
  <c r="L12" i="11" s="1"/>
  <c r="K4" i="11"/>
  <c r="I4" i="11"/>
  <c r="M8" i="11" l="1"/>
  <c r="N9" i="11"/>
  <c r="N17" i="11"/>
  <c r="K6" i="11"/>
  <c r="G34" i="6"/>
  <c r="G3" i="6"/>
  <c r="N18" i="11"/>
  <c r="N19" i="11" s="1"/>
  <c r="L8" i="11"/>
  <c r="L10" i="11"/>
  <c r="M19" i="11"/>
  <c r="M10" i="11"/>
  <c r="N5" i="11"/>
  <c r="K10" i="11"/>
  <c r="K19" i="11"/>
  <c r="L6" i="11"/>
  <c r="M6" i="11"/>
  <c r="K12" i="11"/>
  <c r="K8" i="11"/>
  <c r="M12" i="11"/>
  <c r="N4" i="11"/>
  <c r="N12" i="11" s="1"/>
  <c r="K13" i="11" l="1"/>
  <c r="L13" i="11"/>
  <c r="M13" i="11"/>
  <c r="G55" i="6"/>
  <c r="N8" i="11"/>
  <c r="N6" i="11"/>
  <c r="N10" i="11"/>
  <c r="N13" i="11" l="1"/>
  <c r="Q32" i="10"/>
  <c r="L32" i="10"/>
  <c r="G32" i="10"/>
  <c r="Q31" i="10"/>
  <c r="L31" i="10"/>
  <c r="G31" i="10"/>
  <c r="Q30" i="10"/>
  <c r="L30" i="10"/>
  <c r="G30" i="10"/>
  <c r="Q29" i="10"/>
  <c r="L29" i="10"/>
  <c r="G29" i="10"/>
  <c r="Q28" i="10"/>
  <c r="L28" i="10"/>
  <c r="G28" i="10"/>
  <c r="Q27" i="10"/>
  <c r="L27" i="10"/>
  <c r="G27" i="10"/>
  <c r="Q26" i="10"/>
  <c r="L26" i="10"/>
  <c r="G26" i="10"/>
  <c r="Q25" i="10"/>
  <c r="L25" i="10"/>
  <c r="G25" i="10"/>
  <c r="Q24" i="10"/>
  <c r="L24" i="10"/>
  <c r="G24" i="10"/>
  <c r="Q23" i="10"/>
  <c r="L23" i="10"/>
  <c r="G23" i="10"/>
  <c r="Q22" i="10"/>
  <c r="L22" i="10"/>
  <c r="G22" i="10"/>
  <c r="Q21" i="10"/>
  <c r="L21" i="10"/>
  <c r="G21" i="10"/>
  <c r="Q20" i="10"/>
  <c r="L20" i="10"/>
  <c r="G20" i="10"/>
  <c r="Q19" i="10"/>
  <c r="L19" i="10"/>
  <c r="G19" i="10"/>
  <c r="Q18" i="10"/>
  <c r="L18" i="10"/>
  <c r="G18" i="10"/>
  <c r="Q17" i="10"/>
  <c r="L17" i="10"/>
  <c r="G17" i="10"/>
  <c r="Q16" i="10"/>
  <c r="L16" i="10"/>
  <c r="G16" i="10"/>
  <c r="Q15" i="10"/>
  <c r="L15" i="10"/>
  <c r="G15" i="10"/>
  <c r="Q14" i="10"/>
  <c r="L14" i="10"/>
  <c r="G14" i="10"/>
  <c r="Q13" i="10"/>
  <c r="L13" i="10"/>
  <c r="G13" i="10"/>
  <c r="Q12" i="10"/>
  <c r="L12" i="10"/>
  <c r="G12" i="10"/>
  <c r="Q11" i="10"/>
  <c r="L11" i="10"/>
  <c r="G11" i="10"/>
  <c r="Q10" i="10"/>
  <c r="L10" i="10"/>
  <c r="G10" i="10"/>
  <c r="Q9" i="10"/>
  <c r="L9" i="10"/>
  <c r="G9" i="10"/>
  <c r="Q8" i="10"/>
  <c r="L8" i="10"/>
  <c r="G8" i="10"/>
  <c r="Q7" i="10"/>
  <c r="L7" i="10"/>
  <c r="G7" i="10"/>
  <c r="Q6" i="10"/>
  <c r="L6" i="10"/>
  <c r="G6" i="10"/>
  <c r="Q5" i="10"/>
  <c r="L5" i="10"/>
  <c r="G5" i="10"/>
  <c r="Q4" i="10"/>
  <c r="L4" i="10"/>
  <c r="G4" i="10"/>
  <c r="D5" i="9"/>
  <c r="C5" i="9"/>
  <c r="B5" i="9"/>
  <c r="L33" i="10" l="1"/>
  <c r="G33" i="10"/>
  <c r="Q33" i="10"/>
  <c r="R33" i="10" l="1"/>
  <c r="F10" i="6"/>
  <c r="F46" i="6"/>
  <c r="F44" i="6"/>
  <c r="F21" i="6"/>
  <c r="D43" i="6" l="1"/>
  <c r="E45" i="6"/>
  <c r="E43" i="6" s="1"/>
  <c r="C45" i="6"/>
  <c r="C43" i="6" s="1"/>
  <c r="F45" i="6" l="1"/>
  <c r="F50" i="6"/>
  <c r="F49" i="6"/>
  <c r="E14" i="6" l="1"/>
  <c r="C14" i="6"/>
  <c r="D14" i="6"/>
  <c r="C9" i="6"/>
  <c r="C7" i="6"/>
  <c r="L7" i="7"/>
  <c r="L4" i="7"/>
  <c r="D7" i="7"/>
  <c r="D6" i="7"/>
  <c r="D5" i="7"/>
  <c r="D4" i="7"/>
  <c r="L3" i="7"/>
  <c r="L2" i="7"/>
  <c r="L6" i="7"/>
  <c r="L5" i="7"/>
  <c r="D3" i="7"/>
  <c r="D2" i="7"/>
  <c r="E37" i="6"/>
  <c r="E35" i="6" s="1"/>
  <c r="E34" i="6" s="1"/>
  <c r="C37" i="6"/>
  <c r="E27" i="6"/>
  <c r="D27" i="6"/>
  <c r="C27" i="6"/>
  <c r="R15" i="4"/>
  <c r="T15" i="4" s="1"/>
  <c r="D4" i="6" l="1"/>
  <c r="D35" i="6"/>
  <c r="D34" i="6" s="1"/>
  <c r="C4" i="6"/>
  <c r="E4" i="6"/>
  <c r="L8" i="7"/>
  <c r="U15" i="4"/>
  <c r="S15" i="4"/>
  <c r="V15" i="4" s="1"/>
  <c r="D8" i="7"/>
  <c r="F48" i="6" l="1"/>
  <c r="F43" i="6" s="1"/>
  <c r="F19" i="6"/>
  <c r="F33" i="6"/>
  <c r="F28" i="6"/>
  <c r="E29" i="6"/>
  <c r="D29" i="6"/>
  <c r="C29" i="6"/>
  <c r="E31" i="6"/>
  <c r="C31" i="6"/>
  <c r="F12" i="6"/>
  <c r="F23" i="6"/>
  <c r="F24" i="6"/>
  <c r="C42" i="6"/>
  <c r="C35" i="6" s="1"/>
  <c r="C34" i="6" s="1"/>
  <c r="F18" i="6"/>
  <c r="F52" i="6"/>
  <c r="F51" i="6" s="1"/>
  <c r="F17" i="6"/>
  <c r="F15" i="6"/>
  <c r="F9" i="6"/>
  <c r="F5" i="6"/>
  <c r="F8" i="6"/>
  <c r="F7" i="6"/>
  <c r="C20" i="6" l="1"/>
  <c r="C3" i="6" s="1"/>
  <c r="C55" i="6" s="1"/>
  <c r="E20" i="6"/>
  <c r="E3" i="6" s="1"/>
  <c r="E55" i="6" s="1"/>
  <c r="D20" i="6"/>
  <c r="D3" i="6" s="1"/>
  <c r="D55" i="6" s="1"/>
  <c r="F14" i="6"/>
  <c r="F37" i="6"/>
  <c r="F31" i="6"/>
  <c r="F27" i="6"/>
  <c r="F29" i="6"/>
  <c r="F30" i="6"/>
  <c r="F26" i="6"/>
  <c r="F11" i="6"/>
  <c r="F4" i="6" l="1"/>
  <c r="F35" i="6"/>
  <c r="F34" i="6" s="1"/>
  <c r="F20" i="6"/>
  <c r="F3" i="6" l="1"/>
  <c r="F55" i="6" s="1"/>
  <c r="U14" i="4"/>
  <c r="T14" i="4"/>
  <c r="S14" i="4"/>
  <c r="U13" i="4"/>
  <c r="T13" i="4"/>
  <c r="S13" i="4"/>
  <c r="U12" i="4"/>
  <c r="T12" i="4"/>
  <c r="S12" i="4"/>
  <c r="U11" i="4"/>
  <c r="T11" i="4"/>
  <c r="S11" i="4"/>
  <c r="U10" i="4"/>
  <c r="T10" i="4"/>
  <c r="S10" i="4"/>
  <c r="R9" i="4"/>
  <c r="R8" i="4"/>
  <c r="T8" i="4" s="1"/>
  <c r="R7" i="4"/>
  <c r="S7" i="4" s="1"/>
  <c r="R6" i="4"/>
  <c r="U6" i="4" s="1"/>
  <c r="R5" i="4"/>
  <c r="T5" i="4" s="1"/>
  <c r="R4" i="4"/>
  <c r="S4" i="4" s="1"/>
  <c r="F10" i="4"/>
  <c r="I15" i="4"/>
  <c r="H15" i="4"/>
  <c r="G15" i="4"/>
  <c r="I14" i="4"/>
  <c r="H14" i="4"/>
  <c r="G14" i="4"/>
  <c r="I13" i="4"/>
  <c r="H13" i="4"/>
  <c r="G13" i="4"/>
  <c r="I12" i="4"/>
  <c r="H12" i="4"/>
  <c r="G12" i="4"/>
  <c r="I11" i="4"/>
  <c r="H11" i="4"/>
  <c r="G11" i="4"/>
  <c r="I10" i="4"/>
  <c r="H10" i="4"/>
  <c r="G10" i="4"/>
  <c r="F9" i="4"/>
  <c r="G9" i="4" s="1"/>
  <c r="F8" i="4"/>
  <c r="G8" i="4" s="1"/>
  <c r="F7" i="4"/>
  <c r="I7" i="4" s="1"/>
  <c r="F6" i="4"/>
  <c r="I6" i="4" s="1"/>
  <c r="F5" i="4"/>
  <c r="I5" i="4" s="1"/>
  <c r="F4" i="4"/>
  <c r="H4" i="4" s="1"/>
  <c r="J14" i="4" l="1"/>
  <c r="U9" i="4"/>
  <c r="S9" i="4"/>
  <c r="T9" i="4"/>
  <c r="J13" i="4"/>
  <c r="V12" i="4"/>
  <c r="T7" i="4"/>
  <c r="U7" i="4"/>
  <c r="V7" i="4" s="1"/>
  <c r="V10" i="4"/>
  <c r="V14" i="4"/>
  <c r="V11" i="4"/>
  <c r="V13" i="4"/>
  <c r="S5" i="4"/>
  <c r="U5" i="4"/>
  <c r="T4" i="4"/>
  <c r="S8" i="4"/>
  <c r="U4" i="4"/>
  <c r="T6" i="4"/>
  <c r="U8" i="4"/>
  <c r="S6" i="4"/>
  <c r="J11" i="4"/>
  <c r="G7" i="4"/>
  <c r="J12" i="4"/>
  <c r="J10" i="4"/>
  <c r="J15" i="4"/>
  <c r="I4" i="4"/>
  <c r="H9" i="4"/>
  <c r="I9" i="4"/>
  <c r="H6" i="4"/>
  <c r="G6" i="4"/>
  <c r="H8" i="4"/>
  <c r="H5" i="4"/>
  <c r="I8" i="4"/>
  <c r="G5" i="4"/>
  <c r="G4" i="4"/>
  <c r="H7" i="4"/>
  <c r="J7" i="4" l="1"/>
  <c r="J5" i="4"/>
  <c r="S16" i="4"/>
  <c r="U16" i="4"/>
  <c r="V9" i="4"/>
  <c r="T16" i="4"/>
  <c r="V5" i="4"/>
  <c r="V8" i="4"/>
  <c r="V6" i="4"/>
  <c r="V4" i="4"/>
  <c r="J6" i="4"/>
  <c r="I17" i="4"/>
  <c r="J8" i="4"/>
  <c r="J9" i="4"/>
  <c r="H17" i="4"/>
  <c r="G17" i="4"/>
  <c r="L17" i="4" s="1"/>
  <c r="J4" i="4"/>
  <c r="L18" i="4" l="1"/>
  <c r="M18" i="4" s="1"/>
  <c r="V16" i="4"/>
  <c r="J17" i="4"/>
  <c r="I9" i="3" l="1"/>
  <c r="H9" i="3"/>
  <c r="G9" i="3"/>
  <c r="G8" i="3"/>
  <c r="F8" i="3"/>
  <c r="H8" i="3" s="1"/>
  <c r="I15" i="3"/>
  <c r="H15" i="3"/>
  <c r="G15" i="3"/>
  <c r="J15" i="3" s="1"/>
  <c r="I14" i="3"/>
  <c r="H14" i="3"/>
  <c r="G14" i="3"/>
  <c r="I13" i="3"/>
  <c r="H13" i="3"/>
  <c r="G13" i="3"/>
  <c r="I12" i="3"/>
  <c r="H12" i="3"/>
  <c r="G12" i="3"/>
  <c r="I11" i="3"/>
  <c r="H11" i="3"/>
  <c r="G11" i="3"/>
  <c r="J11" i="3" s="1"/>
  <c r="I10" i="3"/>
  <c r="H10" i="3"/>
  <c r="G10" i="3"/>
  <c r="F7" i="3"/>
  <c r="I7" i="3" s="1"/>
  <c r="F6" i="3"/>
  <c r="H6" i="3" s="1"/>
  <c r="F5" i="3"/>
  <c r="G5" i="3" s="1"/>
  <c r="F4" i="3"/>
  <c r="I4" i="3" s="1"/>
  <c r="F3" i="3"/>
  <c r="I3" i="3" s="1"/>
  <c r="J13" i="3" l="1"/>
  <c r="I8" i="3"/>
  <c r="J8" i="3" s="1"/>
  <c r="H4" i="3"/>
  <c r="J12" i="3"/>
  <c r="J9" i="3"/>
  <c r="J10" i="3"/>
  <c r="J14" i="3"/>
  <c r="I6" i="3"/>
  <c r="H3" i="3"/>
  <c r="H5" i="3"/>
  <c r="I5" i="3"/>
  <c r="G7" i="3"/>
  <c r="G4" i="3"/>
  <c r="H7" i="3"/>
  <c r="G6" i="3"/>
  <c r="G3" i="3"/>
  <c r="J4" i="3" l="1"/>
  <c r="I16" i="3"/>
  <c r="J6" i="3"/>
  <c r="J5" i="3"/>
  <c r="H16" i="3"/>
  <c r="J7" i="3"/>
  <c r="G16" i="3"/>
  <c r="J3" i="3"/>
  <c r="J16" i="3" l="1"/>
  <c r="I10" i="1" l="1"/>
  <c r="F6" i="1"/>
  <c r="I6" i="1" s="1"/>
  <c r="F7" i="1"/>
  <c r="I7" i="1" s="1"/>
  <c r="F8" i="1"/>
  <c r="I8" i="1" s="1"/>
  <c r="F9" i="1"/>
  <c r="G9" i="1" s="1"/>
  <c r="F5" i="1"/>
  <c r="I5" i="1" s="1"/>
  <c r="H7" i="1" l="1"/>
  <c r="I9" i="1"/>
  <c r="H9" i="1"/>
  <c r="H8" i="1"/>
  <c r="G8" i="1"/>
  <c r="G7" i="1"/>
  <c r="G6" i="1"/>
  <c r="H6" i="1"/>
  <c r="H5" i="1"/>
  <c r="G5" i="1"/>
  <c r="J7" i="1" l="1"/>
  <c r="J8" i="1"/>
  <c r="J9" i="1"/>
  <c r="J6" i="1"/>
  <c r="J5" i="1"/>
  <c r="G13" i="1" l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J17" i="1"/>
  <c r="I12" i="1"/>
  <c r="H12" i="1"/>
  <c r="G12" i="1"/>
  <c r="J12" i="1" s="1"/>
  <c r="I11" i="1"/>
  <c r="H11" i="1"/>
  <c r="G11" i="1"/>
  <c r="G10" i="1"/>
  <c r="J10" i="1" s="1"/>
  <c r="J11" i="1" l="1"/>
  <c r="J15" i="1"/>
  <c r="G18" i="1"/>
  <c r="J16" i="1"/>
  <c r="J14" i="1"/>
  <c r="I18" i="1"/>
  <c r="J13" i="1"/>
  <c r="H18" i="1"/>
  <c r="J18" i="1" l="1"/>
  <c r="L18" i="1" s="1"/>
</calcChain>
</file>

<file path=xl/sharedStrings.xml><?xml version="1.0" encoding="utf-8"?>
<sst xmlns="http://schemas.openxmlformats.org/spreadsheetml/2006/main" count="854" uniqueCount="353">
  <si>
    <t>ДЕТАЛИЗАЦИЯ БЮДЖЕТА</t>
  </si>
  <si>
    <t>Описание деятельности</t>
  </si>
  <si>
    <t>Цена за единицу (сом)</t>
  </si>
  <si>
    <t>Кол-во</t>
  </si>
  <si>
    <t>Бухгалтер (50%)</t>
  </si>
  <si>
    <t>Проведение мини-сессий для клиентов (продукты для кофе-брейков) по 8 чел в группе (1 раз в месяц)</t>
  </si>
  <si>
    <t xml:space="preserve">Аренда офиса и коммунальные услуги </t>
  </si>
  <si>
    <t>Услуги связи: Телефон, интернет</t>
  </si>
  <si>
    <t>Канцтовары и другие офисные расходы</t>
  </si>
  <si>
    <t>Транспортные расходы</t>
  </si>
  <si>
    <t>Банковские услуги</t>
  </si>
  <si>
    <t>Медицинский специалист (специалист с медицинским образованием)- Медицинская сестра (25%)</t>
  </si>
  <si>
    <t>Бюджет для заявки в Глобальный Фонд по НПО и надбавкам мед работникам</t>
  </si>
  <si>
    <t>Кол-во месяцев/раб дней</t>
  </si>
  <si>
    <t>2024</t>
  </si>
  <si>
    <t>2025</t>
  </si>
  <si>
    <t>2026</t>
  </si>
  <si>
    <t>Тотал</t>
  </si>
  <si>
    <t>Психолог</t>
  </si>
  <si>
    <t>Социальный работник</t>
  </si>
  <si>
    <t>%занятость</t>
  </si>
  <si>
    <t>1+C10</t>
  </si>
  <si>
    <t>Координатор/МиО специалист (50%)</t>
  </si>
  <si>
    <t>Мыломоющие средства для шелтера</t>
  </si>
  <si>
    <t>Продукты питания и средства личной гигиены для клиентов  (на 8 человек)</t>
  </si>
  <si>
    <t xml:space="preserve">Координатор </t>
  </si>
  <si>
    <t xml:space="preserve">Транспортные расходы </t>
  </si>
  <si>
    <t>Немедицинский специалист (cпециалист без медицинского образования) Онлайн консультант (50%)</t>
  </si>
  <si>
    <t>Немедицинский специалист (cпециалист без медицинского образования) специалист по МиО (25%)</t>
  </si>
  <si>
    <t>Медицинский специалист (cпециалист с высшим медицинским образованием) Консультант по ТБ СИН МЮ КР (50%)</t>
  </si>
  <si>
    <t>Немедицинский специалист (cпециалист без медицинского образования) Социальный работник (50%)</t>
  </si>
  <si>
    <t>Координатор</t>
  </si>
  <si>
    <t>возмещение расходов на восстановление документов</t>
  </si>
  <si>
    <t>мобильные единицы для освободившихся</t>
  </si>
  <si>
    <t>Немедицинский сотрудник (специалист по МиО) (25%)</t>
  </si>
  <si>
    <t>Немедицинский сотрудник (Аутрич работник по работе с контактными лицами) (50%)</t>
  </si>
  <si>
    <t>Немедицинский сотрудник (Аутрич работник по активному выявлению) (50%)</t>
  </si>
  <si>
    <t>Медицинский сотрудник (медицинский консультант) (25%)</t>
  </si>
  <si>
    <t>Мероприятия</t>
  </si>
  <si>
    <t>PAAR</t>
  </si>
  <si>
    <t>Установка дополнительного отсека для НРЛ (RSSH - PAAR)</t>
  </si>
  <si>
    <t>Обеспечение пациентов с МЛУ-ТБ пиридоксином (витамин В6), включая PSM</t>
  </si>
  <si>
    <t>Закупка ПВР в  PAAR (буфер 9 мес 2027 г.)</t>
  </si>
  <si>
    <t xml:space="preserve">Обучение клиницистов на международных тренингах </t>
  </si>
  <si>
    <t>Поддержка центров временного пребывания для людей, попавших в трудную жизненную ситуацию и проходящих лечение по туберкулезу в гг. Бишкек и Ош на 8 коек</t>
  </si>
  <si>
    <t>Социальное сопровождение лиц, освободившихся из мест заключения в гражданский сектор с ТБ и активное выявление среди осужденных, находящихся в колониях-поселениях включая службу пробации</t>
  </si>
  <si>
    <t>И-Куль</t>
  </si>
  <si>
    <t>Ош</t>
  </si>
  <si>
    <t>Кейс-менеджер</t>
  </si>
  <si>
    <t xml:space="preserve">Немедицинский сотрудник (Кейс-менеджер) </t>
  </si>
  <si>
    <t>Активное выявление среди контактных, населения и ключевых групп с включением кейс-менеджмента при помощи привлечения 3-х НПО в 3-х регионах (вкладка активное выявление)</t>
  </si>
  <si>
    <t>оплата тренеру</t>
  </si>
  <si>
    <t>2-х дневный</t>
  </si>
  <si>
    <t>3-х дневный</t>
  </si>
  <si>
    <t>кол-во</t>
  </si>
  <si>
    <t>кофе-брейк</t>
  </si>
  <si>
    <t>обед</t>
  </si>
  <si>
    <t>ужин</t>
  </si>
  <si>
    <t>проживание</t>
  </si>
  <si>
    <t>логистика</t>
  </si>
  <si>
    <t>сумма</t>
  </si>
  <si>
    <r>
      <t>Закупка 12 аппаратов TRUENAT (</t>
    </r>
    <r>
      <rPr>
        <b/>
        <sz val="11"/>
        <color theme="1"/>
        <rFont val="Calibri"/>
        <family val="2"/>
        <charset val="204"/>
        <scheme val="minor"/>
      </rPr>
      <t>PAAR</t>
    </r>
    <r>
      <rPr>
        <sz val="11"/>
        <color theme="1"/>
        <rFont val="Calibri"/>
        <family val="2"/>
        <charset val="204"/>
        <scheme val="minor"/>
      </rPr>
      <t>) (вкладка расчеты по лаб службе)</t>
    </r>
  </si>
  <si>
    <t>Проведение обучения по скринингу, активному выявлению, стигме и дискриминации, консультированию, сопровождению для НПО/кейс-менеджера, ВИЧ сервисные организации по 25 чел 2 тренинга 3-х дневные</t>
  </si>
  <si>
    <t>Проведение тренинга для сотрудников ТБ лабораторий новым методам диагностики 25 чел 3-х дневный (вкладка расчет тренингов)</t>
  </si>
  <si>
    <t>Осуществление стимулирующих/мотивирующих выплат мед работникам за достижение результата (республиканские координаторы, обл координаторы, лаборанты, вольнонаемные СИН) (вкладка надбавки мед работникам)</t>
  </si>
  <si>
    <t>Обеспечение ВОК 2-х лабораторий (НРЛ, ОМРЛ) на 1 лабораторию $4020</t>
  </si>
  <si>
    <t>Проведение тренингов для мед работников ПМСП, ПТО по разным новым клин протоколам 2-х дневных 4 тренинга для медицинских работников каждой области и гг. Бишкек и Ош по 25 чел. 1 тренинг (вкладка расчеты тренингов)</t>
  </si>
  <si>
    <t>Оснащение ПМСП и ТБ для ТБ МИС</t>
  </si>
  <si>
    <t>управление ТБ МИС</t>
  </si>
  <si>
    <t>Обучение персонала, занимающихся лечением ЛУ-ТБ (врачи-фтизиатры, врачи ПСМП, вовлеченные в амбулаторное лечение МЛУ-ТБ), включая СИН, по 25 чел. Тренинг 3-х дневный</t>
  </si>
  <si>
    <t>Закупка и обеспечение лечения препаратами второго ряда для пациентов с ЛУ-ТБ в рамках амбулаторных, децентрализованных моделей, ориентированных на пациента. Внедрение и расширение полностью пероральных схем (включая 6-месячные схемы BPaL и BPaLM и 9-месячные полностью пероральные схемы) на программных условиях) для больных ЛУ-ТБ в соответствии с рекомендациями ВОЗ. Общая сумма препаратов, включенная в заявку ГФ с учетом логистических расходов. Доля КР 45% в 2024 г., 60% в 2027 г.  (вкладка расчеты ПТП)</t>
  </si>
  <si>
    <t>Обеспечение профилактическим лечением ТБ лиц из очагов контактов (рифапентин) на 3 года с PSM (вкладка расчеты ПТП)</t>
  </si>
  <si>
    <t>Использование быстрых методов диагностики Xpert XDR, LPA для противотуберкулезных препаратов первого второго ряда, посевы и тестов лекарственной чувствительности (ТЛЧ), включая к новым препаратам. Закупка и распределение оборудования, реагентов и наборов ТЛЧ, включая ремонт и профилактику лабораторий (286500) (вкладка расчет по реагентам и реактивам)</t>
  </si>
  <si>
    <t>Техническая помощь ЕВРОВОЗ для оценки ТБ лабораторной сети страны  и ее оптимизация</t>
  </si>
  <si>
    <t>Мероприятие</t>
  </si>
  <si>
    <t>Cтоимость</t>
  </si>
  <si>
    <t>Дополнительный модуль для НРЛ</t>
  </si>
  <si>
    <t>Реагенты и расходные материалы для секвенирования</t>
  </si>
  <si>
    <t>"True-Nat" machine</t>
  </si>
  <si>
    <t>"True-Nat" cartridges</t>
  </si>
  <si>
    <t>"True-Nat" service</t>
  </si>
  <si>
    <t xml:space="preserve">  </t>
  </si>
  <si>
    <t>"True-Nat" consumables</t>
  </si>
  <si>
    <t>ВОК для секвенирование НРЛ</t>
  </si>
  <si>
    <t>Внешняя оценка качества (ВОК)</t>
  </si>
  <si>
    <t>НРЛ</t>
  </si>
  <si>
    <t>ОМРЛ</t>
  </si>
  <si>
    <t>Всего</t>
  </si>
  <si>
    <t>Reagents for Whole and Targeted Genome Sequencing</t>
  </si>
  <si>
    <t>№</t>
  </si>
  <si>
    <t>Item</t>
  </si>
  <si>
    <t>Whole Seq (N=300)</t>
  </si>
  <si>
    <t xml:space="preserve"> Target Seq (N=700)</t>
  </si>
  <si>
    <t>Unit for order</t>
  </si>
  <si>
    <t>Unit cost, $</t>
  </si>
  <si>
    <t>Total, $</t>
  </si>
  <si>
    <t xml:space="preserve"> MiSeq Reagent  Kit, v3 </t>
  </si>
  <si>
    <t>V2 -kit 300 micro 16 samples run CAT: MS-103-1002</t>
  </si>
  <si>
    <t>Nextera Lib prep kit (DNA sample prep kit) CAT: FC-131-1096</t>
  </si>
  <si>
    <t>Nextera Index kit</t>
  </si>
  <si>
    <t>PhiX Control Kit</t>
  </si>
  <si>
    <t>Deeplex MycTB kit</t>
  </si>
  <si>
    <t>DeNovix dsDNA High Sensitivity kit 1000 assay,  Cat No: KIT-DSDNA-HIGH-2 CAT: DNF-474-0500</t>
  </si>
  <si>
    <t>Ethyl alcohol 100%,</t>
  </si>
  <si>
    <t>Molecular grade water</t>
  </si>
  <si>
    <t xml:space="preserve">MagSi-NGS Plus beads </t>
  </si>
  <si>
    <t>DNF-474 High Sensitivity NGS Fragment Analysis Kit, (1 bp – 6000 bp) CAT: GP-440-0100</t>
  </si>
  <si>
    <t xml:space="preserve">Capillary Storage Solution, 100mL UF </t>
  </si>
  <si>
    <t>GenoLyse</t>
  </si>
  <si>
    <t>Tween 20</t>
  </si>
  <si>
    <t>Pipette tips, 100-1000 μl</t>
  </si>
  <si>
    <t>Pipette tips, 2-200 μl</t>
  </si>
  <si>
    <t>Pipette tips, 2-100 μl</t>
  </si>
  <si>
    <t>Pipette tips, 0,5-50 μl</t>
  </si>
  <si>
    <t>Pipette tips, 0,1-20 μl</t>
  </si>
  <si>
    <t>Gloves, nytril, XS</t>
  </si>
  <si>
    <t>Gloves, nytril, S</t>
  </si>
  <si>
    <t>Gloves, nytril, M</t>
  </si>
  <si>
    <t>Microtubes DeNovix  0.5 ml</t>
  </si>
  <si>
    <t>8-well PCR tubes, 0.2 ml with flat cap</t>
  </si>
  <si>
    <t>Flat cap strips for 8-well PCR tubes, 0.2 ml</t>
  </si>
  <si>
    <t>1.5 ml Eppendorf tubes</t>
  </si>
  <si>
    <t>Adhesive dots for labeling</t>
  </si>
  <si>
    <t>0,5 ml Eppendorf tubes</t>
  </si>
  <si>
    <t>100 well storage boxes</t>
  </si>
  <si>
    <t xml:space="preserve">TOTAL </t>
  </si>
  <si>
    <t xml:space="preserve">Оказание технической помощи по обновлению Национального стратегического плана по ТБ (2026) в соответствии с Планом действий по ТБ Европейского региона ВОЗ </t>
  </si>
  <si>
    <t xml:space="preserve">Оказание технической помощи по проведению операционного исследования по внедрению модифицированных коротких полностью безинъекционных режимов лечения для МЛУ-ТБ (150 пациентов страновой когорты), включая мониторинг проведения мероприятий, анализ данных, проведение национального круглого стола </t>
  </si>
  <si>
    <t xml:space="preserve">Оказание технической помощи по активному выявлению ТБ среди групп риска и расширению доступа к профилактическому лечению ТБ </t>
  </si>
  <si>
    <t xml:space="preserve">Оказание технической помощи по адаптации национального руководства по ТБ в соответствии с последними рекомендациями ВОЗ по профилактике, скринингу, диагностике и лечению ТБ и лекарственно-устойчивого ТБ (все возрасты), включая подготовку и усиление национального потенциала </t>
  </si>
  <si>
    <t>NN</t>
  </si>
  <si>
    <t>Заявка на финансирование ГФ, Кыргызстан, 2024-2026</t>
  </si>
  <si>
    <t>Закупка комплекта 4 ультрапортативных рентген аппартов с искусственным интеллектом (CAD) по 100 000 долларов США+тент/палатка размером 2х3 по$ 150 , стоимость обучения персонала входит в стоимость, гарантия обслуживания на 3 года )</t>
  </si>
  <si>
    <r>
      <t xml:space="preserve">Разработка механизма стимулирующих/мотивирующих выплат мед работникам ПМСП за выявленного ЛУ ТБ. Поддержка рабочей группы 3 чел </t>
    </r>
    <r>
      <rPr>
        <sz val="11"/>
        <color rgb="FFFF0000"/>
        <rFont val="Calibri"/>
        <family val="2"/>
        <charset val="204"/>
        <scheme val="minor"/>
      </rPr>
      <t>(RSSH)</t>
    </r>
  </si>
  <si>
    <r>
      <t xml:space="preserve">Оценка перехода на государственное финансирование механизмов транпортировки биологического материала и ПТП 1 эксперт с учетом выезда во все регионы </t>
    </r>
    <r>
      <rPr>
        <sz val="11"/>
        <color rgb="FFFF0000"/>
        <rFont val="Calibri"/>
        <family val="2"/>
        <charset val="204"/>
        <scheme val="minor"/>
      </rPr>
      <t>(RSSH)</t>
    </r>
  </si>
  <si>
    <r>
      <t>Обновление КР/КП по ТБ, включая КР/КП на уровне ПСМП, с введением раздела «Активный скрининг ТБ, новых методов диагностики и режимов лечения». Мероприятие включает поддержку рабочих групп, экспертов для пересмотра клинических руководств/протоколов по ТБ. 4 эксперта для каждого протокола 4х100$х30 дн. = 12000 $, проведение рабочих встреч, круглых столов по обсуждению протоколов - 4 встречи х 500$ х 4 протокола = 8000 $, 4 круглых стола х 1400 $ = 5600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sz val="11"/>
        <color rgb="FFFF0000"/>
        <rFont val="Calibri"/>
        <family val="2"/>
        <charset val="204"/>
        <scheme val="minor"/>
      </rPr>
      <t>(RSSH)</t>
    </r>
  </si>
  <si>
    <t>Закупка комплекта 8 ультрапортативных рентген аппартов с искусственным интеллектом (CAD) по 100 000 долларов США+тент/палатка размером 2х3 по$ 150 , стоимость обучения персонала входит в стоимость, гарантия обслуживания на 3 года) +закупка 9 автомобилей по $15000 для обеспечения мобильности скрининговых бригад, использующих ультрапортативные рентген-аппараты</t>
  </si>
  <si>
    <t>RSSH</t>
  </si>
  <si>
    <t>GeneXpert platforms upgrade</t>
  </si>
  <si>
    <t>Qty</t>
  </si>
  <si>
    <t>Budget</t>
  </si>
  <si>
    <t>#</t>
  </si>
  <si>
    <t>Activity</t>
  </si>
  <si>
    <t>Rationale</t>
  </si>
  <si>
    <t>Specification</t>
  </si>
  <si>
    <t>Unit</t>
  </si>
  <si>
    <t>Qty, total</t>
  </si>
  <si>
    <t>Unit price</t>
  </si>
  <si>
    <t>Total</t>
  </si>
  <si>
    <t>Price Ref.</t>
  </si>
  <si>
    <t>Comment</t>
  </si>
  <si>
    <t>PC upgrade only (to use WIN10)</t>
  </si>
  <si>
    <t>WIN 7 has to be replaced with WIN10 due to discontinued support of WIN 7 by Microsoft in 2021 and a requirement to use WIN 10 for 10-color modules.</t>
  </si>
  <si>
    <t>Desktop Computer WIN 10 for GeneXpert system</t>
  </si>
  <si>
    <t>Desktop w/WIN 10</t>
  </si>
  <si>
    <t>GDF catalogue, Oct/2022</t>
  </si>
  <si>
    <t>Laptop upgrade only (to use WIN10)</t>
  </si>
  <si>
    <t>Laptop Computer WIN 10 for GeneXpert system</t>
  </si>
  <si>
    <t>Laptop w/WIN 10</t>
  </si>
  <si>
    <t>Upgrade from 6- to 10-color module platfroms</t>
  </si>
  <si>
    <t>For decentralized use of Xpert XDR assay, transition to 10-color module platfroms is required. 
- 10 x 4 module GX platfroms at central/regional level (40)
- 3 x 4-module GX platforms (prisons) (12)
- 4x4-module and 8x2-module in PHC (16;16)</t>
  </si>
  <si>
    <t>GeneXpert, Module Kit - 10-color:  The GeneXpert Module 
All modules of the same system should be converted (hybrid systems of 6- and 10-color modules are not supported). i.e. for a GeneXpert IV, 4 new modules should be ordered. There is no swap or discount option for the existing 6-color modules.</t>
  </si>
  <si>
    <t>GX 10-color module</t>
  </si>
  <si>
    <t>Module replacement</t>
  </si>
  <si>
    <t>Replacement of broken modules (30%)</t>
  </si>
  <si>
    <t>TOTAL</t>
  </si>
  <si>
    <t>Total cost of GX platforms upgrade</t>
  </si>
  <si>
    <t>GeneXpert extended warranty</t>
  </si>
  <si>
    <t>GeneXpert type</t>
  </si>
  <si>
    <t>GeneXpert 3-year warranty extension</t>
  </si>
  <si>
    <t>existing GX2</t>
  </si>
  <si>
    <t>3-year warranty extension for a 2-module GeneXpert platform</t>
  </si>
  <si>
    <t xml:space="preserve">GDF </t>
  </si>
  <si>
    <t>existing GX4</t>
  </si>
  <si>
    <t>3-year warranty extension for a 4-module GeneXpert platform</t>
  </si>
  <si>
    <t>ALL PSM</t>
  </si>
  <si>
    <t>Внешний контроль качества препаратов</t>
  </si>
  <si>
    <t>Видеосопровождение лечения - включает приобретение мобильных единиц для пациентов (из расчета 40,50,60% пациентов с МЛУ-ТБ на видеосопровождении лечения в 2024-2026гг., соотв.)</t>
  </si>
  <si>
    <t>Разработка нормативно-правовых актов (НПА) по возмещению транспортных расходов  пациентам ТБ, проживающих в отдаленных регионах страны более 10 км для регулярного мониторинга лечения.  Поддержка РГ и 4-х экспертов х 100$ х 10 дн. = 4000$, круглый стол - 1400$, адвокация утверждения документа/приказа - 1 эксперт х100$ х 15 дней = 1500$.</t>
  </si>
  <si>
    <t>уточнить, что включает</t>
  </si>
  <si>
    <t>Лекарственно-устойчивый (ЛУ)-ТБ: Диагностика, лечение и уход</t>
  </si>
  <si>
    <t>Мероприятие: Скрининг ЛУ-ТБ</t>
  </si>
  <si>
    <t>1.1.1</t>
  </si>
  <si>
    <t>1.1.2</t>
  </si>
  <si>
    <t>1.1.3</t>
  </si>
  <si>
    <t>1.1.4</t>
  </si>
  <si>
    <t>1.1.5</t>
  </si>
  <si>
    <t>1.1.6</t>
  </si>
  <si>
    <t>1.1.7</t>
  </si>
  <si>
    <t>1.1.9</t>
  </si>
  <si>
    <t>Мероприятие: Диагностика ТБ/ЛУ-ТБ и ТЛЧ</t>
  </si>
  <si>
    <t>1.2.1</t>
  </si>
  <si>
    <t>1.2.2</t>
  </si>
  <si>
    <t>1.2.3</t>
  </si>
  <si>
    <t>1.2.4</t>
  </si>
  <si>
    <t>1.2.5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</si>
  <si>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</si>
  <si>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</si>
  <si>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</si>
  <si>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</si>
  <si>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</si>
  <si>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</si>
  <si>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</si>
  <si>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</si>
  <si>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</si>
  <si>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</si>
  <si>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</si>
  <si>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Обеспечение профилактическим лечением ТБ лиц из очагов контактов (рифапентин) на 2027 год с PSM (вкладка расчеты ПТП)</t>
  </si>
  <si>
    <t>Поддержка транспортной системы (в случае возникновения перебоев с доставкой патологического материала)</t>
  </si>
  <si>
    <t>Обеспечение пациентов с МЛУ-ТБ пиридоксином (витамин В6), включая PSM (буфер)</t>
  </si>
  <si>
    <t xml:space="preserve">Ежегодный анализ результатов работы национальной  программы (с публикацией отчета). Поддержка РГ из 4-х экспертов х 100$ х 15 дн. = $6,000 х 3 = $18,000. Круглый стол х 1 раз в год $1400 х 3 года = 4200. </t>
  </si>
  <si>
    <t>Мероприятие: Лечение, уход и поддержка (ЛУ-ТБ)</t>
  </si>
  <si>
    <t>RSSH: Планирование и управление сектором здравоохранения для интегрированных услуг, ориентированных на людей</t>
  </si>
  <si>
    <t>RSSH (TB-related activities)</t>
  </si>
  <si>
    <t xml:space="preserve">RSSH: Системы мониторинга и оценки </t>
  </si>
  <si>
    <t>RSSH: Лабораторные системы (включая национальные и периферийные)</t>
  </si>
  <si>
    <t>Дальнейшее расширение применения метода геномного секвенирования как часть национальной системы мультипатогенного лабораторного эпиднадзора, а также ТЛЧ при одобрении данной методики ВОЗ (PAAR)</t>
  </si>
  <si>
    <t>2.1.1</t>
  </si>
  <si>
    <t>2.1.3</t>
  </si>
  <si>
    <t>2.1.4</t>
  </si>
  <si>
    <t>Поддержка миссий ВОЗ rGLC</t>
  </si>
  <si>
    <t>Проведение исследования поведенческих аспектов лиц с ТБ/контактных по ТБ для выявления барьеров, препятствующих расширению профилактического лечения ТБ</t>
  </si>
  <si>
    <t>Перенесено из PAAR: без данной активности применение мКРЛ невозможно(!)</t>
  </si>
  <si>
    <t>ВСЕГО TB и RSSH (TB-related activities)</t>
  </si>
  <si>
    <t>Проведение тренинга для сотрудников ПМСП по хранению, выдаче ПТП .и отчетности по 25 чел 2-х дневный 4 тренинга (вкладка расчет тренингов)</t>
  </si>
  <si>
    <t xml:space="preserve">Обучение сотрудников ПМСП, персонала/работников, занимающихся ТБ скрининговыми и диагностическими мероприятиями. Проведение 2-х дневных 10 каскадных тренингов для специалистов лабораторной службы ПМСП, включая СИН по сбору патологических образцов. </t>
  </si>
  <si>
    <t>Проведение среднесрочной оценки Программы КМ КР "Туберкулез 6"</t>
  </si>
  <si>
    <t>НЦФ</t>
  </si>
  <si>
    <r>
      <t xml:space="preserve">Штат НЦФ:  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 xml:space="preserve">Kоординатор НТП                                                                                                                                                                              </t>
    </r>
  </si>
  <si>
    <t xml:space="preserve">Штат НЦФ:  бухгалтер                            
                                                                                                                                                                                       </t>
  </si>
  <si>
    <t xml:space="preserve">Штат НЦФ: Координатор по ЛУ ТБ,  Координатор по лабораторной службе; Координатор по лекарственному менеджменту, </t>
  </si>
  <si>
    <t xml:space="preserve">Штат НЦФ:  Координатор по МиО ; Координатор детскому туберкулезу;   
специалист НЦФ, отвечающий за внедрение и реализацию Государственного социального заказа                             
                                                                                                                                                                                      </t>
  </si>
  <si>
    <r>
      <rPr>
        <b/>
        <sz val="12"/>
        <color rgb="FFFF0000"/>
        <rFont val="Arial"/>
        <family val="2"/>
        <charset val="204"/>
      </rPr>
      <t>Ежемесячная надбавка 5 000 сомов лаборантам НЦФ (20 человек), ОМРЛ (15 человек), СИН (2 лаборанта, 2 рентгенолога, 2 вольнонаемных врача)</t>
    </r>
    <r>
      <rPr>
        <sz val="12"/>
        <color rgb="FFFF000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</t>
    </r>
  </si>
  <si>
    <t xml:space="preserve"> 12 Медицинских специалистов по работе с модулем склад программы 1С бухгалтерия (НЦФ, ГЦБТ г. Бишкек, ЧОЦБТ, ТОЦБТ, НОЦБТ, ИОЦБТ, БОЦБТ, ООЦБТ, ЖОЦБТ, РРЦ "Жеты-Огуз, РПТБ Кара-Балта, СИН МЮ КР). </t>
  </si>
  <si>
    <t>Штат НЦФ: Координатор по ЛУ ТБ в областных центрах(8)</t>
  </si>
  <si>
    <t>Оплата социального фонда 17,25%</t>
  </si>
  <si>
    <t xml:space="preserve">Офисные расходы (канцелярские принадлежности, интернет, картриджи, телефон) </t>
  </si>
  <si>
    <t>ИТОГО</t>
  </si>
  <si>
    <t>Интервенция</t>
  </si>
  <si>
    <t>Категория расходов</t>
  </si>
  <si>
    <t>Стоимость за единицу (KGS)</t>
  </si>
  <si>
    <t>Количество месяцев</t>
  </si>
  <si>
    <t>январь-декабрь 2024</t>
  </si>
  <si>
    <t>январь-декабрь 2025</t>
  </si>
  <si>
    <t>январь-декабрь 2026</t>
  </si>
  <si>
    <t>Всего за период январь 2024-декабрь 2026</t>
  </si>
  <si>
    <t>курс доллара</t>
  </si>
  <si>
    <t>Комментарии закупщиков</t>
  </si>
  <si>
    <t xml:space="preserve">Влючено в план закупок </t>
  </si>
  <si>
    <t xml:space="preserve">Влючено в план закупок, сумма в HPMT за 2025 и 2026 годы увеличина на 29160 так как стоимость одного использованного модуля равна 900 долларов </t>
  </si>
  <si>
    <t xml:space="preserve">Влючено в план закупок , суммы в плане закупок разняться (+/-) от указанных сумм  из-за цен </t>
  </si>
  <si>
    <r>
      <t>Влючено в план закупок, цены согласно данным плана закупок немного разняться от указанных цен в данной таблице  (</t>
    </r>
    <r>
      <rPr>
        <sz val="11"/>
        <color rgb="FFFF0000"/>
        <rFont val=" за се"/>
      </rPr>
      <t>Разница за счет цена на Cfz 50 mg (в расчтеах указана цена за упаковку 35.78 долларов, по каталогу GDF цена 40.40 долларов за упаковку)</t>
    </r>
  </si>
  <si>
    <t xml:space="preserve">Влючено в план закупок  цены согласно данным плана закупок немного разняться от указанных цен в данной таблице </t>
  </si>
  <si>
    <r>
      <rPr>
        <b/>
        <sz val="12"/>
        <rFont val="Times"/>
      </rPr>
      <t>Consolidated total order(s)</t>
    </r>
  </si>
  <si>
    <t>ПРООН 2024</t>
  </si>
  <si>
    <t>Гос.бюджет (22%)</t>
  </si>
  <si>
    <r>
      <rPr>
        <b/>
        <sz val="12"/>
        <rFont val="Times"/>
      </rPr>
      <t>Консолидированный общий заказ(ы)</t>
    </r>
  </si>
  <si>
    <t>ПРООН 2025</t>
  </si>
  <si>
    <t>Гос.бюджет (24%)</t>
  </si>
  <si>
    <t>ПРООН 2026</t>
  </si>
  <si>
    <t>Гос.бюджет (26%)</t>
  </si>
  <si>
    <t>ПРООН 2027</t>
  </si>
  <si>
    <t>Гос.бюджет</t>
  </si>
  <si>
    <t>Medicines</t>
  </si>
  <si>
    <t>Adjusted quantity to order (in units)</t>
  </si>
  <si>
    <t>Cost (USD/$)</t>
  </si>
  <si>
    <t>Препараты</t>
  </si>
  <si>
    <t>Количество препаратов к заказу с учётом коррекции (в единицах)</t>
  </si>
  <si>
    <t>Стоимость (USD/$)</t>
  </si>
  <si>
    <t>Bdq (20)  Bedaquiline  20  Dispersible tablet(s)</t>
  </si>
  <si>
    <t>Bdq(100)  Bedaquiline  100mg  Film uncoated tablet(s)</t>
  </si>
  <si>
    <t>Bdq(100)  Bedaquiline  100mg  Таблетки без оболочки</t>
  </si>
  <si>
    <t>Cfz (50)  Clofazimine  50 mg  Capsule(s)</t>
  </si>
  <si>
    <t>Cfz (50)  Clofazimine  50 mg  Капсулы</t>
  </si>
  <si>
    <t>Cfz(100)  Clofazimine  100mg  Capsule(s)</t>
  </si>
  <si>
    <t>Cfz(100)  Clofazimine  100mg  Капсулы</t>
  </si>
  <si>
    <t>Cs(125)  Cycloserine  125mg  Capsule(s)</t>
  </si>
  <si>
    <t>Cs(125)  Cycloserine  125mg  Капсулы</t>
  </si>
  <si>
    <t>Cs(250)  Cycloserine  250mg  Capsule(s)</t>
  </si>
  <si>
    <t>Cs(250)  Cycloserine  250mg  Капсулы</t>
  </si>
  <si>
    <t>Dlm (25)  Delamanid  25 mg  Dispersible tablet(s)</t>
  </si>
  <si>
    <t>Dlm (25)  Delamanid  25 mg  Растворимые таблетки</t>
  </si>
  <si>
    <t>Dlm(25)  Delamanid  25mg  Dispersible tablet(s)</t>
  </si>
  <si>
    <t>Dlm(25)  Delamanid  25mg  Растворимые таблетки</t>
  </si>
  <si>
    <t>Dlm(50)  Delamanid  50mg  Film coated tablet(s)</t>
  </si>
  <si>
    <t>Dlm(50)  Delamanid  50mg  Таблетки в оболочке</t>
  </si>
  <si>
    <t>E(100)  Ethambutol  100mg  Film coated tablet(s)</t>
  </si>
  <si>
    <t>E(100)  Ethambutol  100mg  Таблетки в оболочке</t>
  </si>
  <si>
    <t>E(400)  Ethambutol  400mg  Film coated tablet(s)</t>
  </si>
  <si>
    <t>E(400)  Ethambutol  400mg  Таблетки в оболочке</t>
  </si>
  <si>
    <t>Eto(125)  Ethionamide  125mg  Dispersible tablet(s)</t>
  </si>
  <si>
    <t>Eto(125)  Ethionamide  125mg  Растворимые таблетки</t>
  </si>
  <si>
    <t>H(100)  Isoniazid  100mg  Film uncoated tablet(s)</t>
  </si>
  <si>
    <t>H(100)  Isoniazid  100mg  Таблетки без оболочки</t>
  </si>
  <si>
    <t>H(300)  Isoniazid  300mg  Film uncoated tablet(s)</t>
  </si>
  <si>
    <t>H(300)  Isoniazid  300mg  Таблетки без оболочки</t>
  </si>
  <si>
    <t>Lfx(100)  Levofloxacin  100mg  Dispersible tablet(s)</t>
  </si>
  <si>
    <t>Lfx(100)  Levofloxacin  100mg  Растворимые таблетки</t>
  </si>
  <si>
    <t>Lfx(250)  Levofloxacin  250mg  Film coated tablet(s)</t>
  </si>
  <si>
    <t>Lfx(250)  Levofloxacin  250mg  Таблетки в оболочке</t>
  </si>
  <si>
    <t>Lzd(150)  Linezolid  150mg  Dispersible tablet(s)</t>
  </si>
  <si>
    <t>Lzd(150)  Linezolid  150mg  Растворимые таблетки</t>
  </si>
  <si>
    <t>Lzd(600)  Linezolid  600mg  Film coated tablet(s)</t>
  </si>
  <si>
    <t>Lzd(600)  Linezolid  600mg  Таблетки в оболочке</t>
  </si>
  <si>
    <t>Mfx(100)  Moxifloxacin  100mg  Dispersible tablet(s)</t>
  </si>
  <si>
    <t>-</t>
  </si>
  <si>
    <t>Mfx(100)  Moxifloxacin  100mg  Растворимые таблетки</t>
  </si>
  <si>
    <t>Mfx(400)  Moxifloxacin  400mg  Film coated tablet(s)</t>
  </si>
  <si>
    <t>Mfx(400)  Moxifloxacin  400mg  Таблетки в оболочке</t>
  </si>
  <si>
    <t>Pa  Pretomanid  200 mg  Film coated tablet(s)</t>
  </si>
  <si>
    <t>Pa  Pretomanid  200 mg  Таблетки в оболочке</t>
  </si>
  <si>
    <t>Z(150)  Pyrazinamide  150mg  Dispersible tablet(s)</t>
  </si>
  <si>
    <t>Z(150)  Pyrazinamide  150mg  Растворимые таблетки</t>
  </si>
  <si>
    <t>Z(400)  Pyrazinamide  400mg  Film uncoated tablet(s)</t>
  </si>
  <si>
    <t>Z(400)  Pyrazinamide  400mg  Таблетки без оболочки</t>
  </si>
  <si>
    <t xml:space="preserve">Всего по источникам финансирования </t>
  </si>
  <si>
    <r>
      <rPr>
        <b/>
        <sz val="12"/>
        <rFont val="Times"/>
      </rPr>
      <t>Total cost of medicines</t>
    </r>
  </si>
  <si>
    <t>Всего потреб</t>
  </si>
  <si>
    <t>всего потреб</t>
  </si>
  <si>
    <t>ГФ</t>
  </si>
  <si>
    <t>PSM 20%</t>
  </si>
  <si>
    <t>PSM20%</t>
  </si>
  <si>
    <t>Итого в ГФ вместе с PSM</t>
  </si>
  <si>
    <t>общая потребность ПТП 2024-2027(9мес)</t>
  </si>
  <si>
    <t>ГФ 2024-2027(9мес)</t>
  </si>
  <si>
    <t>Всего в GF основной грант + PAAR</t>
  </si>
  <si>
    <t>В основной грант 2024-2026гг вметсе с PSM(20%)</t>
  </si>
  <si>
    <t>кол-во таб</t>
  </si>
  <si>
    <t>Rpt(150)  Rifapentine  150mg  Film coated tablet(s)</t>
  </si>
  <si>
    <t>PSM (20%)</t>
  </si>
  <si>
    <t>сумма таб</t>
  </si>
  <si>
    <t>Итого сумма вместе с PSM</t>
  </si>
  <si>
    <t>ЛЧ-ТБ детские дозы</t>
  </si>
  <si>
    <t>уп.</t>
  </si>
  <si>
    <t>таб</t>
  </si>
  <si>
    <t>RH(75/50)  2-FDC RH (75/50)  75mg+50mg  Растворимые таблетки</t>
  </si>
  <si>
    <t>RHZ(75/50/150)  3-FDC RHZ (75/50/150)  75mg+50mg+150mg  Растворимые таблетки</t>
  </si>
  <si>
    <t>итого с PSM</t>
  </si>
  <si>
    <t>Витамин В6</t>
  </si>
  <si>
    <t>количество в таб</t>
  </si>
  <si>
    <t>Итого сумма с PSM</t>
  </si>
  <si>
    <t>2027 (PAAR)</t>
  </si>
  <si>
    <t>Bdq (20)  Bedaquiline  20 mg  Таблетки без оболочки</t>
  </si>
  <si>
    <r>
      <rPr>
        <b/>
        <sz val="12"/>
        <rFont val="Times"/>
      </rPr>
      <t>Итого стоимость препаратов</t>
    </r>
  </si>
  <si>
    <t>Правовые Барьеры</t>
  </si>
  <si>
    <t>ПРООН 7%</t>
  </si>
  <si>
    <t>Администрирование ПРООН</t>
  </si>
  <si>
    <t>Итого</t>
  </si>
  <si>
    <t xml:space="preserve"> </t>
  </si>
  <si>
    <t xml:space="preserve">Осуществление стимулирующих/мотивирующих выплат мед работникам ПМСП за каждого выявленного ЛУ ТБ по $30 </t>
  </si>
  <si>
    <r>
      <t xml:space="preserve">Диагностика быстрыми методами диагностики путем обновления имеющихся аппаратов GeneXpert модулей с 6- на 10-цветные, апгрейд 18 аппаратов с 4-я модулями и 7 аппаратов с 2-я модулями с оновременным обновлением компьютеров, 3-х летняя гарантия и замена модулей по результатам калибровки, с PSM (вкладка </t>
    </r>
    <r>
      <rPr>
        <b/>
        <sz val="11"/>
        <rFont val="Calibri"/>
        <family val="2"/>
        <charset val="204"/>
        <scheme val="minor"/>
      </rPr>
      <t>Xpert upgrade</t>
    </r>
    <r>
      <rPr>
        <sz val="11"/>
        <rFont val="Calibri"/>
        <family val="2"/>
        <charset val="204"/>
        <scheme val="minor"/>
      </rPr>
      <t>) (добавлен PSM 20%)</t>
    </r>
  </si>
  <si>
    <t xml:space="preserve">Мероприятия по социальной поддержке пациентов – в виде ежемесячных выплат из расчета $20 на одного пациента с МЛУ-ТБ в месяц (1-й год - 750 пациентов, 2-й год – 800, 3-й год – 850, расчет на средний срок лечения 10 мес). </t>
  </si>
  <si>
    <t>ЦРЗ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</si>
</sst>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₽_-;\-* #,##0.00\ _₽_-;_-* &quot;-&quot;??\ _₽_-;_-@_-"/>
    <numFmt numFmtId="164" formatCode="_(&quot;$&quot;* #,##0.00_);_(&quot;$&quot;* \(#,##0.00\);_(&quot;$&quot;* &quot;-&quot;??_);_(@_)"/>
    <numFmt numFmtId="165" formatCode="_-* #,##0.00\ &quot;сом&quot;_-;\-* #,##0.00\ &quot;сом&quot;_-;_-* &quot;-&quot;??\ &quot;сом&quot;_-;_-@_-"/>
    <numFmt numFmtId="166" formatCode="_-* #,##0.00_-;\-* #,##0.00_-;_-* &quot;-&quot;??_-;_-@_-"/>
    <numFmt numFmtId="167" formatCode="[$$-409]#,##0"/>
    <numFmt numFmtId="168" formatCode="&quot;$&quot;#,##0.00"/>
    <numFmt numFmtId="169" formatCode="[$$-409]#,##0.00"/>
    <numFmt numFmtId="170" formatCode="#,##0.0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Verdana"/>
      <family val="2"/>
      <charset val="204"/>
    </font>
    <font>
      <b/>
      <i/>
      <sz val="11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rgb="FF222222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Calibri Light"/>
      <family val="2"/>
      <charset val="204"/>
      <scheme val="major"/>
    </font>
    <font>
      <sz val="12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 за се"/>
    </font>
    <font>
      <b/>
      <sz val="10"/>
      <name val="Times"/>
    </font>
    <font>
      <b/>
      <sz val="12"/>
      <name val="Times"/>
    </font>
    <font>
      <sz val="10"/>
      <name val="Times"/>
    </font>
    <font>
      <b/>
      <sz val="1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169" fontId="1" fillId="0" borderId="0"/>
  </cellStyleXfs>
  <cellXfs count="33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2" applyFont="1"/>
    <xf numFmtId="0" fontId="5" fillId="0" borderId="0" xfId="0" applyFont="1" applyAlignment="1">
      <alignment vertical="top"/>
    </xf>
    <xf numFmtId="2" fontId="5" fillId="0" borderId="0" xfId="2" applyNumberFormat="1" applyFont="1"/>
    <xf numFmtId="0" fontId="5" fillId="0" borderId="0" xfId="0" applyFont="1"/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7" fillId="0" borderId="0" xfId="2" applyFont="1"/>
    <xf numFmtId="0" fontId="7" fillId="0" borderId="0" xfId="0" applyFont="1" applyAlignment="1">
      <alignment vertical="top"/>
    </xf>
    <xf numFmtId="43" fontId="7" fillId="0" borderId="0" xfId="1" applyFont="1" applyFill="1" applyBorder="1" applyAlignment="1">
      <alignment vertical="top"/>
    </xf>
    <xf numFmtId="2" fontId="7" fillId="0" borderId="0" xfId="2" applyNumberFormat="1" applyFont="1"/>
    <xf numFmtId="0" fontId="5" fillId="0" borderId="0" xfId="0" applyFont="1" applyAlignment="1">
      <alignment horizontal="left" vertical="top" wrapText="1"/>
    </xf>
    <xf numFmtId="0" fontId="8" fillId="0" borderId="0" xfId="0" applyFont="1"/>
    <xf numFmtId="4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8" fillId="0" borderId="0" xfId="0" applyFont="1" applyAlignment="1">
      <alignment horizontal="left" vertical="top"/>
    </xf>
    <xf numFmtId="4" fontId="5" fillId="3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2" fontId="5" fillId="3" borderId="0" xfId="2" applyNumberFormat="1" applyFont="1" applyFill="1"/>
    <xf numFmtId="0" fontId="5" fillId="3" borderId="0" xfId="0" applyFont="1" applyFill="1"/>
    <xf numFmtId="0" fontId="5" fillId="3" borderId="0" xfId="0" applyFont="1" applyFill="1" applyAlignment="1">
      <alignment vertical="top"/>
    </xf>
    <xf numFmtId="0" fontId="5" fillId="3" borderId="0" xfId="0" applyFont="1" applyFill="1" applyAlignment="1">
      <alignment vertical="top" wrapText="1"/>
    </xf>
    <xf numFmtId="4" fontId="5" fillId="0" borderId="0" xfId="0" applyNumberFormat="1" applyFont="1" applyAlignment="1">
      <alignment vertical="top"/>
    </xf>
    <xf numFmtId="4" fontId="9" fillId="0" borderId="0" xfId="0" applyNumberFormat="1" applyFont="1" applyAlignment="1">
      <alignment horizontal="right" wrapText="1"/>
    </xf>
    <xf numFmtId="10" fontId="3" fillId="2" borderId="1" xfId="0" applyNumberFormat="1" applyFont="1" applyFill="1" applyBorder="1" applyAlignment="1">
      <alignment horizontal="center" vertical="center" wrapText="1"/>
    </xf>
    <xf numFmtId="9" fontId="2" fillId="0" borderId="1" xfId="15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" fontId="2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1" xfId="0" applyBorder="1"/>
    <xf numFmtId="4" fontId="7" fillId="3" borderId="1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vertical="top" wrapText="1"/>
    </xf>
    <xf numFmtId="4" fontId="0" fillId="0" borderId="0" xfId="0" applyNumberFormat="1"/>
    <xf numFmtId="0" fontId="0" fillId="0" borderId="1" xfId="0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9" fontId="0" fillId="0" borderId="0" xfId="0" applyNumberFormat="1"/>
    <xf numFmtId="4" fontId="5" fillId="3" borderId="2" xfId="0" applyNumberFormat="1" applyFont="1" applyFill="1" applyBorder="1" applyAlignment="1">
      <alignment horizontal="right" vertical="top" wrapText="1"/>
    </xf>
    <xf numFmtId="0" fontId="0" fillId="3" borderId="1" xfId="0" applyFill="1" applyBorder="1" applyAlignment="1">
      <alignment vertical="top" wrapText="1"/>
    </xf>
    <xf numFmtId="0" fontId="0" fillId="4" borderId="1" xfId="0" applyFill="1" applyBorder="1"/>
    <xf numFmtId="0" fontId="19" fillId="2" borderId="1" xfId="17" applyFont="1" applyFill="1" applyBorder="1" applyAlignment="1">
      <alignment horizontal="left" vertical="center" wrapText="1"/>
    </xf>
    <xf numFmtId="1" fontId="20" fillId="5" borderId="1" xfId="0" applyNumberFormat="1" applyFont="1" applyFill="1" applyBorder="1"/>
    <xf numFmtId="0" fontId="0" fillId="4" borderId="2" xfId="0" applyFill="1" applyBorder="1"/>
    <xf numFmtId="165" fontId="0" fillId="0" borderId="0" xfId="16" applyFont="1"/>
    <xf numFmtId="0" fontId="0" fillId="0" borderId="0" xfId="0" applyAlignment="1">
      <alignment horizontal="center"/>
    </xf>
    <xf numFmtId="0" fontId="13" fillId="0" borderId="0" xfId="0" applyFont="1"/>
    <xf numFmtId="164" fontId="21" fillId="0" borderId="0" xfId="0" applyNumberFormat="1" applyFont="1"/>
    <xf numFmtId="0" fontId="22" fillId="0" borderId="0" xfId="0" applyFont="1"/>
    <xf numFmtId="0" fontId="0" fillId="6" borderId="0" xfId="0" applyFill="1" applyAlignment="1">
      <alignment horizontal="center"/>
    </xf>
    <xf numFmtId="0" fontId="0" fillId="6" borderId="0" xfId="0" applyFill="1"/>
    <xf numFmtId="0" fontId="20" fillId="7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5" fontId="0" fillId="0" borderId="8" xfId="16" applyFont="1" applyBorder="1"/>
    <xf numFmtId="165" fontId="0" fillId="0" borderId="9" xfId="16" applyFont="1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1" xfId="16" applyFont="1" applyBorder="1"/>
    <xf numFmtId="165" fontId="0" fillId="0" borderId="11" xfId="16" applyFont="1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12" xfId="16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14" xfId="0" applyBorder="1" applyAlignment="1">
      <alignment horizontal="center"/>
    </xf>
    <xf numFmtId="165" fontId="0" fillId="0" borderId="0" xfId="16" applyFont="1" applyBorder="1"/>
    <xf numFmtId="165" fontId="0" fillId="0" borderId="15" xfId="16" applyFont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20" fillId="8" borderId="1" xfId="0" applyFont="1" applyFill="1" applyBorder="1" applyAlignment="1">
      <alignment wrapText="1"/>
    </xf>
    <xf numFmtId="165" fontId="21" fillId="8" borderId="1" xfId="16" applyFont="1" applyFill="1" applyBorder="1" applyAlignment="1">
      <alignment horizontal="center"/>
    </xf>
    <xf numFmtId="0" fontId="0" fillId="8" borderId="1" xfId="0" applyFill="1" applyBorder="1"/>
    <xf numFmtId="165" fontId="21" fillId="8" borderId="1" xfId="16" applyFont="1" applyFill="1" applyBorder="1"/>
    <xf numFmtId="16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167" fontId="20" fillId="5" borderId="1" xfId="0" applyNumberFormat="1" applyFont="1" applyFill="1" applyBorder="1"/>
    <xf numFmtId="3" fontId="0" fillId="0" borderId="1" xfId="0" applyNumberFormat="1" applyBorder="1" applyAlignment="1">
      <alignment vertical="top"/>
    </xf>
    <xf numFmtId="3" fontId="0" fillId="3" borderId="1" xfId="0" applyNumberFormat="1" applyFill="1" applyBorder="1" applyAlignment="1">
      <alignment vertical="top"/>
    </xf>
    <xf numFmtId="0" fontId="23" fillId="0" borderId="0" xfId="0" applyFont="1"/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10" borderId="16" xfId="0" applyFont="1" applyFill="1" applyBorder="1" applyAlignment="1">
      <alignment horizontal="left" vertical="center"/>
    </xf>
    <xf numFmtId="0" fontId="23" fillId="10" borderId="16" xfId="0" applyFont="1" applyFill="1" applyBorder="1" applyAlignment="1">
      <alignment horizontal="left" vertical="center"/>
    </xf>
    <xf numFmtId="0" fontId="23" fillId="10" borderId="16" xfId="0" applyFont="1" applyFill="1" applyBorder="1" applyAlignment="1">
      <alignment horizontal="center" vertical="center"/>
    </xf>
    <xf numFmtId="0" fontId="25" fillId="10" borderId="16" xfId="0" applyFont="1" applyFill="1" applyBorder="1" applyAlignment="1">
      <alignment horizontal="left" vertical="center"/>
    </xf>
    <xf numFmtId="0" fontId="24" fillId="0" borderId="16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center" vertical="top" wrapText="1"/>
    </xf>
    <xf numFmtId="168" fontId="24" fillId="0" borderId="16" xfId="0" applyNumberFormat="1" applyFont="1" applyBorder="1" applyAlignment="1">
      <alignment horizontal="right" vertical="top" wrapText="1"/>
    </xf>
    <xf numFmtId="168" fontId="24" fillId="0" borderId="16" xfId="0" applyNumberFormat="1" applyFont="1" applyBorder="1" applyAlignment="1">
      <alignment vertical="top" wrapText="1"/>
    </xf>
    <xf numFmtId="0" fontId="26" fillId="0" borderId="16" xfId="0" applyFont="1" applyBorder="1" applyAlignment="1">
      <alignment horizontal="left" vertical="top" wrapText="1"/>
    </xf>
    <xf numFmtId="0" fontId="24" fillId="0" borderId="16" xfId="0" applyFont="1" applyBorder="1" applyAlignment="1">
      <alignment vertical="top" wrapText="1"/>
    </xf>
    <xf numFmtId="10" fontId="24" fillId="0" borderId="16" xfId="0" applyNumberFormat="1" applyFont="1" applyBorder="1" applyAlignment="1">
      <alignment horizontal="right" vertical="top" wrapText="1"/>
    </xf>
    <xf numFmtId="0" fontId="23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10" fontId="24" fillId="0" borderId="0" xfId="0" applyNumberFormat="1" applyFont="1" applyAlignment="1">
      <alignment horizontal="right" vertical="top" wrapText="1"/>
    </xf>
    <xf numFmtId="168" fontId="24" fillId="0" borderId="0" xfId="0" applyNumberFormat="1" applyFont="1" applyAlignment="1">
      <alignment vertical="top" wrapText="1"/>
    </xf>
    <xf numFmtId="0" fontId="26" fillId="0" borderId="0" xfId="0" applyFont="1" applyAlignment="1">
      <alignment horizontal="left" vertical="top" wrapText="1"/>
    </xf>
    <xf numFmtId="0" fontId="24" fillId="11" borderId="16" xfId="0" applyFont="1" applyFill="1" applyBorder="1" applyAlignment="1">
      <alignment horizontal="left" vertical="center" wrapText="1"/>
    </xf>
    <xf numFmtId="0" fontId="24" fillId="11" borderId="16" xfId="0" applyFont="1" applyFill="1" applyBorder="1" applyAlignment="1">
      <alignment horizontal="left" vertical="top" wrapText="1"/>
    </xf>
    <xf numFmtId="0" fontId="24" fillId="11" borderId="16" xfId="0" applyFont="1" applyFill="1" applyBorder="1"/>
    <xf numFmtId="168" fontId="23" fillId="11" borderId="16" xfId="0" applyNumberFormat="1" applyFont="1" applyFill="1" applyBorder="1" applyAlignment="1">
      <alignment vertical="top" wrapText="1"/>
    </xf>
    <xf numFmtId="0" fontId="24" fillId="10" borderId="16" xfId="0" applyFont="1" applyFill="1" applyBorder="1" applyAlignment="1">
      <alignment horizontal="left"/>
    </xf>
    <xf numFmtId="0" fontId="23" fillId="10" borderId="16" xfId="0" applyFont="1" applyFill="1" applyBorder="1" applyAlignment="1">
      <alignment horizontal="left"/>
    </xf>
    <xf numFmtId="0" fontId="23" fillId="10" borderId="16" xfId="0" applyFont="1" applyFill="1" applyBorder="1" applyAlignment="1">
      <alignment horizontal="center"/>
    </xf>
    <xf numFmtId="0" fontId="24" fillId="0" borderId="16" xfId="0" applyFont="1" applyBorder="1" applyAlignment="1">
      <alignment horizontal="center" vertical="top"/>
    </xf>
    <xf numFmtId="0" fontId="27" fillId="0" borderId="16" xfId="0" applyFont="1" applyBorder="1" applyAlignment="1">
      <alignment vertical="top" wrapText="1"/>
    </xf>
    <xf numFmtId="0" fontId="24" fillId="0" borderId="16" xfId="0" applyFont="1" applyBorder="1" applyAlignment="1">
      <alignment horizontal="center"/>
    </xf>
    <xf numFmtId="0" fontId="27" fillId="0" borderId="16" xfId="0" applyFont="1" applyBorder="1" applyAlignment="1">
      <alignment horizontal="center" vertical="top"/>
    </xf>
    <xf numFmtId="168" fontId="24" fillId="0" borderId="16" xfId="0" applyNumberFormat="1" applyFont="1" applyBorder="1" applyAlignment="1">
      <alignment vertical="top"/>
    </xf>
    <xf numFmtId="0" fontId="27" fillId="0" borderId="16" xfId="0" applyFont="1" applyBorder="1" applyAlignment="1">
      <alignment vertical="top"/>
    </xf>
    <xf numFmtId="0" fontId="24" fillId="0" borderId="16" xfId="0" applyFont="1" applyBorder="1" applyAlignment="1">
      <alignment vertical="top"/>
    </xf>
    <xf numFmtId="0" fontId="24" fillId="12" borderId="0" xfId="0" applyFont="1" applyFill="1" applyAlignment="1">
      <alignment vertical="top"/>
    </xf>
    <xf numFmtId="0" fontId="23" fillId="12" borderId="0" xfId="0" applyFont="1" applyFill="1" applyAlignment="1">
      <alignment vertical="top"/>
    </xf>
    <xf numFmtId="0" fontId="23" fillId="12" borderId="0" xfId="0" applyFont="1" applyFill="1" applyAlignment="1">
      <alignment horizontal="center"/>
    </xf>
    <xf numFmtId="168" fontId="23" fillId="12" borderId="0" xfId="0" applyNumberFormat="1" applyFont="1" applyFill="1" applyAlignment="1">
      <alignment vertical="top" wrapText="1"/>
    </xf>
    <xf numFmtId="168" fontId="23" fillId="12" borderId="0" xfId="0" applyNumberFormat="1" applyFont="1" applyFill="1" applyAlignment="1">
      <alignment vertical="top"/>
    </xf>
    <xf numFmtId="0" fontId="23" fillId="0" borderId="0" xfId="0" applyFont="1" applyAlignment="1">
      <alignment vertical="top"/>
    </xf>
    <xf numFmtId="0" fontId="24" fillId="0" borderId="0" xfId="0" applyFont="1"/>
    <xf numFmtId="0" fontId="15" fillId="13" borderId="17" xfId="0" applyFont="1" applyFill="1" applyBorder="1"/>
    <xf numFmtId="9" fontId="15" fillId="13" borderId="18" xfId="0" applyNumberFormat="1" applyFont="1" applyFill="1" applyBorder="1"/>
    <xf numFmtId="0" fontId="13" fillId="0" borderId="5" xfId="0" applyFont="1" applyBorder="1" applyAlignment="1">
      <alignment vertical="top"/>
    </xf>
    <xf numFmtId="0" fontId="0" fillId="0" borderId="5" xfId="0" applyBorder="1" applyAlignment="1">
      <alignment horizontal="left" vertical="top"/>
    </xf>
    <xf numFmtId="0" fontId="13" fillId="0" borderId="5" xfId="0" applyFont="1" applyBorder="1" applyAlignment="1">
      <alignment horizontal="center" vertical="top"/>
    </xf>
    <xf numFmtId="0" fontId="13" fillId="8" borderId="19" xfId="0" applyFont="1" applyFill="1" applyBorder="1" applyAlignment="1">
      <alignment vertical="top"/>
    </xf>
    <xf numFmtId="3" fontId="13" fillId="8" borderId="19" xfId="0" applyNumberFormat="1" applyFont="1" applyFill="1" applyBorder="1" applyAlignment="1">
      <alignment vertical="top"/>
    </xf>
    <xf numFmtId="0" fontId="13" fillId="0" borderId="13" xfId="0" applyFont="1" applyBorder="1" applyAlignment="1">
      <alignment horizontal="center" vertical="top"/>
    </xf>
    <xf numFmtId="3" fontId="0" fillId="0" borderId="3" xfId="0" applyNumberFormat="1" applyBorder="1" applyAlignment="1">
      <alignment vertical="top"/>
    </xf>
    <xf numFmtId="3" fontId="0" fillId="3" borderId="3" xfId="0" applyNumberFormat="1" applyFill="1" applyBorder="1" applyAlignment="1">
      <alignment vertical="top"/>
    </xf>
    <xf numFmtId="0" fontId="13" fillId="0" borderId="22" xfId="0" applyFont="1" applyBorder="1" applyAlignment="1">
      <alignment horizontal="center" vertical="top" wrapText="1"/>
    </xf>
    <xf numFmtId="3" fontId="13" fillId="8" borderId="23" xfId="0" applyNumberFormat="1" applyFont="1" applyFill="1" applyBorder="1" applyAlignment="1">
      <alignment vertical="top"/>
    </xf>
    <xf numFmtId="3" fontId="0" fillId="0" borderId="24" xfId="0" applyNumberFormat="1" applyBorder="1" applyAlignment="1">
      <alignment vertical="top"/>
    </xf>
    <xf numFmtId="0" fontId="0" fillId="0" borderId="1" xfId="0" applyFill="1" applyBorder="1" applyAlignment="1">
      <alignment vertical="top" wrapText="1"/>
    </xf>
    <xf numFmtId="3" fontId="0" fillId="0" borderId="1" xfId="0" applyNumberFormat="1" applyFill="1" applyBorder="1" applyAlignment="1">
      <alignment vertical="top"/>
    </xf>
    <xf numFmtId="3" fontId="0" fillId="0" borderId="3" xfId="0" applyNumberFormat="1" applyFill="1" applyBorder="1" applyAlignment="1">
      <alignment vertical="top"/>
    </xf>
    <xf numFmtId="3" fontId="0" fillId="0" borderId="24" xfId="0" applyNumberFormat="1" applyFill="1" applyBorder="1" applyAlignment="1">
      <alignment vertical="top"/>
    </xf>
    <xf numFmtId="0" fontId="0" fillId="0" borderId="0" xfId="0" applyFill="1"/>
    <xf numFmtId="0" fontId="15" fillId="9" borderId="22" xfId="0" applyFont="1" applyFill="1" applyBorder="1" applyAlignment="1">
      <alignment horizontal="center" vertical="top"/>
    </xf>
    <xf numFmtId="3" fontId="15" fillId="8" borderId="23" xfId="0" applyNumberFormat="1" applyFont="1" applyFill="1" applyBorder="1" applyAlignment="1">
      <alignment vertical="top"/>
    </xf>
    <xf numFmtId="3" fontId="0" fillId="9" borderId="24" xfId="0" applyNumberFormat="1" applyFill="1" applyBorder="1" applyAlignment="1">
      <alignment vertical="top"/>
    </xf>
    <xf numFmtId="3" fontId="15" fillId="9" borderId="24" xfId="0" applyNumberFormat="1" applyFont="1" applyFill="1" applyBorder="1" applyAlignment="1">
      <alignment vertical="top"/>
    </xf>
    <xf numFmtId="3" fontId="12" fillId="9" borderId="24" xfId="0" applyNumberFormat="1" applyFont="1" applyFill="1" applyBorder="1" applyAlignment="1">
      <alignment vertical="top"/>
    </xf>
    <xf numFmtId="3" fontId="15" fillId="9" borderId="24" xfId="0" applyNumberFormat="1" applyFont="1" applyFill="1" applyBorder="1" applyAlignment="1">
      <alignment horizontal="right" vertical="top"/>
    </xf>
    <xf numFmtId="3" fontId="15" fillId="9" borderId="25" xfId="0" applyNumberFormat="1" applyFont="1" applyFill="1" applyBorder="1" applyAlignment="1">
      <alignment vertical="top"/>
    </xf>
    <xf numFmtId="0" fontId="0" fillId="0" borderId="19" xfId="0" applyBorder="1" applyAlignment="1">
      <alignment vertical="top" wrapText="1"/>
    </xf>
    <xf numFmtId="3" fontId="0" fillId="0" borderId="19" xfId="0" applyNumberFormat="1" applyBorder="1" applyAlignment="1">
      <alignment vertical="top"/>
    </xf>
    <xf numFmtId="3" fontId="0" fillId="0" borderId="21" xfId="0" applyNumberFormat="1" applyBorder="1" applyAlignment="1">
      <alignment vertical="top"/>
    </xf>
    <xf numFmtId="0" fontId="13" fillId="0" borderId="0" xfId="0" applyFont="1" applyAlignment="1">
      <alignment vertical="top"/>
    </xf>
    <xf numFmtId="0" fontId="0" fillId="0" borderId="19" xfId="0" quotePrefix="1" applyBorder="1" applyAlignment="1">
      <alignment horizontal="left" vertical="top"/>
    </xf>
    <xf numFmtId="0" fontId="0" fillId="0" borderId="1" xfId="0" quotePrefix="1" applyBorder="1" applyAlignment="1">
      <alignment horizontal="left" vertical="top"/>
    </xf>
    <xf numFmtId="0" fontId="13" fillId="8" borderId="19" xfId="0" applyFont="1" applyFill="1" applyBorder="1" applyAlignment="1">
      <alignment horizontal="left" vertical="top"/>
    </xf>
    <xf numFmtId="0" fontId="0" fillId="0" borderId="1" xfId="0" quotePrefix="1" applyFill="1" applyBorder="1" applyAlignment="1">
      <alignment horizontal="left" vertical="top"/>
    </xf>
    <xf numFmtId="0" fontId="13" fillId="8" borderId="4" xfId="0" applyFont="1" applyFill="1" applyBorder="1" applyAlignment="1">
      <alignment horizontal="left" vertical="top"/>
    </xf>
    <xf numFmtId="0" fontId="13" fillId="8" borderId="4" xfId="0" applyFont="1" applyFill="1" applyBorder="1" applyAlignment="1">
      <alignment vertical="top"/>
    </xf>
    <xf numFmtId="3" fontId="13" fillId="8" borderId="4" xfId="0" applyNumberFormat="1" applyFont="1" applyFill="1" applyBorder="1" applyAlignment="1">
      <alignment vertical="top"/>
    </xf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/>
    </xf>
    <xf numFmtId="3" fontId="0" fillId="0" borderId="13" xfId="0" applyNumberFormat="1" applyBorder="1" applyAlignment="1">
      <alignment vertical="top"/>
    </xf>
    <xf numFmtId="3" fontId="0" fillId="0" borderId="26" xfId="0" applyNumberFormat="1" applyBorder="1" applyAlignment="1">
      <alignment vertical="top"/>
    </xf>
    <xf numFmtId="3" fontId="0" fillId="9" borderId="26" xfId="0" applyNumberFormat="1" applyFill="1" applyBorder="1" applyAlignment="1">
      <alignment vertical="top"/>
    </xf>
    <xf numFmtId="0" fontId="13" fillId="14" borderId="27" xfId="0" applyFont="1" applyFill="1" applyBorder="1" applyAlignment="1">
      <alignment vertical="center"/>
    </xf>
    <xf numFmtId="3" fontId="13" fillId="14" borderId="20" xfId="0" applyNumberFormat="1" applyFont="1" applyFill="1" applyBorder="1" applyAlignment="1">
      <alignment vertical="center"/>
    </xf>
    <xf numFmtId="3" fontId="15" fillId="14" borderId="20" xfId="0" applyNumberFormat="1" applyFont="1" applyFill="1" applyBorder="1" applyAlignment="1">
      <alignment vertical="center"/>
    </xf>
    <xf numFmtId="0" fontId="13" fillId="14" borderId="17" xfId="0" applyFont="1" applyFill="1" applyBorder="1" applyAlignment="1">
      <alignment horizontal="left" vertical="center"/>
    </xf>
    <xf numFmtId="0" fontId="0" fillId="13" borderId="0" xfId="0" applyFill="1"/>
    <xf numFmtId="3" fontId="13" fillId="14" borderId="28" xfId="0" applyNumberFormat="1" applyFont="1" applyFill="1" applyBorder="1" applyAlignment="1">
      <alignment vertical="center"/>
    </xf>
    <xf numFmtId="3" fontId="13" fillId="14" borderId="29" xfId="0" applyNumberFormat="1" applyFont="1" applyFill="1" applyBorder="1" applyAlignment="1">
      <alignment vertical="center"/>
    </xf>
    <xf numFmtId="3" fontId="13" fillId="8" borderId="21" xfId="0" applyNumberFormat="1" applyFont="1" applyFill="1" applyBorder="1" applyAlignment="1">
      <alignment vertical="top"/>
    </xf>
    <xf numFmtId="3" fontId="0" fillId="0" borderId="25" xfId="0" applyNumberFormat="1" applyBorder="1" applyAlignment="1">
      <alignment vertical="top"/>
    </xf>
    <xf numFmtId="0" fontId="29" fillId="0" borderId="1" xfId="0" quotePrefix="1" applyFont="1" applyBorder="1" applyAlignment="1">
      <alignment horizontal="left" vertical="top"/>
    </xf>
    <xf numFmtId="3" fontId="29" fillId="9" borderId="24" xfId="0" applyNumberFormat="1" applyFont="1" applyFill="1" applyBorder="1" applyAlignment="1">
      <alignment vertical="top"/>
    </xf>
    <xf numFmtId="0" fontId="29" fillId="0" borderId="0" xfId="0" applyFont="1"/>
    <xf numFmtId="0" fontId="16" fillId="0" borderId="1" xfId="0" quotePrefix="1" applyFont="1" applyFill="1" applyBorder="1" applyAlignment="1">
      <alignment horizontal="left" vertical="top"/>
    </xf>
    <xf numFmtId="0" fontId="16" fillId="0" borderId="5" xfId="0" applyFont="1" applyBorder="1" applyAlignment="1">
      <alignment vertical="top" wrapText="1"/>
    </xf>
    <xf numFmtId="3" fontId="16" fillId="0" borderId="5" xfId="0" applyNumberFormat="1" applyFont="1" applyBorder="1" applyAlignment="1">
      <alignment vertical="top"/>
    </xf>
    <xf numFmtId="3" fontId="16" fillId="0" borderId="26" xfId="0" applyNumberFormat="1" applyFont="1" applyBorder="1" applyAlignment="1">
      <alignment vertical="top"/>
    </xf>
    <xf numFmtId="3" fontId="16" fillId="9" borderId="26" xfId="0" applyNumberFormat="1" applyFont="1" applyFill="1" applyBorder="1" applyAlignment="1">
      <alignment vertical="top"/>
    </xf>
    <xf numFmtId="0" fontId="16" fillId="0" borderId="0" xfId="0" applyFont="1"/>
    <xf numFmtId="0" fontId="7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0" xfId="2" applyFont="1" applyFill="1" applyAlignment="1">
      <alignment horizontal="left" vertical="center"/>
    </xf>
    <xf numFmtId="0" fontId="30" fillId="0" borderId="1" xfId="0" applyFont="1" applyBorder="1" applyAlignment="1">
      <alignment vertical="top" wrapText="1"/>
    </xf>
    <xf numFmtId="4" fontId="32" fillId="0" borderId="1" xfId="18" applyNumberFormat="1" applyFont="1" applyBorder="1" applyAlignment="1">
      <alignment horizontal="right" vertical="center"/>
    </xf>
    <xf numFmtId="4" fontId="30" fillId="0" borderId="1" xfId="0" applyNumberFormat="1" applyFont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4" fontId="30" fillId="0" borderId="1" xfId="0" applyNumberFormat="1" applyFont="1" applyBorder="1" applyAlignment="1">
      <alignment horizontal="right" vertical="center"/>
    </xf>
    <xf numFmtId="0" fontId="33" fillId="0" borderId="1" xfId="0" applyFont="1" applyBorder="1" applyAlignment="1">
      <alignment vertical="top" wrapText="1"/>
    </xf>
    <xf numFmtId="4" fontId="33" fillId="0" borderId="1" xfId="0" applyNumberFormat="1" applyFont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4" fontId="33" fillId="0" borderId="1" xfId="0" applyNumberFormat="1" applyFont="1" applyBorder="1" applyAlignment="1">
      <alignment horizontal="right" vertical="center"/>
    </xf>
    <xf numFmtId="0" fontId="33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/>
    </xf>
    <xf numFmtId="4" fontId="31" fillId="0" borderId="1" xfId="0" applyNumberFormat="1" applyFont="1" applyBorder="1" applyAlignment="1">
      <alignment vertical="center"/>
    </xf>
    <xf numFmtId="4" fontId="31" fillId="0" borderId="1" xfId="0" applyNumberFormat="1" applyFont="1" applyBorder="1" applyAlignment="1">
      <alignment horizontal="right" vertic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0" xfId="3" applyFont="1" applyFill="1" applyAlignment="1">
      <alignment horizontal="center" vertical="top" wrapText="1"/>
    </xf>
    <xf numFmtId="0" fontId="2" fillId="3" borderId="0" xfId="0" applyFont="1" applyFill="1"/>
    <xf numFmtId="0" fontId="36" fillId="13" borderId="16" xfId="0" applyFont="1" applyFill="1" applyBorder="1" applyAlignment="1">
      <alignment horizontal="left" vertical="top" wrapText="1"/>
    </xf>
    <xf numFmtId="0" fontId="12" fillId="13" borderId="0" xfId="0" applyFont="1" applyFill="1" applyAlignment="1">
      <alignment wrapText="1"/>
    </xf>
    <xf numFmtId="0" fontId="12" fillId="13" borderId="0" xfId="0" applyFont="1" applyFill="1" applyAlignment="1">
      <alignment vertical="top" wrapText="1"/>
    </xf>
    <xf numFmtId="0" fontId="35" fillId="13" borderId="0" xfId="0" applyFont="1" applyFill="1" applyAlignment="1">
      <alignment vertical="top" wrapText="1"/>
    </xf>
    <xf numFmtId="0" fontId="12" fillId="13" borderId="0" xfId="0" applyFont="1" applyFill="1" applyAlignment="1">
      <alignment vertical="top"/>
    </xf>
    <xf numFmtId="0" fontId="38" fillId="15" borderId="1" xfId="4" applyFont="1" applyFill="1" applyBorder="1" applyAlignment="1">
      <alignment vertical="center" wrapText="1"/>
    </xf>
    <xf numFmtId="0" fontId="11" fillId="0" borderId="0" xfId="4"/>
    <xf numFmtId="0" fontId="38" fillId="15" borderId="1" xfId="4" applyFont="1" applyFill="1" applyBorder="1" applyAlignment="1">
      <alignment horizontal="center" vertical="center" wrapText="1"/>
    </xf>
    <xf numFmtId="0" fontId="38" fillId="0" borderId="0" xfId="4" applyFont="1" applyAlignment="1">
      <alignment horizontal="center" vertical="center" wrapText="1"/>
    </xf>
    <xf numFmtId="0" fontId="40" fillId="0" borderId="1" xfId="4" applyFont="1" applyBorder="1" applyAlignment="1">
      <alignment vertical="center" wrapText="1"/>
    </xf>
    <xf numFmtId="3" fontId="40" fillId="0" borderId="1" xfId="4" applyNumberFormat="1" applyFont="1" applyBorder="1" applyAlignment="1">
      <alignment horizontal="right" vertical="center"/>
    </xf>
    <xf numFmtId="4" fontId="40" fillId="0" borderId="1" xfId="4" applyNumberFormat="1" applyFont="1" applyBorder="1" applyAlignment="1">
      <alignment horizontal="right" vertical="center"/>
    </xf>
    <xf numFmtId="4" fontId="40" fillId="0" borderId="0" xfId="4" applyNumberFormat="1" applyFont="1" applyAlignment="1">
      <alignment horizontal="right" vertical="center"/>
    </xf>
    <xf numFmtId="0" fontId="40" fillId="0" borderId="1" xfId="4" applyFont="1" applyBorder="1" applyAlignment="1">
      <alignment horizontal="center" vertical="center" wrapText="1"/>
    </xf>
    <xf numFmtId="3" fontId="40" fillId="0" borderId="1" xfId="4" applyNumberFormat="1" applyFont="1" applyBorder="1" applyAlignment="1">
      <alignment horizontal="center" vertical="center" wrapText="1"/>
    </xf>
    <xf numFmtId="4" fontId="40" fillId="0" borderId="1" xfId="4" applyNumberFormat="1" applyFont="1" applyBorder="1" applyAlignment="1">
      <alignment horizontal="center" vertical="center" wrapText="1"/>
    </xf>
    <xf numFmtId="0" fontId="11" fillId="0" borderId="1" xfId="4" applyBorder="1"/>
    <xf numFmtId="4" fontId="38" fillId="15" borderId="1" xfId="4" applyNumberFormat="1" applyFont="1" applyFill="1" applyBorder="1" applyAlignment="1">
      <alignment horizontal="right" vertical="center"/>
    </xf>
    <xf numFmtId="4" fontId="38" fillId="0" borderId="0" xfId="4" applyNumberFormat="1" applyFont="1" applyAlignment="1">
      <alignment horizontal="right" vertical="center"/>
    </xf>
    <xf numFmtId="4" fontId="11" fillId="0" borderId="0" xfId="4" applyNumberFormat="1"/>
    <xf numFmtId="0" fontId="11" fillId="0" borderId="0" xfId="4" applyAlignment="1">
      <alignment wrapText="1"/>
    </xf>
    <xf numFmtId="0" fontId="11" fillId="0" borderId="0" xfId="4" applyFill="1" applyBorder="1"/>
    <xf numFmtId="0" fontId="11" fillId="0" borderId="0" xfId="4" applyFill="1" applyBorder="1" applyAlignment="1"/>
    <xf numFmtId="4" fontId="11" fillId="0" borderId="0" xfId="4" applyNumberFormat="1" applyFill="1" applyBorder="1" applyAlignment="1"/>
    <xf numFmtId="0" fontId="40" fillId="0" borderId="0" xfId="4" applyFont="1" applyFill="1" applyBorder="1" applyAlignment="1">
      <alignment vertical="center" wrapText="1"/>
    </xf>
    <xf numFmtId="3" fontId="40" fillId="0" borderId="0" xfId="4" applyNumberFormat="1" applyFont="1" applyFill="1" applyBorder="1" applyAlignment="1">
      <alignment horizontal="center" vertical="center" wrapText="1"/>
    </xf>
    <xf numFmtId="4" fontId="40" fillId="0" borderId="0" xfId="4" applyNumberFormat="1" applyFont="1" applyFill="1" applyBorder="1" applyAlignment="1">
      <alignment horizontal="center" vertical="center"/>
    </xf>
    <xf numFmtId="3" fontId="40" fillId="0" borderId="0" xfId="4" applyNumberFormat="1" applyFont="1" applyFill="1" applyBorder="1" applyAlignment="1">
      <alignment horizontal="center" vertical="center"/>
    </xf>
    <xf numFmtId="4" fontId="11" fillId="0" borderId="1" xfId="4" applyNumberFormat="1" applyBorder="1"/>
    <xf numFmtId="0" fontId="11" fillId="0" borderId="1" xfId="4" applyBorder="1" applyAlignment="1">
      <alignment wrapText="1"/>
    </xf>
    <xf numFmtId="3" fontId="11" fillId="0" borderId="0" xfId="4" applyNumberFormat="1"/>
    <xf numFmtId="0" fontId="40" fillId="0" borderId="0" xfId="4" applyFont="1" applyFill="1" applyBorder="1" applyAlignment="1">
      <alignment horizontal="left" vertical="center" wrapText="1"/>
    </xf>
    <xf numFmtId="4" fontId="11" fillId="0" borderId="0" xfId="4" applyNumberFormat="1" applyFill="1" applyBorder="1"/>
    <xf numFmtId="0" fontId="11" fillId="0" borderId="0" xfId="4" applyFill="1" applyBorder="1" applyAlignment="1">
      <alignment horizontal="left"/>
    </xf>
    <xf numFmtId="0" fontId="13" fillId="0" borderId="1" xfId="4" applyFont="1" applyBorder="1" applyAlignment="1">
      <alignment wrapText="1"/>
    </xf>
    <xf numFmtId="4" fontId="13" fillId="0" borderId="1" xfId="4" applyNumberFormat="1" applyFont="1" applyBorder="1"/>
    <xf numFmtId="3" fontId="11" fillId="0" borderId="0" xfId="4" applyNumberFormat="1" applyFill="1" applyBorder="1"/>
    <xf numFmtId="0" fontId="13" fillId="16" borderId="1" xfId="4" applyFont="1" applyFill="1" applyBorder="1" applyAlignment="1">
      <alignment wrapText="1"/>
    </xf>
    <xf numFmtId="4" fontId="13" fillId="16" borderId="1" xfId="4" applyNumberFormat="1" applyFont="1" applyFill="1" applyBorder="1"/>
    <xf numFmtId="0" fontId="13" fillId="16" borderId="1" xfId="4" applyFont="1" applyFill="1" applyBorder="1"/>
    <xf numFmtId="0" fontId="40" fillId="0" borderId="0" xfId="4" applyFont="1" applyAlignment="1">
      <alignment vertical="center" wrapText="1"/>
    </xf>
    <xf numFmtId="3" fontId="40" fillId="0" borderId="0" xfId="4" applyNumberFormat="1" applyFont="1" applyAlignment="1">
      <alignment horizontal="right" vertical="center"/>
    </xf>
    <xf numFmtId="0" fontId="11" fillId="0" borderId="0" xfId="4" applyFill="1"/>
    <xf numFmtId="0" fontId="11" fillId="0" borderId="3" xfId="4" applyFill="1" applyBorder="1"/>
    <xf numFmtId="0" fontId="11" fillId="0" borderId="1" xfId="4" applyFill="1" applyBorder="1"/>
    <xf numFmtId="0" fontId="40" fillId="0" borderId="3" xfId="4" applyFont="1" applyFill="1" applyBorder="1" applyAlignment="1">
      <alignment vertical="center" wrapText="1"/>
    </xf>
    <xf numFmtId="3" fontId="40" fillId="0" borderId="1" xfId="4" applyNumberFormat="1" applyFont="1" applyFill="1" applyBorder="1" applyAlignment="1">
      <alignment horizontal="center" vertical="center"/>
    </xf>
    <xf numFmtId="0" fontId="40" fillId="0" borderId="1" xfId="4" applyFont="1" applyFill="1" applyBorder="1" applyAlignment="1">
      <alignment horizontal="left" vertical="center" wrapText="1"/>
    </xf>
    <xf numFmtId="0" fontId="11" fillId="0" borderId="19" xfId="4" applyFill="1" applyBorder="1"/>
    <xf numFmtId="4" fontId="11" fillId="0" borderId="19" xfId="4" applyNumberFormat="1" applyFill="1" applyBorder="1"/>
    <xf numFmtId="0" fontId="11" fillId="12" borderId="0" xfId="4" applyFill="1"/>
    <xf numFmtId="4" fontId="11" fillId="12" borderId="0" xfId="4" applyNumberFormat="1" applyFill="1"/>
    <xf numFmtId="4" fontId="11" fillId="0" borderId="0" xfId="4" applyNumberFormat="1" applyFill="1"/>
    <xf numFmtId="0" fontId="11" fillId="17" borderId="1" xfId="4" applyFill="1" applyBorder="1"/>
    <xf numFmtId="0" fontId="11" fillId="17" borderId="1" xfId="4" applyFill="1" applyBorder="1" applyAlignment="1">
      <alignment horizontal="center"/>
    </xf>
    <xf numFmtId="3" fontId="11" fillId="17" borderId="1" xfId="4" applyNumberFormat="1" applyFill="1" applyBorder="1" applyAlignment="1">
      <alignment horizontal="center"/>
    </xf>
    <xf numFmtId="0" fontId="11" fillId="17" borderId="1" xfId="4" applyFill="1" applyBorder="1" applyAlignment="1">
      <alignment horizontal="left"/>
    </xf>
    <xf numFmtId="170" fontId="11" fillId="17" borderId="1" xfId="4" applyNumberFormat="1" applyFill="1" applyBorder="1" applyAlignment="1">
      <alignment horizontal="center"/>
    </xf>
    <xf numFmtId="1" fontId="11" fillId="0" borderId="0" xfId="4" applyNumberFormat="1"/>
    <xf numFmtId="0" fontId="38" fillId="0" borderId="1" xfId="4" applyFont="1" applyBorder="1" applyAlignment="1">
      <alignment horizontal="center" vertical="center" wrapText="1"/>
    </xf>
    <xf numFmtId="0" fontId="13" fillId="14" borderId="32" xfId="0" applyFont="1" applyFill="1" applyBorder="1" applyAlignment="1">
      <alignment horizontal="left" vertical="center"/>
    </xf>
    <xf numFmtId="0" fontId="13" fillId="14" borderId="8" xfId="0" applyFont="1" applyFill="1" applyBorder="1" applyAlignment="1">
      <alignment vertical="center"/>
    </xf>
    <xf numFmtId="3" fontId="13" fillId="14" borderId="33" xfId="0" applyNumberFormat="1" applyFont="1" applyFill="1" applyBorder="1" applyAlignment="1">
      <alignment vertical="center"/>
    </xf>
    <xf numFmtId="3" fontId="13" fillId="14" borderId="34" xfId="0" applyNumberFormat="1" applyFont="1" applyFill="1" applyBorder="1" applyAlignment="1">
      <alignment vertical="center"/>
    </xf>
    <xf numFmtId="3" fontId="13" fillId="14" borderId="22" xfId="0" applyNumberFormat="1" applyFont="1" applyFill="1" applyBorder="1" applyAlignment="1">
      <alignment vertical="center"/>
    </xf>
    <xf numFmtId="3" fontId="15" fillId="14" borderId="22" xfId="0" applyNumberFormat="1" applyFont="1" applyFill="1" applyBorder="1" applyAlignment="1">
      <alignment vertical="center"/>
    </xf>
    <xf numFmtId="0" fontId="13" fillId="14" borderId="35" xfId="0" applyFont="1" applyFill="1" applyBorder="1" applyAlignment="1">
      <alignment horizontal="left" vertical="center"/>
    </xf>
    <xf numFmtId="0" fontId="13" fillId="14" borderId="36" xfId="0" applyFont="1" applyFill="1" applyBorder="1" applyAlignment="1">
      <alignment vertical="center"/>
    </xf>
    <xf numFmtId="3" fontId="13" fillId="14" borderId="37" xfId="0" applyNumberFormat="1" applyFont="1" applyFill="1" applyBorder="1" applyAlignment="1">
      <alignment vertical="center"/>
    </xf>
    <xf numFmtId="3" fontId="13" fillId="14" borderId="38" xfId="0" applyNumberFormat="1" applyFont="1" applyFill="1" applyBorder="1" applyAlignment="1">
      <alignment vertical="center"/>
    </xf>
    <xf numFmtId="3" fontId="13" fillId="14" borderId="39" xfId="0" applyNumberFormat="1" applyFont="1" applyFill="1" applyBorder="1" applyAlignment="1">
      <alignment vertical="center"/>
    </xf>
    <xf numFmtId="3" fontId="15" fillId="14" borderId="39" xfId="0" applyNumberFormat="1" applyFont="1" applyFill="1" applyBorder="1" applyAlignment="1">
      <alignment vertical="center"/>
    </xf>
    <xf numFmtId="3" fontId="0" fillId="0" borderId="0" xfId="0" applyNumberFormat="1"/>
    <xf numFmtId="0" fontId="0" fillId="18" borderId="19" xfId="0" quotePrefix="1" applyFill="1" applyBorder="1" applyAlignment="1">
      <alignment horizontal="left" vertical="top"/>
    </xf>
    <xf numFmtId="0" fontId="16" fillId="18" borderId="1" xfId="0" applyFont="1" applyFill="1" applyBorder="1" applyAlignment="1">
      <alignment vertical="top" wrapText="1"/>
    </xf>
    <xf numFmtId="3" fontId="0" fillId="18" borderId="1" xfId="0" applyNumberFormat="1" applyFill="1" applyBorder="1" applyAlignment="1">
      <alignment vertical="top"/>
    </xf>
    <xf numFmtId="3" fontId="0" fillId="18" borderId="3" xfId="0" applyNumberFormat="1" applyFill="1" applyBorder="1" applyAlignment="1">
      <alignment vertical="top"/>
    </xf>
    <xf numFmtId="3" fontId="0" fillId="18" borderId="24" xfId="0" applyNumberFormat="1" applyFill="1" applyBorder="1" applyAlignment="1">
      <alignment vertical="top"/>
    </xf>
    <xf numFmtId="0" fontId="0" fillId="18" borderId="0" xfId="0" applyFill="1"/>
    <xf numFmtId="3" fontId="16" fillId="0" borderId="1" xfId="0" applyNumberFormat="1" applyFont="1" applyBorder="1" applyAlignment="1">
      <alignment vertical="top"/>
    </xf>
    <xf numFmtId="3" fontId="16" fillId="0" borderId="3" xfId="0" applyNumberFormat="1" applyFont="1" applyBorder="1" applyAlignment="1">
      <alignment vertical="top"/>
    </xf>
    <xf numFmtId="3" fontId="16" fillId="0" borderId="24" xfId="0" applyNumberFormat="1" applyFont="1" applyBorder="1" applyAlignment="1">
      <alignment vertical="top"/>
    </xf>
    <xf numFmtId="3" fontId="16" fillId="3" borderId="1" xfId="0" applyNumberFormat="1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3" fontId="0" fillId="3" borderId="24" xfId="0" applyNumberFormat="1" applyFill="1" applyBorder="1" applyAlignment="1">
      <alignment vertical="top"/>
    </xf>
    <xf numFmtId="3" fontId="15" fillId="3" borderId="24" xfId="0" applyNumberFormat="1" applyFont="1" applyFill="1" applyBorder="1" applyAlignment="1">
      <alignment vertical="top"/>
    </xf>
    <xf numFmtId="0" fontId="12" fillId="3" borderId="0" xfId="0" applyFont="1" applyFill="1"/>
    <xf numFmtId="0" fontId="0" fillId="3" borderId="0" xfId="0" applyFill="1"/>
    <xf numFmtId="0" fontId="0" fillId="19" borderId="1" xfId="0" quotePrefix="1" applyFill="1" applyBorder="1" applyAlignment="1">
      <alignment horizontal="left" vertical="top"/>
    </xf>
    <xf numFmtId="0" fontId="0" fillId="19" borderId="1" xfId="0" applyFill="1" applyBorder="1" applyAlignment="1">
      <alignment vertical="top" wrapText="1"/>
    </xf>
    <xf numFmtId="3" fontId="0" fillId="19" borderId="1" xfId="0" applyNumberFormat="1" applyFill="1" applyBorder="1" applyAlignment="1">
      <alignment vertical="top"/>
    </xf>
    <xf numFmtId="3" fontId="0" fillId="19" borderId="3" xfId="0" applyNumberFormat="1" applyFill="1" applyBorder="1" applyAlignment="1">
      <alignment vertical="top"/>
    </xf>
    <xf numFmtId="3" fontId="0" fillId="19" borderId="24" xfId="0" applyNumberFormat="1" applyFill="1" applyBorder="1" applyAlignment="1">
      <alignment vertical="top"/>
    </xf>
    <xf numFmtId="0" fontId="0" fillId="19" borderId="0" xfId="0" applyFill="1"/>
    <xf numFmtId="4" fontId="0" fillId="0" borderId="1" xfId="0" applyNumberFormat="1" applyFont="1" applyBorder="1" applyAlignment="1"/>
    <xf numFmtId="4" fontId="9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0" fontId="0" fillId="6" borderId="4" xfId="0" applyFill="1" applyBorder="1" applyAlignment="1">
      <alignment horizontal="center"/>
    </xf>
    <xf numFmtId="0" fontId="38" fillId="15" borderId="1" xfId="4" applyFont="1" applyFill="1" applyBorder="1" applyAlignment="1">
      <alignment vertical="center" wrapText="1"/>
    </xf>
    <xf numFmtId="0" fontId="38" fillId="15" borderId="3" xfId="4" applyFont="1" applyFill="1" applyBorder="1" applyAlignment="1">
      <alignment vertical="center" wrapText="1"/>
    </xf>
    <xf numFmtId="0" fontId="38" fillId="15" borderId="31" xfId="4" applyFont="1" applyFill="1" applyBorder="1" applyAlignment="1">
      <alignment vertical="center" wrapText="1"/>
    </xf>
    <xf numFmtId="0" fontId="11" fillId="0" borderId="0" xfId="4" applyAlignment="1">
      <alignment horizontal="center"/>
    </xf>
    <xf numFmtId="0" fontId="11" fillId="0" borderId="1" xfId="4" applyBorder="1" applyAlignment="1">
      <alignment horizontal="center"/>
    </xf>
    <xf numFmtId="0" fontId="11" fillId="0" borderId="3" xfId="4" applyBorder="1" applyAlignment="1">
      <alignment horizontal="center"/>
    </xf>
    <xf numFmtId="0" fontId="11" fillId="0" borderId="31" xfId="4" applyBorder="1" applyAlignment="1">
      <alignment horizontal="center"/>
    </xf>
    <xf numFmtId="9" fontId="38" fillId="15" borderId="1" xfId="4" applyNumberFormat="1" applyFont="1" applyFill="1" applyBorder="1" applyAlignment="1">
      <alignment vertical="center" wrapText="1"/>
    </xf>
    <xf numFmtId="0" fontId="11" fillId="0" borderId="1" xfId="4" applyFill="1" applyBorder="1" applyAlignment="1">
      <alignment horizontal="center"/>
    </xf>
  </cellXfs>
  <cellStyles count="19">
    <cellStyle name="Standard 3" xfId="17"/>
    <cellStyle name="Денежный" xfId="16" builtinId="4"/>
    <cellStyle name="Обычный" xfId="0" builtinId="0"/>
    <cellStyle name="Обычный 10" xfId="2"/>
    <cellStyle name="Обычный 2 2" xfId="3"/>
    <cellStyle name="Обычный 46" xfId="4"/>
    <cellStyle name="Обычный 47" xfId="5"/>
    <cellStyle name="Обычный 49" xfId="6"/>
    <cellStyle name="Обычный 5" xfId="18"/>
    <cellStyle name="Обычный 50" xfId="7"/>
    <cellStyle name="Обычный 52" xfId="8"/>
    <cellStyle name="Обычный 53" xfId="9"/>
    <cellStyle name="Обычный 55" xfId="10"/>
    <cellStyle name="Обычный 56" xfId="11"/>
    <cellStyle name="Обычный 59" xfId="12"/>
    <cellStyle name="Обычный 60" xfId="13"/>
    <cellStyle name="Процентный" xfId="15" builtinId="5"/>
    <cellStyle name="Финансовый" xfId="1" builtinId="3"/>
    <cellStyle name="Финансовый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60" sqref="I60"/>
    </sheetView>
  </sheetViews>
  <sheetFormatPr defaultRowHeight="14.4"/>
  <cols>
    <col min="1" max="1" width="7.44140625" style="94" customWidth="1"/>
    <col min="2" max="2" width="60" customWidth="1"/>
    <col min="3" max="3" width="10.33203125" customWidth="1"/>
    <col min="4" max="5" width="11.6640625" bestFit="1" customWidth="1"/>
    <col min="6" max="6" width="11.5546875" customWidth="1"/>
    <col min="7" max="7" width="12.109375" customWidth="1"/>
    <col min="9" max="9" width="26.6640625" customWidth="1"/>
  </cols>
  <sheetData>
    <row r="1" spans="1:9" ht="15" thickBot="1">
      <c r="A1" s="170" t="s">
        <v>131</v>
      </c>
    </row>
    <row r="2" spans="1:9" ht="15" thickBot="1">
      <c r="A2" s="145" t="s">
        <v>130</v>
      </c>
      <c r="B2" s="144" t="s">
        <v>38</v>
      </c>
      <c r="C2" s="146">
        <v>2024</v>
      </c>
      <c r="D2" s="146">
        <v>2025</v>
      </c>
      <c r="E2" s="149">
        <v>2026</v>
      </c>
      <c r="F2" s="152" t="s">
        <v>87</v>
      </c>
      <c r="G2" s="160" t="s">
        <v>39</v>
      </c>
      <c r="I2" t="s">
        <v>247</v>
      </c>
    </row>
    <row r="3" spans="1:9" ht="23.4" customHeight="1" thickBot="1">
      <c r="A3" s="186">
        <v>1</v>
      </c>
      <c r="B3" s="183" t="s">
        <v>180</v>
      </c>
      <c r="C3" s="188">
        <f>SUM(C4,C14,C20)</f>
        <v>3380903.1500000004</v>
      </c>
      <c r="D3" s="188">
        <f>SUM(D4,D14,D20)</f>
        <v>3573537.2399999998</v>
      </c>
      <c r="E3" s="189">
        <f>SUM(E4,E14,E20)</f>
        <v>3390849.3600000003</v>
      </c>
      <c r="F3" s="184">
        <f>SUM(F4,F14,F20)</f>
        <v>10345289.75</v>
      </c>
      <c r="G3" s="185">
        <f>SUM(G4,G14,G20)</f>
        <v>2813624.7199999997</v>
      </c>
    </row>
    <row r="4" spans="1:9">
      <c r="A4" s="175">
        <v>1.1000000000000001</v>
      </c>
      <c r="B4" s="176" t="s">
        <v>181</v>
      </c>
      <c r="C4" s="148">
        <f>SUM(C5:C13)</f>
        <v>666101.6</v>
      </c>
      <c r="D4" s="148">
        <f>SUM(D5:D13)</f>
        <v>234502.39999999999</v>
      </c>
      <c r="E4" s="190">
        <f>SUM(E5:E13)</f>
        <v>237483.2</v>
      </c>
      <c r="F4" s="153">
        <f>SUM(F5:F13)</f>
        <v>1138087.2</v>
      </c>
      <c r="G4" s="161">
        <f>SUM(G5:G13)</f>
        <v>941644</v>
      </c>
    </row>
    <row r="5" spans="1:9" ht="57.6">
      <c r="A5" s="171" t="s">
        <v>182</v>
      </c>
      <c r="B5" s="167" t="s">
        <v>132</v>
      </c>
      <c r="C5" s="168">
        <v>400600</v>
      </c>
      <c r="D5" s="168">
        <v>0</v>
      </c>
      <c r="E5" s="169">
        <v>0</v>
      </c>
      <c r="F5" s="154">
        <f>SUM(C5:E5)</f>
        <v>400600</v>
      </c>
      <c r="G5" s="162"/>
      <c r="I5" s="187" t="s">
        <v>248</v>
      </c>
    </row>
    <row r="6" spans="1:9" ht="100.8">
      <c r="A6" s="171" t="s">
        <v>182</v>
      </c>
      <c r="B6" s="51" t="s">
        <v>136</v>
      </c>
      <c r="C6" s="96">
        <v>0</v>
      </c>
      <c r="D6" s="96">
        <v>0</v>
      </c>
      <c r="E6" s="150">
        <v>0</v>
      </c>
      <c r="F6" s="154">
        <v>0</v>
      </c>
      <c r="G6" s="163">
        <v>935200</v>
      </c>
    </row>
    <row r="7" spans="1:9" ht="57.6">
      <c r="A7" s="171" t="s">
        <v>183</v>
      </c>
      <c r="B7" s="51" t="s">
        <v>66</v>
      </c>
      <c r="C7" s="96">
        <f>4675*4</f>
        <v>18700</v>
      </c>
      <c r="D7" s="96"/>
      <c r="E7" s="150"/>
      <c r="F7" s="154">
        <f t="shared" ref="F7" si="0">SUM(C7:E7)</f>
        <v>18700</v>
      </c>
      <c r="G7" s="164"/>
    </row>
    <row r="8" spans="1:9" ht="43.2">
      <c r="A8" s="171" t="s">
        <v>184</v>
      </c>
      <c r="B8" s="51" t="s">
        <v>50</v>
      </c>
      <c r="C8" s="96">
        <v>207405</v>
      </c>
      <c r="D8" s="96">
        <v>207405</v>
      </c>
      <c r="E8" s="150">
        <v>207405</v>
      </c>
      <c r="F8" s="154">
        <f>SUM(C8:E8)</f>
        <v>622215</v>
      </c>
      <c r="G8" s="162"/>
    </row>
    <row r="9" spans="1:9" ht="57.6">
      <c r="A9" s="171" t="s">
        <v>185</v>
      </c>
      <c r="B9" s="51" t="s">
        <v>62</v>
      </c>
      <c r="C9" s="96">
        <f>6200*2</f>
        <v>12400</v>
      </c>
      <c r="D9" s="96">
        <v>0</v>
      </c>
      <c r="E9" s="150">
        <v>0</v>
      </c>
      <c r="F9" s="154">
        <f>SUM(C9:E9)</f>
        <v>12400</v>
      </c>
      <c r="G9" s="162"/>
    </row>
    <row r="10" spans="1:9" ht="72">
      <c r="A10" s="171" t="s">
        <v>186</v>
      </c>
      <c r="B10" s="51" t="s">
        <v>225</v>
      </c>
      <c r="C10" s="96">
        <f>4675*5</f>
        <v>23375</v>
      </c>
      <c r="D10" s="96">
        <f>4675*5</f>
        <v>23375</v>
      </c>
      <c r="E10" s="96">
        <f>4675*5</f>
        <v>23375</v>
      </c>
      <c r="F10" s="154">
        <f>SUM(C10:E10)</f>
        <v>70125</v>
      </c>
      <c r="G10" s="162"/>
    </row>
    <row r="11" spans="1:9" s="301" customFormat="1" ht="28.8">
      <c r="A11" s="296" t="s">
        <v>187</v>
      </c>
      <c r="B11" s="297" t="s">
        <v>349</v>
      </c>
      <c r="C11" s="298">
        <v>0</v>
      </c>
      <c r="D11" s="298">
        <v>0</v>
      </c>
      <c r="E11" s="299">
        <v>0</v>
      </c>
      <c r="F11" s="300">
        <f>SUM(C11:E11)</f>
        <v>0</v>
      </c>
      <c r="G11" s="300"/>
    </row>
    <row r="12" spans="1:9" ht="28.8">
      <c r="A12" s="171" t="s">
        <v>188</v>
      </c>
      <c r="B12" s="55" t="s">
        <v>71</v>
      </c>
      <c r="C12" s="97">
        <v>3621.6</v>
      </c>
      <c r="D12" s="97">
        <v>3722.4</v>
      </c>
      <c r="E12" s="151">
        <v>6703.2</v>
      </c>
      <c r="F12" s="154">
        <f>SUM(C12:E12)</f>
        <v>14047.2</v>
      </c>
      <c r="G12" s="162"/>
    </row>
    <row r="13" spans="1:9" ht="28.8">
      <c r="A13" s="171" t="s">
        <v>188</v>
      </c>
      <c r="B13" s="55" t="s">
        <v>207</v>
      </c>
      <c r="C13" s="97"/>
      <c r="D13" s="97"/>
      <c r="E13" s="151"/>
      <c r="F13" s="154"/>
      <c r="G13" s="163">
        <v>6444</v>
      </c>
    </row>
    <row r="14" spans="1:9">
      <c r="A14" s="173">
        <v>1.2</v>
      </c>
      <c r="B14" s="147" t="s">
        <v>190</v>
      </c>
      <c r="C14" s="177">
        <f>SUM(C15:C19)</f>
        <v>1494522</v>
      </c>
      <c r="D14" s="177">
        <f>SUM(D15:D19)</f>
        <v>901560</v>
      </c>
      <c r="E14" s="177">
        <f>SUM(E15:E19)</f>
        <v>901560</v>
      </c>
      <c r="F14" s="153">
        <f>SUM(F15:F19)</f>
        <v>3297642</v>
      </c>
      <c r="G14" s="161">
        <f>SUM(G15:G19)</f>
        <v>197729</v>
      </c>
    </row>
    <row r="15" spans="1:9" s="194" customFormat="1" ht="96.6">
      <c r="A15" s="192" t="s">
        <v>191</v>
      </c>
      <c r="B15" s="52" t="s">
        <v>350</v>
      </c>
      <c r="C15" s="302">
        <v>622122</v>
      </c>
      <c r="D15" s="302">
        <v>29160</v>
      </c>
      <c r="E15" s="303">
        <v>29160</v>
      </c>
      <c r="F15" s="304">
        <f>SUM(C15:E15)</f>
        <v>680442</v>
      </c>
      <c r="G15" s="193"/>
      <c r="I15" s="223" t="s">
        <v>249</v>
      </c>
    </row>
    <row r="16" spans="1:9" ht="28.8">
      <c r="A16" s="172" t="s">
        <v>192</v>
      </c>
      <c r="B16" s="55" t="s">
        <v>61</v>
      </c>
      <c r="C16" s="96"/>
      <c r="D16" s="96"/>
      <c r="E16" s="150"/>
      <c r="F16" s="154"/>
      <c r="G16" s="163">
        <v>197729</v>
      </c>
    </row>
    <row r="17" spans="1:9" ht="86.4">
      <c r="A17" s="172" t="s">
        <v>193</v>
      </c>
      <c r="B17" s="51" t="s">
        <v>72</v>
      </c>
      <c r="C17" s="96">
        <v>850000</v>
      </c>
      <c r="D17" s="96">
        <v>850000</v>
      </c>
      <c r="E17" s="150">
        <v>850000</v>
      </c>
      <c r="F17" s="154">
        <f>SUM(C17:E17)</f>
        <v>2550000</v>
      </c>
      <c r="G17" s="162"/>
      <c r="I17" s="224" t="s">
        <v>250</v>
      </c>
    </row>
    <row r="18" spans="1:9" ht="43.2">
      <c r="A18" s="172" t="s">
        <v>194</v>
      </c>
      <c r="B18" s="51" t="s">
        <v>63</v>
      </c>
      <c r="C18" s="96">
        <f>6200*2</f>
        <v>12400</v>
      </c>
      <c r="D18" s="96">
        <f t="shared" ref="D18:E18" si="1">6200*2</f>
        <v>12400</v>
      </c>
      <c r="E18" s="96">
        <f t="shared" si="1"/>
        <v>12400</v>
      </c>
      <c r="F18" s="154">
        <f>SUM(C18:E18)</f>
        <v>37200</v>
      </c>
      <c r="G18" s="162"/>
    </row>
    <row r="19" spans="1:9" ht="28.8">
      <c r="A19" s="172" t="s">
        <v>195</v>
      </c>
      <c r="B19" s="51" t="s">
        <v>208</v>
      </c>
      <c r="C19" s="96">
        <v>10000</v>
      </c>
      <c r="D19" s="96">
        <v>10000</v>
      </c>
      <c r="E19" s="150">
        <v>10000</v>
      </c>
      <c r="F19" s="154">
        <f>SUM(C19:E19)</f>
        <v>30000</v>
      </c>
      <c r="G19" s="162"/>
    </row>
    <row r="20" spans="1:9">
      <c r="A20" s="173">
        <v>1.3</v>
      </c>
      <c r="B20" s="147" t="s">
        <v>211</v>
      </c>
      <c r="C20" s="177">
        <f>SUM(C21:C33)</f>
        <v>1220279.55</v>
      </c>
      <c r="D20" s="177">
        <f>SUM(D21:D33)</f>
        <v>2437474.84</v>
      </c>
      <c r="E20" s="177">
        <f>SUM(E21:E33)</f>
        <v>2251806.16</v>
      </c>
      <c r="F20" s="153">
        <f>SUM(F21:F33)</f>
        <v>5909560.5500000007</v>
      </c>
      <c r="G20" s="161">
        <f>SUM(G21:G33)</f>
        <v>1674251.72</v>
      </c>
    </row>
    <row r="21" spans="1:9" s="159" customFormat="1" ht="154.80000000000001">
      <c r="A21" s="174" t="s">
        <v>196</v>
      </c>
      <c r="B21" s="155" t="s">
        <v>70</v>
      </c>
      <c r="C21" s="156">
        <v>778653.71</v>
      </c>
      <c r="D21" s="156">
        <v>2032488</v>
      </c>
      <c r="E21" s="157">
        <v>1788147.32</v>
      </c>
      <c r="F21" s="158">
        <f>SUM(C21:E21)</f>
        <v>4599289.03</v>
      </c>
      <c r="G21" s="162"/>
      <c r="I21" s="225" t="s">
        <v>251</v>
      </c>
    </row>
    <row r="22" spans="1:9">
      <c r="A22" s="174" t="s">
        <v>196</v>
      </c>
      <c r="B22" s="51" t="s">
        <v>42</v>
      </c>
      <c r="C22" s="96"/>
      <c r="D22" s="96"/>
      <c r="E22" s="150"/>
      <c r="F22" s="154"/>
      <c r="G22" s="163">
        <v>1658804.72</v>
      </c>
    </row>
    <row r="23" spans="1:9">
      <c r="A23" s="174" t="s">
        <v>197</v>
      </c>
      <c r="B23" s="51" t="s">
        <v>176</v>
      </c>
      <c r="C23" s="96">
        <v>10000</v>
      </c>
      <c r="D23" s="96">
        <v>10000</v>
      </c>
      <c r="E23" s="150">
        <v>10000</v>
      </c>
      <c r="F23" s="154">
        <f>SUM(C23:E23)</f>
        <v>30000</v>
      </c>
      <c r="G23" s="162"/>
      <c r="I23" s="226" t="s">
        <v>248</v>
      </c>
    </row>
    <row r="24" spans="1:9" ht="72">
      <c r="A24" s="174" t="s">
        <v>198</v>
      </c>
      <c r="B24" s="51" t="s">
        <v>41</v>
      </c>
      <c r="C24" s="96">
        <v>13564</v>
      </c>
      <c r="D24" s="96">
        <v>14425</v>
      </c>
      <c r="E24" s="150">
        <v>15447</v>
      </c>
      <c r="F24" s="154">
        <f>SUM(C24:E24)</f>
        <v>43436</v>
      </c>
      <c r="G24" s="162"/>
      <c r="I24" s="226" t="s">
        <v>252</v>
      </c>
    </row>
    <row r="25" spans="1:9" ht="28.8">
      <c r="A25" s="174" t="s">
        <v>198</v>
      </c>
      <c r="B25" s="51" t="s">
        <v>209</v>
      </c>
      <c r="C25" s="96"/>
      <c r="D25" s="96"/>
      <c r="E25" s="150"/>
      <c r="F25" s="154"/>
      <c r="G25" s="163">
        <v>15447</v>
      </c>
    </row>
    <row r="26" spans="1:9" s="316" customFormat="1" ht="57.6">
      <c r="A26" s="311" t="s">
        <v>199</v>
      </c>
      <c r="B26" s="312" t="s">
        <v>351</v>
      </c>
      <c r="C26" s="313">
        <f>750*20*10</f>
        <v>150000</v>
      </c>
      <c r="D26" s="313">
        <f>800*20*10</f>
        <v>160000</v>
      </c>
      <c r="E26" s="314">
        <f>850*20*10</f>
        <v>170000</v>
      </c>
      <c r="F26" s="315">
        <f t="shared" ref="F26:F30" si="2">SUM(C26:E26)</f>
        <v>480000</v>
      </c>
      <c r="G26" s="315"/>
    </row>
    <row r="27" spans="1:9" ht="57.6">
      <c r="A27" s="174" t="s">
        <v>200</v>
      </c>
      <c r="B27" s="51" t="s">
        <v>177</v>
      </c>
      <c r="C27" s="96">
        <f>2.5*((1300*40)/100)*10</f>
        <v>13000</v>
      </c>
      <c r="D27" s="96">
        <f>2.5*((1400*50)/100)*10</f>
        <v>17500</v>
      </c>
      <c r="E27" s="150">
        <f>2.5*((1500*60)/100)*10</f>
        <v>22500</v>
      </c>
      <c r="F27" s="154">
        <f t="shared" si="2"/>
        <v>53000</v>
      </c>
      <c r="G27" s="162"/>
    </row>
    <row r="28" spans="1:9" ht="57.6">
      <c r="A28" s="174" t="s">
        <v>201</v>
      </c>
      <c r="B28" s="51" t="s">
        <v>45</v>
      </c>
      <c r="C28" s="96">
        <v>34442</v>
      </c>
      <c r="D28" s="96">
        <v>34442</v>
      </c>
      <c r="E28" s="150">
        <v>34442</v>
      </c>
      <c r="F28" s="154">
        <f>SUM(C28:E28)</f>
        <v>103326</v>
      </c>
      <c r="G28" s="162"/>
    </row>
    <row r="29" spans="1:9" ht="43.2">
      <c r="A29" s="174" t="s">
        <v>202</v>
      </c>
      <c r="B29" s="51" t="s">
        <v>44</v>
      </c>
      <c r="C29" s="96">
        <f>35296*2</f>
        <v>70592</v>
      </c>
      <c r="D29" s="96">
        <f>35296*2</f>
        <v>70592</v>
      </c>
      <c r="E29" s="150">
        <f>35296*2</f>
        <v>70592</v>
      </c>
      <c r="F29" s="154">
        <f>SUM(C29:E29)</f>
        <v>211776</v>
      </c>
      <c r="G29" s="162"/>
    </row>
    <row r="30" spans="1:9" ht="43.2">
      <c r="A30" s="174" t="s">
        <v>203</v>
      </c>
      <c r="B30" s="51" t="s">
        <v>69</v>
      </c>
      <c r="C30" s="96">
        <f>6200*5</f>
        <v>31000</v>
      </c>
      <c r="D30" s="96"/>
      <c r="E30" s="150">
        <f>6200*5</f>
        <v>31000</v>
      </c>
      <c r="F30" s="154">
        <f t="shared" si="2"/>
        <v>62000</v>
      </c>
      <c r="G30" s="162"/>
    </row>
    <row r="31" spans="1:9">
      <c r="A31" s="174" t="s">
        <v>204</v>
      </c>
      <c r="B31" s="178" t="s">
        <v>43</v>
      </c>
      <c r="C31" s="179">
        <f>3*7000</f>
        <v>21000</v>
      </c>
      <c r="D31" s="179"/>
      <c r="E31" s="180">
        <f>3*7000</f>
        <v>21000</v>
      </c>
      <c r="F31" s="181">
        <f>SUM(C31:E31)</f>
        <v>42000</v>
      </c>
      <c r="G31" s="182"/>
    </row>
    <row r="32" spans="1:9" ht="43.2">
      <c r="A32" s="174" t="s">
        <v>205</v>
      </c>
      <c r="B32" s="51" t="s">
        <v>224</v>
      </c>
      <c r="C32" s="179">
        <f>4675*2</f>
        <v>9350</v>
      </c>
      <c r="D32" s="179">
        <f>4675*2</f>
        <v>9350</v>
      </c>
      <c r="E32" s="180"/>
      <c r="F32" s="181">
        <f>SUM(C32:E32)</f>
        <v>18700</v>
      </c>
      <c r="G32" s="182"/>
    </row>
    <row r="33" spans="1:8" s="200" customFormat="1" ht="58.2" thickBot="1">
      <c r="A33" s="195" t="s">
        <v>206</v>
      </c>
      <c r="B33" s="196" t="s">
        <v>64</v>
      </c>
      <c r="C33" s="197">
        <v>88677.84</v>
      </c>
      <c r="D33" s="197">
        <v>88677.84</v>
      </c>
      <c r="E33" s="197">
        <v>88677.84</v>
      </c>
      <c r="F33" s="198">
        <f>SUM(C33:E33)</f>
        <v>266033.52</v>
      </c>
      <c r="G33" s="199"/>
    </row>
    <row r="34" spans="1:8" ht="23.4" customHeight="1" thickBot="1">
      <c r="A34" s="186">
        <v>2</v>
      </c>
      <c r="B34" s="183" t="s">
        <v>213</v>
      </c>
      <c r="C34" s="188">
        <f>SUM(C35,C43,C51)</f>
        <v>198890</v>
      </c>
      <c r="D34" s="188">
        <f>SUM(D35,D43,D51)</f>
        <v>113040</v>
      </c>
      <c r="E34" s="189">
        <f>SUM(E35,E43,E51)</f>
        <v>116040</v>
      </c>
      <c r="F34" s="184">
        <f>SUM(F35,F43,F51)</f>
        <v>427970</v>
      </c>
      <c r="G34" s="185">
        <f>SUM(G35,G43,G51)</f>
        <v>2017975</v>
      </c>
    </row>
    <row r="35" spans="1:8">
      <c r="A35" s="175">
        <v>2.1</v>
      </c>
      <c r="B35" s="176" t="s">
        <v>212</v>
      </c>
      <c r="C35" s="177">
        <f>SUM(C36:C42)</f>
        <v>38500</v>
      </c>
      <c r="D35" s="177">
        <f>SUM(D36:D42)</f>
        <v>0</v>
      </c>
      <c r="E35" s="177">
        <f>SUM(E36:E42)</f>
        <v>25600</v>
      </c>
      <c r="F35" s="153">
        <f>SUM(F36:F42)</f>
        <v>64100</v>
      </c>
      <c r="G35" s="161">
        <f>SUM(G36:G42)</f>
        <v>150000</v>
      </c>
    </row>
    <row r="36" spans="1:8" ht="72">
      <c r="A36" s="93"/>
      <c r="B36" s="51" t="s">
        <v>129</v>
      </c>
      <c r="C36" s="96"/>
      <c r="D36" s="96"/>
      <c r="E36" s="150"/>
      <c r="F36" s="154"/>
      <c r="G36" s="163">
        <v>50000</v>
      </c>
      <c r="H36" t="s">
        <v>179</v>
      </c>
    </row>
    <row r="37" spans="1:8" ht="116.4">
      <c r="A37" s="172" t="s">
        <v>184</v>
      </c>
      <c r="B37" s="51" t="s">
        <v>135</v>
      </c>
      <c r="C37" s="96">
        <f>12000+8000+5600</f>
        <v>25600</v>
      </c>
      <c r="D37" s="96"/>
      <c r="E37" s="150">
        <f t="shared" ref="E37" si="3">12000+8000+5600</f>
        <v>25600</v>
      </c>
      <c r="F37" s="154">
        <f>SUM(C37:E37)</f>
        <v>51200</v>
      </c>
      <c r="G37" s="164"/>
      <c r="H37" t="s">
        <v>137</v>
      </c>
    </row>
    <row r="38" spans="1:8" ht="43.2">
      <c r="A38" s="172" t="s">
        <v>189</v>
      </c>
      <c r="B38" s="51" t="s">
        <v>134</v>
      </c>
      <c r="C38" s="305">
        <v>3000</v>
      </c>
      <c r="D38" s="96"/>
      <c r="E38" s="150"/>
      <c r="F38" s="154">
        <v>3000</v>
      </c>
      <c r="G38" s="162"/>
    </row>
    <row r="39" spans="1:8" ht="43.2">
      <c r="A39" s="172" t="s">
        <v>188</v>
      </c>
      <c r="B39" s="51" t="s">
        <v>133</v>
      </c>
      <c r="C39" s="305">
        <v>3000</v>
      </c>
      <c r="D39" s="96">
        <v>0</v>
      </c>
      <c r="E39" s="150">
        <v>0</v>
      </c>
      <c r="F39" s="154">
        <v>3000</v>
      </c>
      <c r="G39" s="162"/>
    </row>
    <row r="40" spans="1:8" ht="43.2">
      <c r="A40" s="93"/>
      <c r="B40" s="51" t="s">
        <v>128</v>
      </c>
      <c r="C40" s="96"/>
      <c r="D40" s="96"/>
      <c r="E40" s="150"/>
      <c r="F40" s="154"/>
      <c r="G40" s="163">
        <v>50000</v>
      </c>
      <c r="H40" t="s">
        <v>179</v>
      </c>
    </row>
    <row r="41" spans="1:8" ht="43.2">
      <c r="A41" s="93"/>
      <c r="B41" s="52" t="s">
        <v>126</v>
      </c>
      <c r="C41" s="96"/>
      <c r="D41" s="96"/>
      <c r="E41" s="150"/>
      <c r="F41" s="154"/>
      <c r="G41" s="163">
        <v>50000</v>
      </c>
      <c r="H41" t="s">
        <v>179</v>
      </c>
    </row>
    <row r="42" spans="1:8" ht="86.4">
      <c r="A42" s="93"/>
      <c r="B42" s="51" t="s">
        <v>178</v>
      </c>
      <c r="C42" s="96">
        <f>4000+1400+1500</f>
        <v>6900</v>
      </c>
      <c r="D42" s="96"/>
      <c r="E42" s="150"/>
      <c r="F42" s="154">
        <v>6900</v>
      </c>
      <c r="G42" s="162"/>
    </row>
    <row r="43" spans="1:8">
      <c r="A43" s="175">
        <v>2.1</v>
      </c>
      <c r="B43" s="176" t="s">
        <v>214</v>
      </c>
      <c r="C43" s="177">
        <f>SUM(C44:C50)</f>
        <v>152350</v>
      </c>
      <c r="D43" s="177">
        <f>SUM(D44:D50)</f>
        <v>105000</v>
      </c>
      <c r="E43" s="177">
        <f>SUM(E44:E50)</f>
        <v>82400</v>
      </c>
      <c r="F43" s="153">
        <f>SUM(F44:F50)</f>
        <v>339750</v>
      </c>
      <c r="G43" s="161">
        <f>SUM(G44:G50)</f>
        <v>300000</v>
      </c>
    </row>
    <row r="44" spans="1:8" ht="28.8">
      <c r="A44" s="93"/>
      <c r="B44" s="51" t="s">
        <v>226</v>
      </c>
      <c r="C44" s="96"/>
      <c r="D44" s="96">
        <v>30000</v>
      </c>
      <c r="E44" s="150"/>
      <c r="F44" s="154">
        <f>SUM(C44:E44)</f>
        <v>30000</v>
      </c>
      <c r="G44" s="163"/>
    </row>
    <row r="45" spans="1:8" ht="57.6">
      <c r="A45" s="93"/>
      <c r="B45" s="51" t="s">
        <v>210</v>
      </c>
      <c r="C45" s="96">
        <f>6000+1400</f>
        <v>7400</v>
      </c>
      <c r="D45" s="96"/>
      <c r="E45" s="150">
        <f t="shared" ref="E45" si="4">6000+1400</f>
        <v>7400</v>
      </c>
      <c r="F45" s="154">
        <f>SUM(C45:E45)</f>
        <v>14800</v>
      </c>
      <c r="G45" s="163"/>
    </row>
    <row r="46" spans="1:8">
      <c r="A46" s="93"/>
      <c r="B46" s="51" t="s">
        <v>67</v>
      </c>
      <c r="C46" s="96">
        <v>44950</v>
      </c>
      <c r="D46" s="96"/>
      <c r="E46" s="150"/>
      <c r="F46" s="154">
        <f>SUM(C46:E46)</f>
        <v>44950</v>
      </c>
      <c r="G46" s="163"/>
    </row>
    <row r="47" spans="1:8">
      <c r="A47" s="93"/>
      <c r="B47" s="51" t="s">
        <v>68</v>
      </c>
      <c r="C47" s="96"/>
      <c r="D47" s="96"/>
      <c r="E47" s="150"/>
      <c r="F47" s="154"/>
      <c r="G47" s="163">
        <v>300000</v>
      </c>
    </row>
    <row r="48" spans="1:8">
      <c r="A48" s="93"/>
      <c r="B48" s="51" t="s">
        <v>220</v>
      </c>
      <c r="C48" s="96">
        <v>50000</v>
      </c>
      <c r="D48" s="96">
        <v>50000</v>
      </c>
      <c r="E48" s="150">
        <v>50000</v>
      </c>
      <c r="F48" s="154">
        <f>SUM(C48:E48)</f>
        <v>150000</v>
      </c>
      <c r="G48" s="162"/>
    </row>
    <row r="49" spans="1:11" s="310" customFormat="1" ht="86.4">
      <c r="A49" s="306"/>
      <c r="B49" s="55" t="s">
        <v>127</v>
      </c>
      <c r="C49" s="97">
        <v>25000</v>
      </c>
      <c r="D49" s="97">
        <v>25000</v>
      </c>
      <c r="E49" s="151">
        <v>25000</v>
      </c>
      <c r="F49" s="307">
        <f>SUM(C49:E49)</f>
        <v>75000</v>
      </c>
      <c r="G49" s="308"/>
      <c r="H49" s="309" t="s">
        <v>222</v>
      </c>
      <c r="I49" s="309"/>
    </row>
    <row r="50" spans="1:11" ht="43.2">
      <c r="A50" s="93"/>
      <c r="B50" s="51" t="s">
        <v>221</v>
      </c>
      <c r="C50" s="96">
        <v>25000</v>
      </c>
      <c r="D50" s="96"/>
      <c r="E50" s="150"/>
      <c r="F50" s="154">
        <f>SUM(C50:E50)</f>
        <v>25000</v>
      </c>
      <c r="G50" s="162"/>
    </row>
    <row r="51" spans="1:11">
      <c r="A51" s="175">
        <v>2.1</v>
      </c>
      <c r="B51" s="176" t="s">
        <v>215</v>
      </c>
      <c r="C51" s="177">
        <f>SUM(C52:C54)</f>
        <v>8040</v>
      </c>
      <c r="D51" s="177">
        <f>SUM(D52:D54)</f>
        <v>8040</v>
      </c>
      <c r="E51" s="177">
        <f>SUM(E52:E54)</f>
        <v>8040</v>
      </c>
      <c r="F51" s="153">
        <f>SUM(F52:F54)</f>
        <v>24120</v>
      </c>
      <c r="G51" s="161">
        <f>SUM(G52:G54)</f>
        <v>1567975</v>
      </c>
    </row>
    <row r="52" spans="1:11" ht="28.8">
      <c r="A52" s="172" t="s">
        <v>217</v>
      </c>
      <c r="B52" s="51" t="s">
        <v>65</v>
      </c>
      <c r="C52" s="96">
        <v>8040</v>
      </c>
      <c r="D52" s="96">
        <v>8040</v>
      </c>
      <c r="E52" s="150">
        <v>8040</v>
      </c>
      <c r="F52" s="154">
        <f>SUM(C52:E52)</f>
        <v>24120</v>
      </c>
      <c r="G52" s="162"/>
      <c r="I52" s="227" t="s">
        <v>248</v>
      </c>
    </row>
    <row r="53" spans="1:11" ht="57.6">
      <c r="A53" s="172" t="s">
        <v>218</v>
      </c>
      <c r="B53" s="52" t="s">
        <v>216</v>
      </c>
      <c r="C53" s="96"/>
      <c r="D53" s="96"/>
      <c r="E53" s="150"/>
      <c r="F53" s="154"/>
      <c r="G53" s="165">
        <v>967975</v>
      </c>
    </row>
    <row r="54" spans="1:11" ht="15" thickBot="1">
      <c r="A54" s="172" t="s">
        <v>219</v>
      </c>
      <c r="B54" s="51" t="s">
        <v>40</v>
      </c>
      <c r="C54" s="96"/>
      <c r="D54" s="96"/>
      <c r="E54" s="150"/>
      <c r="F54" s="191"/>
      <c r="G54" s="166">
        <v>600000</v>
      </c>
    </row>
    <row r="55" spans="1:11" ht="23.4" customHeight="1">
      <c r="A55" s="283">
        <v>3</v>
      </c>
      <c r="B55" s="284" t="s">
        <v>223</v>
      </c>
      <c r="C55" s="285">
        <f>SUM(C3,C34)</f>
        <v>3579793.1500000004</v>
      </c>
      <c r="D55" s="285">
        <f>SUM(D3,D34)</f>
        <v>3686577.2399999998</v>
      </c>
      <c r="E55" s="286">
        <f>SUM(E3,E34)</f>
        <v>3506889.3600000003</v>
      </c>
      <c r="F55" s="287">
        <f>SUM(F3,F34)</f>
        <v>10773259.75</v>
      </c>
      <c r="G55" s="288">
        <f>SUM(G3,G34)</f>
        <v>4831599.72</v>
      </c>
      <c r="I55" s="295"/>
      <c r="J55" s="295"/>
    </row>
    <row r="56" spans="1:11">
      <c r="A56" s="93"/>
      <c r="B56" s="47" t="s">
        <v>344</v>
      </c>
      <c r="C56" s="47"/>
      <c r="D56" s="47"/>
      <c r="E56" s="47"/>
      <c r="F56" s="47">
        <v>500000</v>
      </c>
      <c r="G56" s="47"/>
    </row>
    <row r="57" spans="1:11">
      <c r="A57" s="93"/>
      <c r="B57" s="47" t="s">
        <v>352</v>
      </c>
      <c r="C57" s="47"/>
      <c r="D57" s="47"/>
      <c r="E57" s="47"/>
      <c r="F57" s="317">
        <f>187723/2</f>
        <v>93861.5</v>
      </c>
      <c r="G57" s="47"/>
    </row>
    <row r="58" spans="1:11">
      <c r="A58" s="93"/>
      <c r="B58" s="47" t="s">
        <v>345</v>
      </c>
      <c r="C58" s="47"/>
      <c r="D58" s="47"/>
      <c r="E58" s="47"/>
      <c r="F58" s="47">
        <f>(F55+F56+F57)*7%</f>
        <v>795698.48750000005</v>
      </c>
      <c r="G58" s="47"/>
    </row>
    <row r="59" spans="1:11">
      <c r="A59" s="93"/>
      <c r="B59" s="47" t="s">
        <v>346</v>
      </c>
      <c r="C59" s="47"/>
      <c r="D59" s="47"/>
      <c r="E59" s="47"/>
      <c r="F59" s="47">
        <f xml:space="preserve"> 2694292 /2</f>
        <v>1347146</v>
      </c>
      <c r="G59" s="47"/>
    </row>
    <row r="60" spans="1:11" ht="15" thickBot="1">
      <c r="A60" s="289"/>
      <c r="B60" s="290" t="s">
        <v>347</v>
      </c>
      <c r="C60" s="291"/>
      <c r="D60" s="291"/>
      <c r="E60" s="292"/>
      <c r="F60" s="293">
        <f>SUM(F55:F59)</f>
        <v>13509965.737500001</v>
      </c>
      <c r="G60" s="294"/>
      <c r="K60" t="s">
        <v>348</v>
      </c>
    </row>
  </sheetData>
  <phoneticPr fontId="28" type="noConversion"/>
  <pageMargins left="1" right="1" top="1" bottom="1" header="0.5" footer="0.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opLeftCell="A10" workbookViewId="0">
      <selection activeCell="S18" sqref="S18"/>
    </sheetView>
  </sheetViews>
  <sheetFormatPr defaultColWidth="8.6640625" defaultRowHeight="14.4"/>
  <cols>
    <col min="2" max="2" width="27.109375" customWidth="1"/>
    <col min="6" max="6" width="17.6640625" customWidth="1"/>
    <col min="7" max="7" width="14.109375" customWidth="1"/>
    <col min="11" max="11" width="13" customWidth="1"/>
    <col min="12" max="12" width="15.6640625" customWidth="1"/>
    <col min="16" max="16" width="13.33203125" customWidth="1"/>
    <col min="17" max="17" width="16.44140625" customWidth="1"/>
    <col min="18" max="18" width="15.109375" customWidth="1"/>
  </cols>
  <sheetData>
    <row r="1" spans="1:17" ht="15.6">
      <c r="B1" s="64" t="s">
        <v>88</v>
      </c>
    </row>
    <row r="2" spans="1:17">
      <c r="A2" s="65"/>
      <c r="B2" s="66"/>
      <c r="C2" s="321">
        <v>2024</v>
      </c>
      <c r="D2" s="321"/>
      <c r="E2" s="321"/>
      <c r="F2" s="321"/>
      <c r="G2" s="321"/>
      <c r="H2" s="321">
        <v>2025</v>
      </c>
      <c r="I2" s="321"/>
      <c r="J2" s="321"/>
      <c r="K2" s="321"/>
      <c r="L2" s="321"/>
      <c r="M2" s="321">
        <v>2026</v>
      </c>
      <c r="N2" s="321"/>
      <c r="O2" s="321"/>
      <c r="P2" s="321"/>
      <c r="Q2" s="321"/>
    </row>
    <row r="3" spans="1:17" ht="43.8" thickBot="1">
      <c r="A3" s="67" t="s">
        <v>89</v>
      </c>
      <c r="B3" s="68" t="s">
        <v>90</v>
      </c>
      <c r="C3" s="69" t="s">
        <v>91</v>
      </c>
      <c r="D3" s="69" t="s">
        <v>92</v>
      </c>
      <c r="E3" s="69" t="s">
        <v>93</v>
      </c>
      <c r="F3" s="69" t="s">
        <v>94</v>
      </c>
      <c r="G3" s="69" t="s">
        <v>95</v>
      </c>
      <c r="H3" s="69" t="s">
        <v>91</v>
      </c>
      <c r="I3" s="69" t="s">
        <v>92</v>
      </c>
      <c r="J3" s="69" t="s">
        <v>93</v>
      </c>
      <c r="K3" s="69" t="s">
        <v>94</v>
      </c>
      <c r="L3" s="69" t="s">
        <v>95</v>
      </c>
      <c r="M3" s="69" t="s">
        <v>91</v>
      </c>
      <c r="N3" s="69" t="s">
        <v>92</v>
      </c>
      <c r="O3" s="69" t="s">
        <v>93</v>
      </c>
      <c r="P3" s="69" t="s">
        <v>94</v>
      </c>
      <c r="Q3" s="69" t="s">
        <v>95</v>
      </c>
    </row>
    <row r="4" spans="1:17">
      <c r="A4" s="70">
        <v>1</v>
      </c>
      <c r="B4" s="71" t="s">
        <v>96</v>
      </c>
      <c r="C4" s="72">
        <v>11</v>
      </c>
      <c r="D4" s="73">
        <v>0</v>
      </c>
      <c r="E4" s="73">
        <v>11</v>
      </c>
      <c r="F4" s="74">
        <v>2078.4</v>
      </c>
      <c r="G4" s="75">
        <f t="shared" ref="G4:G32" si="0">F4*E4</f>
        <v>22862.400000000001</v>
      </c>
      <c r="H4" s="72">
        <v>11</v>
      </c>
      <c r="I4" s="73">
        <v>0</v>
      </c>
      <c r="J4" s="73">
        <v>11</v>
      </c>
      <c r="K4" s="74">
        <v>2078.4</v>
      </c>
      <c r="L4" s="75">
        <f t="shared" ref="L4:L32" si="1">K4*J4</f>
        <v>22862.400000000001</v>
      </c>
      <c r="M4" s="72">
        <v>11</v>
      </c>
      <c r="N4" s="73">
        <v>0</v>
      </c>
      <c r="O4" s="73">
        <v>11</v>
      </c>
      <c r="P4" s="74">
        <v>2078.4</v>
      </c>
      <c r="Q4" s="75">
        <f t="shared" ref="Q4:Q32" si="2">P4*O4</f>
        <v>22862.400000000001</v>
      </c>
    </row>
    <row r="5" spans="1:17" ht="28.8">
      <c r="A5" s="70">
        <v>2</v>
      </c>
      <c r="B5" s="71" t="s">
        <v>97</v>
      </c>
      <c r="C5" s="76">
        <v>0</v>
      </c>
      <c r="D5" s="70">
        <v>57</v>
      </c>
      <c r="E5" s="70">
        <v>57</v>
      </c>
      <c r="F5" s="77">
        <v>598.79999999999995</v>
      </c>
      <c r="G5" s="78">
        <f t="shared" si="0"/>
        <v>34131.599999999999</v>
      </c>
      <c r="H5" s="76">
        <v>0</v>
      </c>
      <c r="I5" s="70">
        <v>57</v>
      </c>
      <c r="J5" s="79">
        <v>57</v>
      </c>
      <c r="K5" s="77">
        <v>598.79999999999995</v>
      </c>
      <c r="L5" s="80">
        <f t="shared" si="1"/>
        <v>34131.599999999999</v>
      </c>
      <c r="M5" s="76">
        <v>0</v>
      </c>
      <c r="N5" s="70">
        <v>57</v>
      </c>
      <c r="O5" s="70">
        <v>57</v>
      </c>
      <c r="P5" s="77">
        <v>598.79999999999995</v>
      </c>
      <c r="Q5" s="78">
        <f t="shared" si="2"/>
        <v>34131.599999999999</v>
      </c>
    </row>
    <row r="6" spans="1:17" ht="43.2">
      <c r="A6" s="70">
        <v>3</v>
      </c>
      <c r="B6" s="71" t="s">
        <v>98</v>
      </c>
      <c r="C6" s="76">
        <v>4</v>
      </c>
      <c r="D6" s="70">
        <v>10</v>
      </c>
      <c r="E6" s="70">
        <v>14</v>
      </c>
      <c r="F6" s="77">
        <v>5800</v>
      </c>
      <c r="G6" s="78">
        <f t="shared" si="0"/>
        <v>81200</v>
      </c>
      <c r="H6" s="76">
        <v>4</v>
      </c>
      <c r="I6" s="70">
        <v>10</v>
      </c>
      <c r="J6" s="79">
        <v>14</v>
      </c>
      <c r="K6" s="77">
        <v>5800</v>
      </c>
      <c r="L6" s="80">
        <f t="shared" si="1"/>
        <v>81200</v>
      </c>
      <c r="M6" s="76">
        <v>4</v>
      </c>
      <c r="N6" s="70">
        <v>10</v>
      </c>
      <c r="O6" s="70">
        <v>14</v>
      </c>
      <c r="P6" s="77">
        <v>5800</v>
      </c>
      <c r="Q6" s="78">
        <f t="shared" si="2"/>
        <v>81200</v>
      </c>
    </row>
    <row r="7" spans="1:17">
      <c r="A7" s="70">
        <v>4</v>
      </c>
      <c r="B7" s="71" t="s">
        <v>99</v>
      </c>
      <c r="C7" s="76">
        <v>2</v>
      </c>
      <c r="D7" s="70">
        <v>5</v>
      </c>
      <c r="E7" s="70">
        <v>7</v>
      </c>
      <c r="F7" s="77">
        <v>1800</v>
      </c>
      <c r="G7" s="78">
        <f t="shared" si="0"/>
        <v>12600</v>
      </c>
      <c r="H7" s="76">
        <v>2</v>
      </c>
      <c r="I7" s="70">
        <v>5</v>
      </c>
      <c r="J7" s="79">
        <v>7</v>
      </c>
      <c r="K7" s="77">
        <v>1800</v>
      </c>
      <c r="L7" s="80">
        <f t="shared" si="1"/>
        <v>12600</v>
      </c>
      <c r="M7" s="76">
        <v>2</v>
      </c>
      <c r="N7" s="70">
        <v>5</v>
      </c>
      <c r="O7" s="70">
        <v>7</v>
      </c>
      <c r="P7" s="77">
        <v>1800</v>
      </c>
      <c r="Q7" s="78">
        <f t="shared" si="2"/>
        <v>12600</v>
      </c>
    </row>
    <row r="8" spans="1:17">
      <c r="A8" s="70">
        <v>5</v>
      </c>
      <c r="B8" s="71" t="s">
        <v>100</v>
      </c>
      <c r="C8" s="76">
        <v>1</v>
      </c>
      <c r="D8" s="70">
        <v>1</v>
      </c>
      <c r="E8" s="70">
        <v>2</v>
      </c>
      <c r="F8" s="77">
        <v>198</v>
      </c>
      <c r="G8" s="78">
        <f t="shared" si="0"/>
        <v>396</v>
      </c>
      <c r="H8" s="76">
        <v>1</v>
      </c>
      <c r="I8" s="70">
        <v>1</v>
      </c>
      <c r="J8" s="79">
        <v>2</v>
      </c>
      <c r="K8" s="77">
        <v>198</v>
      </c>
      <c r="L8" s="80">
        <f t="shared" si="1"/>
        <v>396</v>
      </c>
      <c r="M8" s="76">
        <v>1</v>
      </c>
      <c r="N8" s="70">
        <v>1</v>
      </c>
      <c r="O8" s="70">
        <v>2</v>
      </c>
      <c r="P8" s="77">
        <v>198</v>
      </c>
      <c r="Q8" s="78">
        <f t="shared" si="2"/>
        <v>396</v>
      </c>
    </row>
    <row r="9" spans="1:17">
      <c r="A9" s="70">
        <v>6</v>
      </c>
      <c r="B9" s="71" t="s">
        <v>101</v>
      </c>
      <c r="C9" s="76">
        <v>0</v>
      </c>
      <c r="D9" s="70">
        <v>20</v>
      </c>
      <c r="E9" s="70">
        <v>20</v>
      </c>
      <c r="F9" s="77">
        <v>3300</v>
      </c>
      <c r="G9" s="78">
        <f t="shared" si="0"/>
        <v>66000</v>
      </c>
      <c r="H9" s="76">
        <v>0</v>
      </c>
      <c r="I9" s="70">
        <v>20</v>
      </c>
      <c r="J9" s="79">
        <v>20</v>
      </c>
      <c r="K9" s="77">
        <v>3300</v>
      </c>
      <c r="L9" s="80">
        <f t="shared" si="1"/>
        <v>66000</v>
      </c>
      <c r="M9" s="76">
        <v>0</v>
      </c>
      <c r="N9" s="70">
        <v>20</v>
      </c>
      <c r="O9" s="70">
        <v>20</v>
      </c>
      <c r="P9" s="77">
        <v>3300</v>
      </c>
      <c r="Q9" s="78">
        <f t="shared" si="2"/>
        <v>66000</v>
      </c>
    </row>
    <row r="10" spans="1:17" ht="57.6">
      <c r="A10" s="70">
        <v>7</v>
      </c>
      <c r="B10" s="71" t="s">
        <v>102</v>
      </c>
      <c r="C10" s="76">
        <v>2</v>
      </c>
      <c r="D10" s="70">
        <v>7</v>
      </c>
      <c r="E10" s="70">
        <v>9</v>
      </c>
      <c r="F10" s="77">
        <v>497.87999999999994</v>
      </c>
      <c r="G10" s="78">
        <f t="shared" si="0"/>
        <v>4480.9199999999992</v>
      </c>
      <c r="H10" s="76">
        <v>2</v>
      </c>
      <c r="I10" s="70">
        <v>7</v>
      </c>
      <c r="J10" s="79">
        <v>9</v>
      </c>
      <c r="K10" s="77">
        <v>497.87999999999994</v>
      </c>
      <c r="L10" s="80">
        <f t="shared" si="1"/>
        <v>4480.9199999999992</v>
      </c>
      <c r="M10" s="76">
        <v>2</v>
      </c>
      <c r="N10" s="70">
        <v>7</v>
      </c>
      <c r="O10" s="70">
        <v>9</v>
      </c>
      <c r="P10" s="77">
        <v>497.87999999999994</v>
      </c>
      <c r="Q10" s="78">
        <f t="shared" si="2"/>
        <v>4480.9199999999992</v>
      </c>
    </row>
    <row r="11" spans="1:17">
      <c r="A11" s="70">
        <v>8</v>
      </c>
      <c r="B11" s="71" t="s">
        <v>103</v>
      </c>
      <c r="C11" s="76">
        <v>3</v>
      </c>
      <c r="D11" s="70">
        <v>10</v>
      </c>
      <c r="E11" s="70">
        <v>13</v>
      </c>
      <c r="F11" s="77">
        <v>63.072000000000003</v>
      </c>
      <c r="G11" s="78">
        <f t="shared" si="0"/>
        <v>819.93600000000004</v>
      </c>
      <c r="H11" s="76">
        <v>3</v>
      </c>
      <c r="I11" s="70">
        <v>10</v>
      </c>
      <c r="J11" s="79">
        <v>13</v>
      </c>
      <c r="K11" s="77">
        <v>63.072000000000003</v>
      </c>
      <c r="L11" s="80">
        <f t="shared" si="1"/>
        <v>819.93600000000004</v>
      </c>
      <c r="M11" s="76">
        <v>3</v>
      </c>
      <c r="N11" s="70">
        <v>10</v>
      </c>
      <c r="O11" s="70">
        <v>13</v>
      </c>
      <c r="P11" s="77">
        <v>63.072000000000003</v>
      </c>
      <c r="Q11" s="78">
        <f t="shared" si="2"/>
        <v>819.93600000000004</v>
      </c>
    </row>
    <row r="12" spans="1:17">
      <c r="A12" s="70">
        <v>9</v>
      </c>
      <c r="B12" s="71" t="s">
        <v>104</v>
      </c>
      <c r="C12" s="76">
        <v>3</v>
      </c>
      <c r="D12" s="70">
        <v>10</v>
      </c>
      <c r="E12" s="70">
        <v>13</v>
      </c>
      <c r="F12" s="77">
        <v>59.879999999999995</v>
      </c>
      <c r="G12" s="78">
        <f t="shared" si="0"/>
        <v>778.43999999999994</v>
      </c>
      <c r="H12" s="76">
        <v>3</v>
      </c>
      <c r="I12" s="70">
        <v>10</v>
      </c>
      <c r="J12" s="79">
        <v>13</v>
      </c>
      <c r="K12" s="77">
        <v>59.879999999999995</v>
      </c>
      <c r="L12" s="80">
        <f t="shared" si="1"/>
        <v>778.43999999999994</v>
      </c>
      <c r="M12" s="76">
        <v>3</v>
      </c>
      <c r="N12" s="70">
        <v>10</v>
      </c>
      <c r="O12" s="70">
        <v>13</v>
      </c>
      <c r="P12" s="77">
        <v>59.879999999999995</v>
      </c>
      <c r="Q12" s="78">
        <f t="shared" si="2"/>
        <v>778.43999999999994</v>
      </c>
    </row>
    <row r="13" spans="1:17">
      <c r="A13" s="70">
        <v>10</v>
      </c>
      <c r="B13" s="71" t="s">
        <v>105</v>
      </c>
      <c r="C13" s="76">
        <v>1</v>
      </c>
      <c r="D13" s="70">
        <v>1</v>
      </c>
      <c r="E13" s="70">
        <v>2</v>
      </c>
      <c r="F13" s="77">
        <v>660</v>
      </c>
      <c r="G13" s="78">
        <f t="shared" si="0"/>
        <v>1320</v>
      </c>
      <c r="H13" s="76">
        <v>1</v>
      </c>
      <c r="I13" s="70">
        <v>1</v>
      </c>
      <c r="J13" s="79">
        <v>2</v>
      </c>
      <c r="K13" s="77">
        <v>660</v>
      </c>
      <c r="L13" s="80">
        <f t="shared" si="1"/>
        <v>1320</v>
      </c>
      <c r="M13" s="76">
        <v>1</v>
      </c>
      <c r="N13" s="70">
        <v>1</v>
      </c>
      <c r="O13" s="70">
        <v>2</v>
      </c>
      <c r="P13" s="77">
        <v>660</v>
      </c>
      <c r="Q13" s="78">
        <f t="shared" si="2"/>
        <v>1320</v>
      </c>
    </row>
    <row r="14" spans="1:17" ht="43.2">
      <c r="A14" s="70">
        <v>11</v>
      </c>
      <c r="B14" s="71" t="s">
        <v>106</v>
      </c>
      <c r="C14" s="76">
        <v>2</v>
      </c>
      <c r="D14" s="70">
        <v>0</v>
      </c>
      <c r="E14" s="70">
        <v>2</v>
      </c>
      <c r="F14" s="77">
        <v>2286.3599999999997</v>
      </c>
      <c r="G14" s="78">
        <f t="shared" si="0"/>
        <v>4572.7199999999993</v>
      </c>
      <c r="H14" s="76">
        <v>2</v>
      </c>
      <c r="I14" s="70">
        <v>0</v>
      </c>
      <c r="J14" s="79">
        <v>2</v>
      </c>
      <c r="K14" s="77">
        <v>2286.3599999999997</v>
      </c>
      <c r="L14" s="80">
        <f t="shared" si="1"/>
        <v>4572.7199999999993</v>
      </c>
      <c r="M14" s="76">
        <v>2</v>
      </c>
      <c r="N14" s="70">
        <v>0</v>
      </c>
      <c r="O14" s="70">
        <v>2</v>
      </c>
      <c r="P14" s="77">
        <v>2286.3599999999997</v>
      </c>
      <c r="Q14" s="78">
        <f t="shared" si="2"/>
        <v>4572.7199999999993</v>
      </c>
    </row>
    <row r="15" spans="1:17" ht="28.8">
      <c r="A15" s="70">
        <v>12</v>
      </c>
      <c r="B15" s="71" t="s">
        <v>107</v>
      </c>
      <c r="C15" s="76">
        <v>2</v>
      </c>
      <c r="D15" s="70">
        <v>0</v>
      </c>
      <c r="E15" s="70">
        <v>2</v>
      </c>
      <c r="F15" s="77">
        <v>129.6</v>
      </c>
      <c r="G15" s="78">
        <f t="shared" si="0"/>
        <v>259.2</v>
      </c>
      <c r="H15" s="76">
        <v>2</v>
      </c>
      <c r="I15" s="70">
        <v>0</v>
      </c>
      <c r="J15" s="79">
        <v>2</v>
      </c>
      <c r="K15" s="77">
        <v>129.6</v>
      </c>
      <c r="L15" s="80">
        <f t="shared" si="1"/>
        <v>259.2</v>
      </c>
      <c r="M15" s="76">
        <v>2</v>
      </c>
      <c r="N15" s="70">
        <v>0</v>
      </c>
      <c r="O15" s="70">
        <v>2</v>
      </c>
      <c r="P15" s="77">
        <v>129.6</v>
      </c>
      <c r="Q15" s="78">
        <f t="shared" si="2"/>
        <v>259.2</v>
      </c>
    </row>
    <row r="16" spans="1:17">
      <c r="A16" s="70">
        <v>13</v>
      </c>
      <c r="B16" s="71" t="s">
        <v>108</v>
      </c>
      <c r="C16" s="76"/>
      <c r="D16" s="70">
        <v>8</v>
      </c>
      <c r="E16" s="70">
        <v>8</v>
      </c>
      <c r="F16" s="77">
        <v>80.423999999999992</v>
      </c>
      <c r="G16" s="78">
        <f t="shared" si="0"/>
        <v>643.39199999999994</v>
      </c>
      <c r="H16" s="76"/>
      <c r="I16" s="70">
        <v>8</v>
      </c>
      <c r="J16" s="79">
        <v>8</v>
      </c>
      <c r="K16" s="77">
        <v>80.423999999999992</v>
      </c>
      <c r="L16" s="80">
        <f t="shared" si="1"/>
        <v>643.39199999999994</v>
      </c>
      <c r="M16" s="76"/>
      <c r="N16" s="70">
        <v>8</v>
      </c>
      <c r="O16" s="70">
        <v>8</v>
      </c>
      <c r="P16" s="77">
        <v>80.423999999999992</v>
      </c>
      <c r="Q16" s="78">
        <f t="shared" si="2"/>
        <v>643.39199999999994</v>
      </c>
    </row>
    <row r="17" spans="1:17">
      <c r="A17" s="70">
        <v>14</v>
      </c>
      <c r="B17" s="71" t="s">
        <v>109</v>
      </c>
      <c r="C17" s="76">
        <v>3</v>
      </c>
      <c r="D17" s="70">
        <v>4</v>
      </c>
      <c r="E17" s="70">
        <v>7</v>
      </c>
      <c r="F17" s="77">
        <v>96</v>
      </c>
      <c r="G17" s="78">
        <f t="shared" si="0"/>
        <v>672</v>
      </c>
      <c r="H17" s="76">
        <v>3</v>
      </c>
      <c r="I17" s="70">
        <v>4</v>
      </c>
      <c r="J17" s="79">
        <v>7</v>
      </c>
      <c r="K17" s="77">
        <v>96</v>
      </c>
      <c r="L17" s="80">
        <f t="shared" si="1"/>
        <v>672</v>
      </c>
      <c r="M17" s="76">
        <v>3</v>
      </c>
      <c r="N17" s="70">
        <v>4</v>
      </c>
      <c r="O17" s="70">
        <v>7</v>
      </c>
      <c r="P17" s="77">
        <v>96</v>
      </c>
      <c r="Q17" s="78">
        <f t="shared" si="2"/>
        <v>672</v>
      </c>
    </row>
    <row r="18" spans="1:17">
      <c r="A18" s="70">
        <v>15</v>
      </c>
      <c r="B18" s="71" t="s">
        <v>110</v>
      </c>
      <c r="C18" s="76">
        <v>20</v>
      </c>
      <c r="D18" s="70">
        <v>20</v>
      </c>
      <c r="E18" s="70">
        <v>40</v>
      </c>
      <c r="F18" s="77">
        <v>201.6</v>
      </c>
      <c r="G18" s="78">
        <f t="shared" si="0"/>
        <v>8064</v>
      </c>
      <c r="H18" s="76">
        <v>20</v>
      </c>
      <c r="I18" s="70">
        <v>20</v>
      </c>
      <c r="J18" s="79">
        <v>40</v>
      </c>
      <c r="K18" s="77">
        <v>201.6</v>
      </c>
      <c r="L18" s="80">
        <f t="shared" si="1"/>
        <v>8064</v>
      </c>
      <c r="M18" s="76">
        <v>20</v>
      </c>
      <c r="N18" s="70">
        <v>20</v>
      </c>
      <c r="O18" s="70">
        <v>40</v>
      </c>
      <c r="P18" s="77">
        <v>201.6</v>
      </c>
      <c r="Q18" s="78">
        <f t="shared" si="2"/>
        <v>8064</v>
      </c>
    </row>
    <row r="19" spans="1:17">
      <c r="A19" s="70">
        <v>16</v>
      </c>
      <c r="B19" s="71" t="s">
        <v>111</v>
      </c>
      <c r="C19" s="76">
        <v>50</v>
      </c>
      <c r="D19" s="70">
        <v>50</v>
      </c>
      <c r="E19" s="70">
        <v>100</v>
      </c>
      <c r="F19" s="77">
        <v>186</v>
      </c>
      <c r="G19" s="78">
        <f t="shared" si="0"/>
        <v>18600</v>
      </c>
      <c r="H19" s="76">
        <v>50</v>
      </c>
      <c r="I19" s="70">
        <v>50</v>
      </c>
      <c r="J19" s="79">
        <v>100</v>
      </c>
      <c r="K19" s="77">
        <v>186</v>
      </c>
      <c r="L19" s="80">
        <f t="shared" si="1"/>
        <v>18600</v>
      </c>
      <c r="M19" s="76">
        <v>50</v>
      </c>
      <c r="N19" s="70">
        <v>50</v>
      </c>
      <c r="O19" s="70">
        <v>100</v>
      </c>
      <c r="P19" s="77">
        <v>186</v>
      </c>
      <c r="Q19" s="78">
        <f t="shared" si="2"/>
        <v>18600</v>
      </c>
    </row>
    <row r="20" spans="1:17">
      <c r="A20" s="70">
        <v>17</v>
      </c>
      <c r="B20" s="71" t="s">
        <v>112</v>
      </c>
      <c r="C20" s="76">
        <v>50</v>
      </c>
      <c r="D20" s="70">
        <v>50</v>
      </c>
      <c r="E20" s="70">
        <v>100</v>
      </c>
      <c r="F20" s="77">
        <v>187.2</v>
      </c>
      <c r="G20" s="78">
        <f t="shared" si="0"/>
        <v>18720</v>
      </c>
      <c r="H20" s="76">
        <v>50</v>
      </c>
      <c r="I20" s="70">
        <v>50</v>
      </c>
      <c r="J20" s="79">
        <v>100</v>
      </c>
      <c r="K20" s="77">
        <v>187.2</v>
      </c>
      <c r="L20" s="80">
        <f t="shared" si="1"/>
        <v>18720</v>
      </c>
      <c r="M20" s="76">
        <v>50</v>
      </c>
      <c r="N20" s="70">
        <v>50</v>
      </c>
      <c r="O20" s="70">
        <v>100</v>
      </c>
      <c r="P20" s="77">
        <v>187.2</v>
      </c>
      <c r="Q20" s="78">
        <f t="shared" si="2"/>
        <v>18720</v>
      </c>
    </row>
    <row r="21" spans="1:17">
      <c r="A21" s="70">
        <v>18</v>
      </c>
      <c r="B21" s="71" t="s">
        <v>113</v>
      </c>
      <c r="C21" s="76">
        <v>25</v>
      </c>
      <c r="D21" s="70">
        <v>25</v>
      </c>
      <c r="E21" s="70">
        <v>50</v>
      </c>
      <c r="F21" s="77">
        <v>204</v>
      </c>
      <c r="G21" s="78">
        <f t="shared" si="0"/>
        <v>10200</v>
      </c>
      <c r="H21" s="76">
        <v>25</v>
      </c>
      <c r="I21" s="70">
        <v>25</v>
      </c>
      <c r="J21" s="79">
        <v>50</v>
      </c>
      <c r="K21" s="77">
        <v>204</v>
      </c>
      <c r="L21" s="80">
        <f t="shared" si="1"/>
        <v>10200</v>
      </c>
      <c r="M21" s="76">
        <v>25</v>
      </c>
      <c r="N21" s="70">
        <v>25</v>
      </c>
      <c r="O21" s="70">
        <v>50</v>
      </c>
      <c r="P21" s="77">
        <v>204</v>
      </c>
      <c r="Q21" s="78">
        <f t="shared" si="2"/>
        <v>10200</v>
      </c>
    </row>
    <row r="22" spans="1:17">
      <c r="A22" s="70">
        <v>19</v>
      </c>
      <c r="B22" s="71" t="s">
        <v>114</v>
      </c>
      <c r="C22" s="76">
        <v>70</v>
      </c>
      <c r="D22" s="70">
        <v>70</v>
      </c>
      <c r="E22" s="70">
        <v>140</v>
      </c>
      <c r="F22" s="77">
        <v>195.6</v>
      </c>
      <c r="G22" s="78">
        <f t="shared" si="0"/>
        <v>27384</v>
      </c>
      <c r="H22" s="76">
        <v>70</v>
      </c>
      <c r="I22" s="70">
        <v>70</v>
      </c>
      <c r="J22" s="79">
        <v>140</v>
      </c>
      <c r="K22" s="77">
        <v>195.6</v>
      </c>
      <c r="L22" s="80">
        <f t="shared" si="1"/>
        <v>27384</v>
      </c>
      <c r="M22" s="76">
        <v>70</v>
      </c>
      <c r="N22" s="70">
        <v>70</v>
      </c>
      <c r="O22" s="70">
        <v>140</v>
      </c>
      <c r="P22" s="77">
        <v>195.6</v>
      </c>
      <c r="Q22" s="78">
        <f t="shared" si="2"/>
        <v>27384</v>
      </c>
    </row>
    <row r="23" spans="1:17">
      <c r="A23" s="70">
        <v>20</v>
      </c>
      <c r="B23" s="71" t="s">
        <v>115</v>
      </c>
      <c r="C23" s="76">
        <v>0</v>
      </c>
      <c r="D23" s="70">
        <v>10</v>
      </c>
      <c r="E23" s="70">
        <v>10</v>
      </c>
      <c r="F23" s="77">
        <v>46.440000000000005</v>
      </c>
      <c r="G23" s="78">
        <f t="shared" si="0"/>
        <v>464.40000000000003</v>
      </c>
      <c r="H23" s="76">
        <v>0</v>
      </c>
      <c r="I23" s="70">
        <v>10</v>
      </c>
      <c r="J23" s="79">
        <v>10</v>
      </c>
      <c r="K23" s="77">
        <v>46.440000000000005</v>
      </c>
      <c r="L23" s="80">
        <f t="shared" si="1"/>
        <v>464.40000000000003</v>
      </c>
      <c r="M23" s="76">
        <v>0</v>
      </c>
      <c r="N23" s="70">
        <v>10</v>
      </c>
      <c r="O23" s="70">
        <v>10</v>
      </c>
      <c r="P23" s="77">
        <v>46.440000000000005</v>
      </c>
      <c r="Q23" s="78">
        <f t="shared" si="2"/>
        <v>464.40000000000003</v>
      </c>
    </row>
    <row r="24" spans="1:17">
      <c r="A24" s="70">
        <v>21</v>
      </c>
      <c r="B24" s="71" t="s">
        <v>116</v>
      </c>
      <c r="C24" s="76">
        <v>0</v>
      </c>
      <c r="D24" s="70">
        <v>20</v>
      </c>
      <c r="E24" s="70">
        <v>20</v>
      </c>
      <c r="F24" s="77">
        <v>46.440000000000005</v>
      </c>
      <c r="G24" s="78">
        <f t="shared" si="0"/>
        <v>928.80000000000007</v>
      </c>
      <c r="H24" s="76">
        <v>0</v>
      </c>
      <c r="I24" s="70">
        <v>20</v>
      </c>
      <c r="J24" s="79">
        <v>20</v>
      </c>
      <c r="K24" s="77">
        <v>46.440000000000005</v>
      </c>
      <c r="L24" s="80">
        <f t="shared" si="1"/>
        <v>928.80000000000007</v>
      </c>
      <c r="M24" s="76">
        <v>0</v>
      </c>
      <c r="N24" s="70">
        <v>20</v>
      </c>
      <c r="O24" s="70">
        <v>20</v>
      </c>
      <c r="P24" s="77">
        <v>46.440000000000005</v>
      </c>
      <c r="Q24" s="78">
        <f t="shared" si="2"/>
        <v>928.80000000000007</v>
      </c>
    </row>
    <row r="25" spans="1:17">
      <c r="A25" s="70">
        <v>22</v>
      </c>
      <c r="B25" s="71" t="s">
        <v>117</v>
      </c>
      <c r="C25" s="76">
        <v>0</v>
      </c>
      <c r="D25" s="70">
        <v>20</v>
      </c>
      <c r="E25" s="70">
        <v>20</v>
      </c>
      <c r="F25" s="77">
        <v>46.440000000000005</v>
      </c>
      <c r="G25" s="78">
        <f t="shared" si="0"/>
        <v>928.80000000000007</v>
      </c>
      <c r="H25" s="76">
        <v>0</v>
      </c>
      <c r="I25" s="70">
        <v>20</v>
      </c>
      <c r="J25" s="79">
        <v>20</v>
      </c>
      <c r="K25" s="77">
        <v>46.440000000000005</v>
      </c>
      <c r="L25" s="80">
        <f t="shared" si="1"/>
        <v>928.80000000000007</v>
      </c>
      <c r="M25" s="76">
        <v>0</v>
      </c>
      <c r="N25" s="70">
        <v>20</v>
      </c>
      <c r="O25" s="70">
        <v>20</v>
      </c>
      <c r="P25" s="77">
        <v>46.440000000000005</v>
      </c>
      <c r="Q25" s="78">
        <f t="shared" si="2"/>
        <v>928.80000000000007</v>
      </c>
    </row>
    <row r="26" spans="1:17">
      <c r="A26" s="70">
        <v>23</v>
      </c>
      <c r="B26" s="71" t="s">
        <v>118</v>
      </c>
      <c r="C26" s="76">
        <v>4</v>
      </c>
      <c r="D26" s="70">
        <v>14</v>
      </c>
      <c r="E26" s="70">
        <v>18</v>
      </c>
      <c r="F26" s="77">
        <v>68.040000000000006</v>
      </c>
      <c r="G26" s="78">
        <f t="shared" si="0"/>
        <v>1224.72</v>
      </c>
      <c r="H26" s="76">
        <v>4</v>
      </c>
      <c r="I26" s="70">
        <v>14</v>
      </c>
      <c r="J26" s="79">
        <v>18</v>
      </c>
      <c r="K26" s="77">
        <v>68.040000000000006</v>
      </c>
      <c r="L26" s="80">
        <f t="shared" si="1"/>
        <v>1224.72</v>
      </c>
      <c r="M26" s="76">
        <v>4</v>
      </c>
      <c r="N26" s="70">
        <v>14</v>
      </c>
      <c r="O26" s="70">
        <v>18</v>
      </c>
      <c r="P26" s="77">
        <v>68.040000000000006</v>
      </c>
      <c r="Q26" s="78">
        <f t="shared" si="2"/>
        <v>1224.72</v>
      </c>
    </row>
    <row r="27" spans="1:17" ht="28.8">
      <c r="A27" s="70">
        <v>24</v>
      </c>
      <c r="B27" s="71" t="s">
        <v>119</v>
      </c>
      <c r="C27" s="76">
        <v>1</v>
      </c>
      <c r="D27" s="70">
        <v>4</v>
      </c>
      <c r="E27" s="70">
        <v>5</v>
      </c>
      <c r="F27" s="77">
        <v>140.4</v>
      </c>
      <c r="G27" s="78">
        <f t="shared" si="0"/>
        <v>702</v>
      </c>
      <c r="H27" s="76">
        <v>1</v>
      </c>
      <c r="I27" s="70">
        <v>4</v>
      </c>
      <c r="J27" s="79">
        <v>5</v>
      </c>
      <c r="K27" s="77">
        <v>140.4</v>
      </c>
      <c r="L27" s="80">
        <f t="shared" si="1"/>
        <v>702</v>
      </c>
      <c r="M27" s="76">
        <v>1</v>
      </c>
      <c r="N27" s="70">
        <v>4</v>
      </c>
      <c r="O27" s="70">
        <v>5</v>
      </c>
      <c r="P27" s="77">
        <v>140.4</v>
      </c>
      <c r="Q27" s="78">
        <f t="shared" si="2"/>
        <v>702</v>
      </c>
    </row>
    <row r="28" spans="1:17" ht="28.8">
      <c r="A28" s="70">
        <v>25</v>
      </c>
      <c r="B28" s="71" t="s">
        <v>120</v>
      </c>
      <c r="C28" s="76">
        <v>1</v>
      </c>
      <c r="D28" s="70">
        <v>4</v>
      </c>
      <c r="E28" s="70">
        <v>5</v>
      </c>
      <c r="F28" s="77">
        <v>23.16</v>
      </c>
      <c r="G28" s="78">
        <f t="shared" si="0"/>
        <v>115.8</v>
      </c>
      <c r="H28" s="76">
        <v>1</v>
      </c>
      <c r="I28" s="70">
        <v>4</v>
      </c>
      <c r="J28" s="79">
        <v>5</v>
      </c>
      <c r="K28" s="77">
        <v>23.16</v>
      </c>
      <c r="L28" s="80">
        <f t="shared" si="1"/>
        <v>115.8</v>
      </c>
      <c r="M28" s="76">
        <v>1</v>
      </c>
      <c r="N28" s="70">
        <v>4</v>
      </c>
      <c r="O28" s="70">
        <v>5</v>
      </c>
      <c r="P28" s="77">
        <v>23.16</v>
      </c>
      <c r="Q28" s="78">
        <f t="shared" si="2"/>
        <v>115.8</v>
      </c>
    </row>
    <row r="29" spans="1:17">
      <c r="A29" s="70">
        <v>26</v>
      </c>
      <c r="B29" s="71" t="s">
        <v>121</v>
      </c>
      <c r="C29" s="76">
        <v>2</v>
      </c>
      <c r="D29" s="70">
        <v>2</v>
      </c>
      <c r="E29" s="70">
        <v>7</v>
      </c>
      <c r="F29" s="77">
        <v>86.88000000000001</v>
      </c>
      <c r="G29" s="78">
        <f t="shared" si="0"/>
        <v>608.16000000000008</v>
      </c>
      <c r="H29" s="76">
        <v>2</v>
      </c>
      <c r="I29" s="70">
        <v>2</v>
      </c>
      <c r="J29" s="79">
        <v>7</v>
      </c>
      <c r="K29" s="77">
        <v>86.88000000000001</v>
      </c>
      <c r="L29" s="80">
        <f t="shared" si="1"/>
        <v>608.16000000000008</v>
      </c>
      <c r="M29" s="76">
        <v>2</v>
      </c>
      <c r="N29" s="70">
        <v>2</v>
      </c>
      <c r="O29" s="70">
        <v>7</v>
      </c>
      <c r="P29" s="77">
        <v>86.88000000000001</v>
      </c>
      <c r="Q29" s="78">
        <f t="shared" si="2"/>
        <v>608.16000000000008</v>
      </c>
    </row>
    <row r="30" spans="1:17">
      <c r="A30" s="70">
        <v>27</v>
      </c>
      <c r="B30" s="71" t="s">
        <v>122</v>
      </c>
      <c r="C30" s="76">
        <v>1</v>
      </c>
      <c r="D30" s="70">
        <v>2</v>
      </c>
      <c r="E30" s="70">
        <v>3</v>
      </c>
      <c r="F30" s="77">
        <v>59.04</v>
      </c>
      <c r="G30" s="78">
        <f t="shared" si="0"/>
        <v>177.12</v>
      </c>
      <c r="H30" s="76">
        <v>1</v>
      </c>
      <c r="I30" s="70">
        <v>2</v>
      </c>
      <c r="J30" s="79">
        <v>3</v>
      </c>
      <c r="K30" s="77">
        <v>59.04</v>
      </c>
      <c r="L30" s="80">
        <f t="shared" si="1"/>
        <v>177.12</v>
      </c>
      <c r="M30" s="76">
        <v>1</v>
      </c>
      <c r="N30" s="70">
        <v>2</v>
      </c>
      <c r="O30" s="70">
        <v>3</v>
      </c>
      <c r="P30" s="77">
        <v>59.04</v>
      </c>
      <c r="Q30" s="78">
        <f t="shared" si="2"/>
        <v>177.12</v>
      </c>
    </row>
    <row r="31" spans="1:17">
      <c r="A31" s="70">
        <v>28</v>
      </c>
      <c r="B31" s="71" t="s">
        <v>123</v>
      </c>
      <c r="C31" s="76">
        <v>3</v>
      </c>
      <c r="D31" s="70">
        <v>3</v>
      </c>
      <c r="E31" s="70">
        <v>6</v>
      </c>
      <c r="F31" s="77">
        <v>84</v>
      </c>
      <c r="G31" s="78">
        <f t="shared" si="0"/>
        <v>504</v>
      </c>
      <c r="H31" s="76">
        <v>3</v>
      </c>
      <c r="I31" s="70">
        <v>3</v>
      </c>
      <c r="J31" s="79">
        <v>6</v>
      </c>
      <c r="K31" s="77">
        <v>84</v>
      </c>
      <c r="L31" s="80">
        <f t="shared" si="1"/>
        <v>504</v>
      </c>
      <c r="M31" s="76">
        <v>3</v>
      </c>
      <c r="N31" s="70">
        <v>3</v>
      </c>
      <c r="O31" s="70">
        <v>6</v>
      </c>
      <c r="P31" s="77">
        <v>84</v>
      </c>
      <c r="Q31" s="78">
        <f t="shared" si="2"/>
        <v>504</v>
      </c>
    </row>
    <row r="32" spans="1:17">
      <c r="A32" s="81">
        <v>29</v>
      </c>
      <c r="B32" s="82" t="s">
        <v>124</v>
      </c>
      <c r="C32" s="83">
        <v>15</v>
      </c>
      <c r="D32" s="81">
        <v>35</v>
      </c>
      <c r="E32" s="81">
        <v>50</v>
      </c>
      <c r="F32" s="84">
        <v>66</v>
      </c>
      <c r="G32" s="85">
        <f t="shared" si="0"/>
        <v>3300</v>
      </c>
      <c r="H32" s="83">
        <v>15</v>
      </c>
      <c r="I32" s="81">
        <v>35</v>
      </c>
      <c r="J32" s="81">
        <v>50</v>
      </c>
      <c r="K32" s="84">
        <v>66</v>
      </c>
      <c r="L32" s="85">
        <f t="shared" si="1"/>
        <v>3300</v>
      </c>
      <c r="M32" s="83">
        <v>15</v>
      </c>
      <c r="N32" s="81">
        <v>35</v>
      </c>
      <c r="O32" s="81">
        <v>50</v>
      </c>
      <c r="P32" s="84">
        <v>66</v>
      </c>
      <c r="Q32" s="85">
        <f t="shared" si="2"/>
        <v>3300</v>
      </c>
    </row>
    <row r="33" spans="1:18" ht="43.2" customHeight="1">
      <c r="A33" s="86"/>
      <c r="B33" s="87" t="s">
        <v>125</v>
      </c>
      <c r="C33" s="86"/>
      <c r="D33" s="86"/>
      <c r="E33" s="86"/>
      <c r="F33" s="86"/>
      <c r="G33" s="88">
        <f>SUM(G4:G32)</f>
        <v>322658.40799999994</v>
      </c>
      <c r="H33" s="89"/>
      <c r="I33" s="89"/>
      <c r="J33" s="89"/>
      <c r="K33" s="89"/>
      <c r="L33" s="90">
        <f>SUM(L4:L32)</f>
        <v>322658.40799999994</v>
      </c>
      <c r="M33" s="89"/>
      <c r="N33" s="89"/>
      <c r="O33" s="89"/>
      <c r="P33" s="89"/>
      <c r="Q33" s="90">
        <f>SUM(Q4:Q32)</f>
        <v>322658.40799999994</v>
      </c>
      <c r="R33" s="91">
        <f>SUM(G33:Q33)</f>
        <v>967975.22399999981</v>
      </c>
    </row>
    <row r="34" spans="1:18" ht="43.2" customHeight="1">
      <c r="A34" s="61"/>
      <c r="B34" s="92"/>
    </row>
    <row r="35" spans="1:18">
      <c r="A35" s="61"/>
      <c r="B35" s="92"/>
      <c r="R35" s="91"/>
    </row>
  </sheetData>
  <mergeCells count="3">
    <mergeCell ref="C2:G2"/>
    <mergeCell ref="H2:L2"/>
    <mergeCell ref="M2:Q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Y49"/>
  <sheetViews>
    <sheetView topLeftCell="A11" zoomScale="40" zoomScaleNormal="40" workbookViewId="0">
      <selection activeCell="R44" sqref="R44"/>
    </sheetView>
  </sheetViews>
  <sheetFormatPr defaultColWidth="9.109375" defaultRowHeight="14.4"/>
  <cols>
    <col min="1" max="1" width="39.5546875" style="229" customWidth="1"/>
    <col min="2" max="2" width="9.5546875" style="229" bestFit="1" customWidth="1"/>
    <col min="3" max="3" width="12.33203125" style="229" customWidth="1"/>
    <col min="4" max="4" width="10.44140625" style="229" customWidth="1"/>
    <col min="5" max="5" width="10.5546875" style="229" bestFit="1" customWidth="1"/>
    <col min="6" max="6" width="12.44140625" style="229" customWidth="1"/>
    <col min="7" max="7" width="27.88671875" style="229" customWidth="1"/>
    <col min="8" max="8" width="10.88671875" style="229" customWidth="1"/>
    <col min="9" max="9" width="13.33203125" style="229" customWidth="1"/>
    <col min="10" max="10" width="12.6640625" style="229" customWidth="1"/>
    <col min="11" max="11" width="11.44140625" style="229" customWidth="1"/>
    <col min="12" max="12" width="12.88671875" style="229" customWidth="1"/>
    <col min="13" max="13" width="33.44140625" style="229" customWidth="1"/>
    <col min="14" max="14" width="9.109375" style="229"/>
    <col min="15" max="17" width="12.109375" style="229" customWidth="1"/>
    <col min="18" max="20" width="11.88671875" style="229" customWidth="1"/>
    <col min="21" max="21" width="28.5546875" style="229" customWidth="1"/>
    <col min="22" max="22" width="9.109375" style="229"/>
    <col min="23" max="23" width="13.44140625" style="229" customWidth="1"/>
    <col min="24" max="24" width="10.6640625" style="229" customWidth="1"/>
    <col min="25" max="25" width="13.44140625" style="229" customWidth="1"/>
    <col min="26" max="16384" width="9.109375" style="229"/>
  </cols>
  <sheetData>
    <row r="1" spans="1:25" ht="31.2">
      <c r="A1" s="228" t="s">
        <v>253</v>
      </c>
      <c r="B1" s="326" t="s">
        <v>254</v>
      </c>
      <c r="C1" s="326"/>
      <c r="D1" s="327" t="s">
        <v>255</v>
      </c>
      <c r="E1" s="328"/>
      <c r="G1" s="228" t="s">
        <v>256</v>
      </c>
      <c r="H1" s="326" t="s">
        <v>257</v>
      </c>
      <c r="I1" s="326"/>
      <c r="J1" s="326" t="s">
        <v>258</v>
      </c>
      <c r="K1" s="326"/>
      <c r="M1" s="228" t="s">
        <v>256</v>
      </c>
      <c r="N1" s="326" t="s">
        <v>259</v>
      </c>
      <c r="O1" s="326"/>
      <c r="P1" s="326" t="s">
        <v>260</v>
      </c>
      <c r="Q1" s="326"/>
      <c r="U1" s="228" t="s">
        <v>256</v>
      </c>
      <c r="V1" s="326" t="s">
        <v>261</v>
      </c>
      <c r="W1" s="326"/>
      <c r="X1" s="326" t="s">
        <v>262</v>
      </c>
      <c r="Y1" s="326"/>
    </row>
    <row r="2" spans="1:25" ht="70.5" customHeight="1">
      <c r="A2" s="230" t="s">
        <v>263</v>
      </c>
      <c r="B2" s="230" t="s">
        <v>264</v>
      </c>
      <c r="C2" s="230" t="s">
        <v>265</v>
      </c>
      <c r="D2" s="228"/>
      <c r="E2" s="228"/>
      <c r="F2" s="231"/>
      <c r="G2" s="230" t="s">
        <v>266</v>
      </c>
      <c r="H2" s="230" t="s">
        <v>267</v>
      </c>
      <c r="I2" s="230" t="s">
        <v>268</v>
      </c>
      <c r="J2" s="230"/>
      <c r="K2" s="230"/>
      <c r="M2" s="230" t="s">
        <v>266</v>
      </c>
      <c r="N2" s="230" t="s">
        <v>267</v>
      </c>
      <c r="O2" s="230" t="s">
        <v>268</v>
      </c>
      <c r="P2" s="230"/>
      <c r="Q2" s="230"/>
      <c r="U2" s="230" t="s">
        <v>266</v>
      </c>
      <c r="V2" s="230" t="s">
        <v>267</v>
      </c>
      <c r="W2" s="230" t="s">
        <v>268</v>
      </c>
      <c r="X2" s="230"/>
      <c r="Y2" s="230"/>
    </row>
    <row r="3" spans="1:25" ht="22.5" customHeight="1">
      <c r="A3" s="232" t="s">
        <v>269</v>
      </c>
      <c r="B3" s="233">
        <v>2940</v>
      </c>
      <c r="C3" s="234">
        <v>1250.97</v>
      </c>
      <c r="D3" s="234"/>
      <c r="E3" s="234"/>
      <c r="F3" s="235">
        <f>B3/60</f>
        <v>49</v>
      </c>
      <c r="G3" s="232" t="s">
        <v>269</v>
      </c>
      <c r="H3" s="236">
        <v>4380</v>
      </c>
      <c r="I3" s="236">
        <v>1863.6899999999998</v>
      </c>
      <c r="J3" s="236"/>
      <c r="K3" s="236"/>
      <c r="L3" s="235">
        <f>H3/60</f>
        <v>73</v>
      </c>
      <c r="M3" s="232" t="s">
        <v>269</v>
      </c>
      <c r="N3" s="237">
        <v>4440</v>
      </c>
      <c r="O3" s="238">
        <v>1889.2200000000003</v>
      </c>
      <c r="P3" s="238"/>
      <c r="Q3" s="238"/>
      <c r="R3" s="235">
        <f>N3/60</f>
        <v>74</v>
      </c>
      <c r="S3" s="235">
        <f>R3+L3+F3</f>
        <v>196</v>
      </c>
      <c r="T3" s="235">
        <f>O3/R3</f>
        <v>25.530000000000005</v>
      </c>
      <c r="U3" s="232" t="s">
        <v>269</v>
      </c>
      <c r="V3" s="237">
        <v>3240</v>
      </c>
      <c r="W3" s="238">
        <v>1378.62</v>
      </c>
      <c r="X3" s="239"/>
      <c r="Y3" s="239"/>
    </row>
    <row r="4" spans="1:25" ht="22.5" customHeight="1">
      <c r="A4" s="232" t="s">
        <v>270</v>
      </c>
      <c r="B4" s="233"/>
      <c r="C4" s="234"/>
      <c r="D4" s="234"/>
      <c r="E4" s="234"/>
      <c r="F4" s="235">
        <f>B4/188</f>
        <v>0</v>
      </c>
      <c r="G4" s="232" t="s">
        <v>271</v>
      </c>
      <c r="H4" s="236">
        <v>329752</v>
      </c>
      <c r="I4" s="236">
        <v>596360</v>
      </c>
      <c r="J4" s="236"/>
      <c r="K4" s="236"/>
      <c r="L4" s="235">
        <f>H4/188</f>
        <v>1754</v>
      </c>
      <c r="M4" s="232" t="s">
        <v>271</v>
      </c>
      <c r="N4" s="237">
        <v>342160</v>
      </c>
      <c r="O4" s="238">
        <v>618800</v>
      </c>
      <c r="P4" s="238"/>
      <c r="Q4" s="238"/>
      <c r="R4" s="235">
        <f>N4/188</f>
        <v>1820</v>
      </c>
      <c r="S4" s="235">
        <f t="shared" ref="S4:S25" si="0">R4+L4+F4</f>
        <v>3574</v>
      </c>
      <c r="T4" s="235">
        <f t="shared" ref="T4:T7" si="1">O4/R4</f>
        <v>340</v>
      </c>
      <c r="U4" s="232" t="s">
        <v>271</v>
      </c>
      <c r="V4" s="237">
        <v>352124</v>
      </c>
      <c r="W4" s="238">
        <v>636820</v>
      </c>
      <c r="X4" s="239"/>
      <c r="Y4" s="239"/>
    </row>
    <row r="5" spans="1:25" ht="22.5" customHeight="1">
      <c r="A5" s="232" t="s">
        <v>272</v>
      </c>
      <c r="B5" s="236"/>
      <c r="C5" s="236"/>
      <c r="D5" s="236"/>
      <c r="E5" s="236"/>
      <c r="F5" s="235">
        <f>B5/100</f>
        <v>0</v>
      </c>
      <c r="G5" s="232" t="s">
        <v>273</v>
      </c>
      <c r="H5" s="236">
        <v>1900</v>
      </c>
      <c r="I5" s="236">
        <v>679.82</v>
      </c>
      <c r="J5" s="236"/>
      <c r="K5" s="236"/>
      <c r="L5" s="235">
        <f>H5/100</f>
        <v>19</v>
      </c>
      <c r="M5" s="232" t="s">
        <v>273</v>
      </c>
      <c r="N5" s="237">
        <v>4700</v>
      </c>
      <c r="O5" s="238">
        <v>1681.6599999999999</v>
      </c>
      <c r="P5" s="238"/>
      <c r="Q5" s="238"/>
      <c r="R5" s="235">
        <f>N5/100</f>
        <v>47</v>
      </c>
      <c r="S5" s="235">
        <f t="shared" si="0"/>
        <v>66</v>
      </c>
      <c r="T5" s="235">
        <f t="shared" si="1"/>
        <v>35.779999999999994</v>
      </c>
      <c r="U5" s="232" t="s">
        <v>273</v>
      </c>
      <c r="V5" s="237">
        <v>3500</v>
      </c>
      <c r="W5" s="238">
        <v>1252.3000000000002</v>
      </c>
      <c r="X5" s="239"/>
      <c r="Y5" s="239"/>
    </row>
    <row r="6" spans="1:25" ht="22.5" customHeight="1">
      <c r="A6" s="232" t="s">
        <v>274</v>
      </c>
      <c r="B6" s="233"/>
      <c r="C6" s="234"/>
      <c r="D6" s="234">
        <v>113800</v>
      </c>
      <c r="E6" s="234">
        <v>91950</v>
      </c>
      <c r="F6" s="235">
        <f>B6/100</f>
        <v>0</v>
      </c>
      <c r="G6" s="232" t="s">
        <v>275</v>
      </c>
      <c r="H6" s="236">
        <v>327700</v>
      </c>
      <c r="I6" s="236">
        <v>264781.59999999998</v>
      </c>
      <c r="J6" s="236"/>
      <c r="K6" s="236"/>
      <c r="L6" s="235">
        <f>H6/100</f>
        <v>3277</v>
      </c>
      <c r="M6" s="232" t="s">
        <v>275</v>
      </c>
      <c r="N6" s="237"/>
      <c r="O6" s="238"/>
      <c r="P6" s="238">
        <v>329800</v>
      </c>
      <c r="Q6" s="238">
        <v>266474.40000000002</v>
      </c>
      <c r="R6" s="235">
        <f>N6/100</f>
        <v>0</v>
      </c>
      <c r="S6" s="235">
        <f t="shared" si="0"/>
        <v>3277</v>
      </c>
      <c r="T6" s="235">
        <f>I6/L6</f>
        <v>80.8</v>
      </c>
      <c r="U6" s="232" t="s">
        <v>275</v>
      </c>
      <c r="V6" s="237"/>
      <c r="W6" s="238"/>
      <c r="X6" s="237">
        <v>299400</v>
      </c>
      <c r="Y6" s="238">
        <v>241592</v>
      </c>
    </row>
    <row r="7" spans="1:25" ht="22.5" customHeight="1">
      <c r="A7" s="232" t="s">
        <v>276</v>
      </c>
      <c r="B7" s="233">
        <v>1200</v>
      </c>
      <c r="C7" s="234">
        <v>540</v>
      </c>
      <c r="D7" s="234"/>
      <c r="E7" s="234"/>
      <c r="F7" s="235">
        <f>B7/100</f>
        <v>12</v>
      </c>
      <c r="G7" s="232" t="s">
        <v>277</v>
      </c>
      <c r="H7" s="237">
        <v>1800</v>
      </c>
      <c r="I7" s="236">
        <v>810</v>
      </c>
      <c r="J7" s="236"/>
      <c r="K7" s="236"/>
      <c r="L7" s="235">
        <f>H7/100</f>
        <v>18</v>
      </c>
      <c r="M7" s="232" t="s">
        <v>277</v>
      </c>
      <c r="N7" s="237">
        <v>2700</v>
      </c>
      <c r="O7" s="238">
        <v>1215</v>
      </c>
      <c r="P7" s="238"/>
      <c r="Q7" s="238"/>
      <c r="R7" s="235">
        <f>N7/100</f>
        <v>27</v>
      </c>
      <c r="S7" s="235">
        <f t="shared" si="0"/>
        <v>57</v>
      </c>
      <c r="T7" s="235">
        <f t="shared" si="1"/>
        <v>45</v>
      </c>
      <c r="U7" s="232" t="s">
        <v>277</v>
      </c>
      <c r="V7" s="237">
        <v>2100</v>
      </c>
      <c r="W7" s="238">
        <v>945</v>
      </c>
      <c r="X7" s="237"/>
      <c r="Y7" s="238"/>
    </row>
    <row r="8" spans="1:25" ht="22.5" customHeight="1">
      <c r="A8" s="232" t="s">
        <v>278</v>
      </c>
      <c r="B8" s="233">
        <v>152580</v>
      </c>
      <c r="C8" s="234">
        <v>38755.599999999999</v>
      </c>
      <c r="D8" s="234">
        <v>237720</v>
      </c>
      <c r="E8" s="234">
        <v>60381</v>
      </c>
      <c r="F8" s="235">
        <f>B8/100</f>
        <v>1525.8</v>
      </c>
      <c r="G8" s="232" t="s">
        <v>279</v>
      </c>
      <c r="H8" s="237"/>
      <c r="I8" s="238"/>
      <c r="J8" s="238">
        <v>579900</v>
      </c>
      <c r="K8" s="238">
        <v>147294.6</v>
      </c>
      <c r="L8" s="235">
        <f>H8/100</f>
        <v>0</v>
      </c>
      <c r="M8" s="232" t="s">
        <v>279</v>
      </c>
      <c r="N8" s="237"/>
      <c r="O8" s="238"/>
      <c r="P8" s="238">
        <v>58600</v>
      </c>
      <c r="Q8" s="238">
        <v>148844</v>
      </c>
      <c r="R8" s="235">
        <f>N8/100</f>
        <v>0</v>
      </c>
      <c r="S8" s="235">
        <f t="shared" si="0"/>
        <v>1525.8</v>
      </c>
      <c r="T8" s="235">
        <f>C8/F8</f>
        <v>25.400183510289683</v>
      </c>
      <c r="U8" s="232" t="s">
        <v>279</v>
      </c>
      <c r="V8" s="237"/>
      <c r="W8" s="238"/>
      <c r="X8" s="237">
        <v>565600</v>
      </c>
      <c r="Y8" s="238">
        <v>143662.39999999999</v>
      </c>
    </row>
    <row r="9" spans="1:25" ht="22.5" hidden="1" customHeight="1">
      <c r="A9" s="232" t="s">
        <v>280</v>
      </c>
      <c r="B9" s="236">
        <v>0</v>
      </c>
      <c r="C9" s="236">
        <v>0</v>
      </c>
      <c r="D9" s="236"/>
      <c r="E9" s="236"/>
      <c r="F9" s="235">
        <v>0</v>
      </c>
      <c r="G9" s="232" t="s">
        <v>281</v>
      </c>
      <c r="H9" s="237"/>
      <c r="I9" s="238"/>
      <c r="J9" s="238"/>
      <c r="K9" s="238"/>
      <c r="L9" s="235">
        <v>0</v>
      </c>
      <c r="M9" s="232" t="s">
        <v>281</v>
      </c>
      <c r="N9" s="237"/>
      <c r="O9" s="238"/>
      <c r="P9" s="238"/>
      <c r="Q9" s="238"/>
      <c r="R9" s="235">
        <v>0</v>
      </c>
      <c r="S9" s="235">
        <f t="shared" si="0"/>
        <v>0</v>
      </c>
      <c r="T9" s="235"/>
      <c r="U9" s="232" t="s">
        <v>281</v>
      </c>
      <c r="V9" s="237"/>
      <c r="W9" s="238"/>
      <c r="X9" s="239"/>
      <c r="Y9" s="239"/>
    </row>
    <row r="10" spans="1:25" ht="22.5" customHeight="1">
      <c r="A10" s="232" t="s">
        <v>282</v>
      </c>
      <c r="B10" s="236">
        <v>0</v>
      </c>
      <c r="C10" s="236">
        <v>0</v>
      </c>
      <c r="D10" s="236"/>
      <c r="E10" s="236"/>
      <c r="F10" s="235">
        <f>B10/48</f>
        <v>0</v>
      </c>
      <c r="G10" s="232" t="s">
        <v>283</v>
      </c>
      <c r="H10" s="237">
        <v>1200</v>
      </c>
      <c r="I10" s="238">
        <v>2125</v>
      </c>
      <c r="J10" s="238"/>
      <c r="K10" s="238"/>
      <c r="L10" s="235">
        <f>H10/48</f>
        <v>25</v>
      </c>
      <c r="M10" s="232" t="s">
        <v>283</v>
      </c>
      <c r="N10" s="237">
        <v>2304</v>
      </c>
      <c r="O10" s="238">
        <v>4080</v>
      </c>
      <c r="P10" s="238"/>
      <c r="Q10" s="238"/>
      <c r="R10" s="235">
        <f>N10/48</f>
        <v>48</v>
      </c>
      <c r="S10" s="235">
        <f t="shared" si="0"/>
        <v>73</v>
      </c>
      <c r="T10" s="235">
        <f t="shared" ref="T10:T11" si="2">O10/R10</f>
        <v>85</v>
      </c>
      <c r="U10" s="232" t="s">
        <v>283</v>
      </c>
      <c r="V10" s="237">
        <v>1728</v>
      </c>
      <c r="W10" s="238">
        <v>3060</v>
      </c>
      <c r="X10" s="239"/>
      <c r="Y10" s="239"/>
    </row>
    <row r="11" spans="1:25" ht="22.5" customHeight="1">
      <c r="A11" s="232" t="s">
        <v>284</v>
      </c>
      <c r="B11" s="233">
        <v>225120</v>
      </c>
      <c r="C11" s="234">
        <v>569500</v>
      </c>
      <c r="D11" s="234"/>
      <c r="E11" s="234"/>
      <c r="F11" s="235">
        <f>B11/672</f>
        <v>335</v>
      </c>
      <c r="G11" s="232" t="s">
        <v>285</v>
      </c>
      <c r="H11" s="237">
        <v>310464</v>
      </c>
      <c r="I11" s="238">
        <v>785400</v>
      </c>
      <c r="J11" s="238"/>
      <c r="K11" s="238"/>
      <c r="L11" s="235">
        <f>H11/672</f>
        <v>462</v>
      </c>
      <c r="M11" s="232" t="s">
        <v>285</v>
      </c>
      <c r="N11" s="237">
        <v>318528</v>
      </c>
      <c r="O11" s="238">
        <v>805800</v>
      </c>
      <c r="P11" s="238"/>
      <c r="Q11" s="238"/>
      <c r="R11" s="235">
        <f>N11/672</f>
        <v>474</v>
      </c>
      <c r="S11" s="235">
        <f t="shared" si="0"/>
        <v>1271</v>
      </c>
      <c r="T11" s="235">
        <f t="shared" si="2"/>
        <v>1700</v>
      </c>
      <c r="U11" s="232" t="s">
        <v>285</v>
      </c>
      <c r="V11" s="237">
        <v>268128</v>
      </c>
      <c r="W11" s="238">
        <v>678300</v>
      </c>
      <c r="X11" s="239"/>
      <c r="Y11" s="239"/>
    </row>
    <row r="12" spans="1:25" ht="22.5" customHeight="1">
      <c r="A12" s="232" t="s">
        <v>286</v>
      </c>
      <c r="B12" s="236">
        <v>6800</v>
      </c>
      <c r="C12" s="236">
        <v>243.44</v>
      </c>
      <c r="D12" s="236"/>
      <c r="E12" s="236"/>
      <c r="F12" s="235">
        <f>B12/100</f>
        <v>68</v>
      </c>
      <c r="G12" s="232" t="s">
        <v>287</v>
      </c>
      <c r="H12" s="237"/>
      <c r="I12" s="238"/>
      <c r="J12" s="238"/>
      <c r="K12" s="238"/>
      <c r="L12" s="235">
        <f>H12/100</f>
        <v>0</v>
      </c>
      <c r="M12" s="232" t="s">
        <v>287</v>
      </c>
      <c r="N12" s="237"/>
      <c r="O12" s="238"/>
      <c r="P12" s="238"/>
      <c r="Q12" s="238"/>
      <c r="R12" s="235">
        <f>N12/100</f>
        <v>0</v>
      </c>
      <c r="S12" s="235">
        <f t="shared" si="0"/>
        <v>68</v>
      </c>
      <c r="T12" s="235">
        <f>C12/F12</f>
        <v>3.58</v>
      </c>
      <c r="U12" s="232" t="s">
        <v>287</v>
      </c>
      <c r="V12" s="237"/>
      <c r="W12" s="238"/>
      <c r="X12" s="239"/>
      <c r="Y12" s="239"/>
    </row>
    <row r="13" spans="1:25" ht="22.5" hidden="1" customHeight="1">
      <c r="A13" s="232" t="s">
        <v>288</v>
      </c>
      <c r="B13" s="233"/>
      <c r="C13" s="234"/>
      <c r="D13" s="234">
        <v>73248</v>
      </c>
      <c r="E13" s="234">
        <v>3041.1</v>
      </c>
      <c r="F13" s="235">
        <f t="shared" ref="F13:F18" si="3">B13</f>
        <v>0</v>
      </c>
      <c r="G13" s="232" t="s">
        <v>289</v>
      </c>
      <c r="H13" s="237"/>
      <c r="I13" s="238"/>
      <c r="J13" s="238"/>
      <c r="K13" s="238"/>
      <c r="L13" s="235">
        <f t="shared" ref="L13:L18" si="4">H13</f>
        <v>0</v>
      </c>
      <c r="M13" s="232" t="s">
        <v>289</v>
      </c>
      <c r="N13" s="237">
        <v>0</v>
      </c>
      <c r="O13" s="238">
        <v>0</v>
      </c>
      <c r="P13" s="238"/>
      <c r="Q13" s="238"/>
      <c r="R13" s="235">
        <f t="shared" ref="R13:R18" si="5">N13</f>
        <v>0</v>
      </c>
      <c r="S13" s="235">
        <f t="shared" si="0"/>
        <v>0</v>
      </c>
      <c r="T13" s="235"/>
      <c r="U13" s="232" t="s">
        <v>289</v>
      </c>
      <c r="V13" s="237">
        <v>0</v>
      </c>
      <c r="W13" s="238">
        <v>0</v>
      </c>
      <c r="X13" s="239"/>
      <c r="Y13" s="239"/>
    </row>
    <row r="14" spans="1:25" ht="22.5" hidden="1" customHeight="1">
      <c r="A14" s="232" t="s">
        <v>290</v>
      </c>
      <c r="B14" s="236">
        <v>0</v>
      </c>
      <c r="C14" s="236">
        <v>0</v>
      </c>
      <c r="D14" s="236"/>
      <c r="E14" s="236"/>
      <c r="F14" s="235">
        <v>0</v>
      </c>
      <c r="G14" s="232" t="s">
        <v>291</v>
      </c>
      <c r="H14" s="237"/>
      <c r="I14" s="238"/>
      <c r="J14" s="238"/>
      <c r="K14" s="238"/>
      <c r="L14" s="235">
        <v>0</v>
      </c>
      <c r="M14" s="232" t="s">
        <v>291</v>
      </c>
      <c r="N14" s="237"/>
      <c r="O14" s="238"/>
      <c r="P14" s="238"/>
      <c r="Q14" s="238"/>
      <c r="R14" s="235">
        <v>0</v>
      </c>
      <c r="S14" s="235">
        <f t="shared" si="0"/>
        <v>0</v>
      </c>
      <c r="T14" s="235"/>
      <c r="U14" s="232" t="s">
        <v>291</v>
      </c>
      <c r="V14" s="237"/>
      <c r="W14" s="238"/>
      <c r="X14" s="239"/>
      <c r="Y14" s="239"/>
    </row>
    <row r="15" spans="1:25" ht="22.5" hidden="1" customHeight="1">
      <c r="A15" s="232" t="s">
        <v>292</v>
      </c>
      <c r="B15" s="236">
        <v>0</v>
      </c>
      <c r="C15" s="236">
        <v>0</v>
      </c>
      <c r="D15" s="236"/>
      <c r="E15" s="236"/>
      <c r="F15" s="235">
        <v>0</v>
      </c>
      <c r="G15" s="232" t="s">
        <v>293</v>
      </c>
      <c r="H15" s="237"/>
      <c r="I15" s="238"/>
      <c r="J15" s="238"/>
      <c r="K15" s="238"/>
      <c r="L15" s="235">
        <v>0</v>
      </c>
      <c r="M15" s="232" t="s">
        <v>293</v>
      </c>
      <c r="N15" s="237"/>
      <c r="O15" s="238"/>
      <c r="P15" s="238"/>
      <c r="Q15" s="238"/>
      <c r="R15" s="235">
        <v>0</v>
      </c>
      <c r="S15" s="235">
        <f t="shared" si="0"/>
        <v>0</v>
      </c>
      <c r="T15" s="235"/>
      <c r="U15" s="232" t="s">
        <v>293</v>
      </c>
      <c r="V15" s="237"/>
      <c r="W15" s="238"/>
      <c r="X15" s="239"/>
      <c r="Y15" s="239"/>
    </row>
    <row r="16" spans="1:25" ht="22.5" customHeight="1">
      <c r="A16" s="232" t="s">
        <v>294</v>
      </c>
      <c r="B16" s="233">
        <v>672</v>
      </c>
      <c r="C16" s="234">
        <v>13.23</v>
      </c>
      <c r="D16" s="234"/>
      <c r="E16" s="234"/>
      <c r="F16" s="235">
        <f>B16/672</f>
        <v>1</v>
      </c>
      <c r="G16" s="232" t="s">
        <v>295</v>
      </c>
      <c r="H16" s="237"/>
      <c r="I16" s="238"/>
      <c r="J16" s="238"/>
      <c r="K16" s="238"/>
      <c r="L16" s="235">
        <f>H16/672</f>
        <v>0</v>
      </c>
      <c r="M16" s="232" t="s">
        <v>295</v>
      </c>
      <c r="N16" s="237">
        <v>0</v>
      </c>
      <c r="O16" s="238">
        <v>0</v>
      </c>
      <c r="P16" s="238"/>
      <c r="Q16" s="238"/>
      <c r="R16" s="235">
        <f>N16/672</f>
        <v>0</v>
      </c>
      <c r="S16" s="235">
        <f t="shared" si="0"/>
        <v>1</v>
      </c>
      <c r="T16" s="235">
        <f>C16/F16</f>
        <v>13.23</v>
      </c>
      <c r="U16" s="232" t="s">
        <v>295</v>
      </c>
      <c r="V16" s="237">
        <v>0</v>
      </c>
      <c r="W16" s="238">
        <v>0</v>
      </c>
      <c r="X16" s="239"/>
      <c r="Y16" s="239"/>
    </row>
    <row r="17" spans="1:25" ht="22.5" customHeight="1">
      <c r="A17" s="232" t="s">
        <v>296</v>
      </c>
      <c r="B17" s="233">
        <v>2700</v>
      </c>
      <c r="C17" s="234">
        <v>335.07</v>
      </c>
      <c r="D17" s="234"/>
      <c r="E17" s="234"/>
      <c r="F17" s="235">
        <f>B17/100</f>
        <v>27</v>
      </c>
      <c r="G17" s="232" t="s">
        <v>297</v>
      </c>
      <c r="H17" s="237">
        <v>7500</v>
      </c>
      <c r="I17" s="238">
        <v>930.75</v>
      </c>
      <c r="J17" s="238"/>
      <c r="K17" s="238"/>
      <c r="L17" s="235">
        <f>H17/100</f>
        <v>75</v>
      </c>
      <c r="M17" s="232" t="s">
        <v>297</v>
      </c>
      <c r="N17" s="237">
        <v>7600</v>
      </c>
      <c r="O17" s="238">
        <v>943.16000000000008</v>
      </c>
      <c r="P17" s="238"/>
      <c r="Q17" s="238"/>
      <c r="R17" s="235">
        <f>N17/100</f>
        <v>76</v>
      </c>
      <c r="S17" s="235">
        <f t="shared" si="0"/>
        <v>178</v>
      </c>
      <c r="T17" s="235">
        <f t="shared" ref="T17" si="6">O17/R17</f>
        <v>12.410000000000002</v>
      </c>
      <c r="U17" s="232" t="s">
        <v>297</v>
      </c>
      <c r="V17" s="237">
        <v>5500</v>
      </c>
      <c r="W17" s="238">
        <v>682.55000000000018</v>
      </c>
      <c r="X17" s="239"/>
      <c r="Y17" s="239"/>
    </row>
    <row r="18" spans="1:25" ht="22.5" hidden="1" customHeight="1">
      <c r="A18" s="232" t="s">
        <v>298</v>
      </c>
      <c r="B18" s="233"/>
      <c r="C18" s="234"/>
      <c r="D18" s="234">
        <v>930800</v>
      </c>
      <c r="E18" s="234">
        <v>27644.76</v>
      </c>
      <c r="F18" s="235">
        <f t="shared" si="3"/>
        <v>0</v>
      </c>
      <c r="G18" s="232" t="s">
        <v>299</v>
      </c>
      <c r="H18" s="237"/>
      <c r="I18" s="238"/>
      <c r="J18" s="238">
        <v>967400</v>
      </c>
      <c r="K18" s="238">
        <v>28731.78</v>
      </c>
      <c r="L18" s="235">
        <f t="shared" si="4"/>
        <v>0</v>
      </c>
      <c r="M18" s="232" t="s">
        <v>299</v>
      </c>
      <c r="N18" s="237"/>
      <c r="O18" s="238"/>
      <c r="P18" s="238">
        <v>968100</v>
      </c>
      <c r="Q18" s="238">
        <v>28752.57</v>
      </c>
      <c r="R18" s="235">
        <f t="shared" si="5"/>
        <v>0</v>
      </c>
      <c r="S18" s="235">
        <f t="shared" si="0"/>
        <v>0</v>
      </c>
      <c r="T18" s="235"/>
      <c r="U18" s="232" t="s">
        <v>299</v>
      </c>
      <c r="V18" s="237"/>
      <c r="W18" s="238"/>
      <c r="X18" s="237">
        <v>887100</v>
      </c>
      <c r="Y18" s="238">
        <v>26346.87</v>
      </c>
    </row>
    <row r="19" spans="1:25" ht="22.5" customHeight="1">
      <c r="A19" s="232" t="s">
        <v>300</v>
      </c>
      <c r="B19" s="233">
        <v>7200</v>
      </c>
      <c r="C19" s="234">
        <v>1963.44</v>
      </c>
      <c r="D19" s="234"/>
      <c r="E19" s="234"/>
      <c r="F19" s="235">
        <f>B19/100</f>
        <v>72</v>
      </c>
      <c r="G19" s="232" t="s">
        <v>301</v>
      </c>
      <c r="H19" s="237">
        <v>17800</v>
      </c>
      <c r="I19" s="238">
        <v>4854.0599999999995</v>
      </c>
      <c r="J19" s="238"/>
      <c r="K19" s="238"/>
      <c r="L19" s="235">
        <f>H19/100</f>
        <v>178</v>
      </c>
      <c r="M19" s="232" t="s">
        <v>301</v>
      </c>
      <c r="N19" s="237">
        <v>18400</v>
      </c>
      <c r="O19" s="238">
        <v>5017.68</v>
      </c>
      <c r="P19" s="238"/>
      <c r="Q19" s="238"/>
      <c r="R19" s="235">
        <f>N19/100</f>
        <v>184</v>
      </c>
      <c r="S19" s="235">
        <f t="shared" si="0"/>
        <v>434</v>
      </c>
      <c r="T19" s="235">
        <f t="shared" ref="T19:T20" si="7">O19/R19</f>
        <v>27.270000000000003</v>
      </c>
      <c r="U19" s="232" t="s">
        <v>301</v>
      </c>
      <c r="V19" s="237">
        <v>13500</v>
      </c>
      <c r="W19" s="238">
        <v>3681.4499999999989</v>
      </c>
      <c r="X19" s="239"/>
      <c r="Y19" s="239"/>
    </row>
    <row r="20" spans="1:25" ht="22.5" customHeight="1">
      <c r="A20" s="232" t="s">
        <v>302</v>
      </c>
      <c r="B20" s="233">
        <v>88300</v>
      </c>
      <c r="C20" s="234">
        <v>18896.2</v>
      </c>
      <c r="D20" s="234"/>
      <c r="E20" s="234"/>
      <c r="F20" s="235">
        <f>B20/100</f>
        <v>883</v>
      </c>
      <c r="G20" s="232" t="s">
        <v>303</v>
      </c>
      <c r="H20" s="237"/>
      <c r="I20" s="238"/>
      <c r="J20" s="238">
        <v>236000</v>
      </c>
      <c r="K20" s="238">
        <v>50504</v>
      </c>
      <c r="L20" s="235">
        <f>H20/100</f>
        <v>0</v>
      </c>
      <c r="M20" s="232" t="s">
        <v>303</v>
      </c>
      <c r="N20" s="237">
        <v>236900</v>
      </c>
      <c r="O20" s="238">
        <v>50696.600000000006</v>
      </c>
      <c r="P20" s="238"/>
      <c r="Q20" s="238"/>
      <c r="R20" s="235">
        <f>N20/100</f>
        <v>2369</v>
      </c>
      <c r="S20" s="235">
        <f t="shared" si="0"/>
        <v>3252</v>
      </c>
      <c r="T20" s="235">
        <f t="shared" si="7"/>
        <v>21.400000000000002</v>
      </c>
      <c r="U20" s="232" t="s">
        <v>303</v>
      </c>
      <c r="V20" s="237">
        <v>262700</v>
      </c>
      <c r="W20" s="238">
        <v>56217.8</v>
      </c>
      <c r="X20" s="237"/>
      <c r="Y20" s="238"/>
    </row>
    <row r="21" spans="1:25" ht="22.5" hidden="1" customHeight="1">
      <c r="A21" s="232" t="s">
        <v>304</v>
      </c>
      <c r="B21" s="236"/>
      <c r="C21" s="236" t="s">
        <v>305</v>
      </c>
      <c r="D21" s="236"/>
      <c r="E21" s="236"/>
      <c r="F21" s="235">
        <v>0</v>
      </c>
      <c r="G21" s="232" t="s">
        <v>306</v>
      </c>
      <c r="H21" s="237"/>
      <c r="I21" s="238"/>
      <c r="J21" s="238"/>
      <c r="K21" s="238"/>
      <c r="L21" s="235">
        <v>0</v>
      </c>
      <c r="M21" s="232" t="s">
        <v>306</v>
      </c>
      <c r="N21" s="237"/>
      <c r="O21" s="238"/>
      <c r="P21" s="238"/>
      <c r="Q21" s="238"/>
      <c r="R21" s="235">
        <v>0</v>
      </c>
      <c r="S21" s="235">
        <f t="shared" si="0"/>
        <v>0</v>
      </c>
      <c r="T21" s="235"/>
      <c r="U21" s="232" t="s">
        <v>306</v>
      </c>
      <c r="V21" s="237"/>
      <c r="W21" s="238"/>
      <c r="X21" s="239"/>
      <c r="Y21" s="239"/>
    </row>
    <row r="22" spans="1:25" ht="22.5" customHeight="1">
      <c r="A22" s="232" t="s">
        <v>307</v>
      </c>
      <c r="B22" s="233"/>
      <c r="C22" s="234" t="s">
        <v>305</v>
      </c>
      <c r="D22" s="234"/>
      <c r="E22" s="234"/>
      <c r="F22" s="235">
        <f>B22/100</f>
        <v>0</v>
      </c>
      <c r="G22" s="232" t="s">
        <v>308</v>
      </c>
      <c r="H22" s="237">
        <v>42000</v>
      </c>
      <c r="I22" s="238">
        <v>6720</v>
      </c>
      <c r="J22" s="238"/>
      <c r="K22" s="238"/>
      <c r="L22" s="235">
        <f>H22/100</f>
        <v>420</v>
      </c>
      <c r="M22" s="232" t="s">
        <v>308</v>
      </c>
      <c r="N22" s="237"/>
      <c r="O22" s="238"/>
      <c r="P22" s="238">
        <v>48600</v>
      </c>
      <c r="Q22" s="238">
        <v>7776</v>
      </c>
      <c r="R22" s="235">
        <f>N22/100</f>
        <v>0</v>
      </c>
      <c r="S22" s="235">
        <f t="shared" si="0"/>
        <v>420</v>
      </c>
      <c r="T22" s="235">
        <f>I22/L22</f>
        <v>16</v>
      </c>
      <c r="U22" s="232" t="s">
        <v>308</v>
      </c>
      <c r="V22" s="237"/>
      <c r="W22" s="238"/>
      <c r="X22" s="237">
        <v>48600</v>
      </c>
      <c r="Y22" s="238">
        <v>7776</v>
      </c>
    </row>
    <row r="23" spans="1:25" ht="22.5" customHeight="1">
      <c r="A23" s="232" t="s">
        <v>309</v>
      </c>
      <c r="B23" s="233">
        <v>9516</v>
      </c>
      <c r="C23" s="234">
        <v>12550.14</v>
      </c>
      <c r="D23" s="234"/>
      <c r="E23" s="234"/>
      <c r="F23" s="235">
        <f>B23/26</f>
        <v>366</v>
      </c>
      <c r="G23" s="232" t="s">
        <v>310</v>
      </c>
      <c r="H23" s="237">
        <v>22152</v>
      </c>
      <c r="I23" s="238">
        <v>29215.08</v>
      </c>
      <c r="J23" s="238"/>
      <c r="K23" s="238"/>
      <c r="L23" s="235">
        <f>H23/26</f>
        <v>852</v>
      </c>
      <c r="M23" s="232" t="s">
        <v>310</v>
      </c>
      <c r="N23" s="237"/>
      <c r="O23" s="238"/>
      <c r="P23" s="238">
        <v>49296</v>
      </c>
      <c r="Q23" s="238">
        <v>65013.84</v>
      </c>
      <c r="R23" s="235">
        <f>N23/26</f>
        <v>0</v>
      </c>
      <c r="S23" s="235">
        <f t="shared" si="0"/>
        <v>1218</v>
      </c>
      <c r="T23" s="235">
        <f>I23/L23</f>
        <v>34.29</v>
      </c>
      <c r="U23" s="232" t="s">
        <v>310</v>
      </c>
      <c r="V23" s="237"/>
      <c r="W23" s="238"/>
      <c r="X23" s="237">
        <v>70200</v>
      </c>
      <c r="Y23" s="238">
        <v>92583</v>
      </c>
    </row>
    <row r="24" spans="1:25" ht="22.5" hidden="1" customHeight="1">
      <c r="A24" s="232" t="s">
        <v>311</v>
      </c>
      <c r="B24" s="236">
        <v>0</v>
      </c>
      <c r="C24" s="236" t="s">
        <v>305</v>
      </c>
      <c r="D24" s="236"/>
      <c r="E24" s="236"/>
      <c r="F24" s="235">
        <v>0</v>
      </c>
      <c r="G24" s="232" t="s">
        <v>312</v>
      </c>
      <c r="H24" s="237"/>
      <c r="I24" s="238"/>
      <c r="J24" s="238"/>
      <c r="K24" s="238"/>
      <c r="L24" s="235">
        <v>0</v>
      </c>
      <c r="M24" s="232" t="s">
        <v>312</v>
      </c>
      <c r="N24" s="237"/>
      <c r="O24" s="238"/>
      <c r="P24" s="238"/>
      <c r="Q24" s="238"/>
      <c r="R24" s="235">
        <v>0</v>
      </c>
      <c r="S24" s="235">
        <f t="shared" si="0"/>
        <v>0</v>
      </c>
      <c r="T24" s="235"/>
      <c r="U24" s="232" t="s">
        <v>312</v>
      </c>
      <c r="V24" s="237"/>
      <c r="W24" s="238"/>
      <c r="X24" s="239"/>
      <c r="Y24" s="239"/>
    </row>
    <row r="25" spans="1:25" ht="22.5" hidden="1" customHeight="1">
      <c r="A25" s="232" t="s">
        <v>313</v>
      </c>
      <c r="B25" s="233"/>
      <c r="C25" s="234"/>
      <c r="D25" s="234">
        <v>231840</v>
      </c>
      <c r="E25" s="234">
        <v>4830</v>
      </c>
      <c r="F25" s="235">
        <f>B25/672</f>
        <v>0</v>
      </c>
      <c r="G25" s="232" t="s">
        <v>314</v>
      </c>
      <c r="H25" s="237">
        <v>0</v>
      </c>
      <c r="I25" s="238">
        <v>0</v>
      </c>
      <c r="J25" s="238"/>
      <c r="K25" s="238"/>
      <c r="L25" s="235">
        <f>H25/672</f>
        <v>0</v>
      </c>
      <c r="M25" s="232" t="s">
        <v>314</v>
      </c>
      <c r="N25" s="237">
        <v>0</v>
      </c>
      <c r="O25" s="238">
        <v>0</v>
      </c>
      <c r="P25" s="238"/>
      <c r="Q25" s="238"/>
      <c r="R25" s="235">
        <f>N25/672</f>
        <v>0</v>
      </c>
      <c r="S25" s="235">
        <f t="shared" si="0"/>
        <v>0</v>
      </c>
      <c r="T25" s="235"/>
      <c r="U25" s="232" t="s">
        <v>314</v>
      </c>
      <c r="V25" s="237">
        <v>0</v>
      </c>
      <c r="W25" s="238">
        <v>0</v>
      </c>
      <c r="X25" s="239"/>
      <c r="Y25" s="239"/>
    </row>
    <row r="26" spans="1:25" ht="22.5" customHeight="1">
      <c r="A26" s="322" t="s">
        <v>315</v>
      </c>
      <c r="B26" s="322"/>
      <c r="C26" s="240">
        <f>SUM(C3:C25)</f>
        <v>644048.08999999973</v>
      </c>
      <c r="D26" s="240"/>
      <c r="E26" s="240">
        <f>SUM(E3:E25)</f>
        <v>187846.86000000002</v>
      </c>
      <c r="F26" s="235"/>
      <c r="G26" s="322" t="s">
        <v>315</v>
      </c>
      <c r="H26" s="322"/>
      <c r="I26" s="238">
        <f>SUM(I3:I25)</f>
        <v>1693740</v>
      </c>
      <c r="J26" s="238"/>
      <c r="K26" s="238">
        <f t="shared" ref="K26" si="8">SUM(K3:K25)</f>
        <v>226530.38</v>
      </c>
      <c r="M26" s="322" t="s">
        <v>315</v>
      </c>
      <c r="N26" s="322"/>
      <c r="O26" s="238">
        <f>SUM(O3:O25)</f>
        <v>1490123.3199999998</v>
      </c>
      <c r="P26" s="238"/>
      <c r="Q26" s="238"/>
      <c r="U26" s="322" t="s">
        <v>315</v>
      </c>
      <c r="V26" s="322"/>
      <c r="W26" s="238"/>
      <c r="X26" s="239"/>
      <c r="Y26" s="238">
        <f>SUM(Y3:Y25)</f>
        <v>511960.27</v>
      </c>
    </row>
    <row r="27" spans="1:25" ht="14.4" customHeight="1">
      <c r="A27" s="322" t="s">
        <v>316</v>
      </c>
      <c r="B27" s="322"/>
      <c r="C27" s="240"/>
      <c r="D27" s="240"/>
      <c r="E27" s="240"/>
      <c r="F27" s="241"/>
      <c r="G27" s="322" t="s">
        <v>316</v>
      </c>
      <c r="H27" s="322"/>
      <c r="I27" s="240">
        <v>1920270.38</v>
      </c>
      <c r="J27" s="240"/>
      <c r="K27" s="240">
        <f>SUM(K4:K26)</f>
        <v>453060.76</v>
      </c>
      <c r="M27" s="323" t="s">
        <v>316</v>
      </c>
      <c r="N27" s="324"/>
      <c r="O27" s="240">
        <v>2006988.13</v>
      </c>
      <c r="P27" s="240"/>
      <c r="Q27" s="240">
        <f>SUM(Q5:Q26)</f>
        <v>516860.81000000006</v>
      </c>
      <c r="U27" s="322"/>
      <c r="V27" s="322"/>
      <c r="W27" s="240">
        <f>SUM(W3:W26)</f>
        <v>1382337.72</v>
      </c>
      <c r="X27" s="239"/>
      <c r="Y27" s="239"/>
    </row>
    <row r="28" spans="1:25">
      <c r="C28" s="242">
        <f>C26</f>
        <v>644048.08999999973</v>
      </c>
      <c r="D28" s="229">
        <f>22*C27/100</f>
        <v>0</v>
      </c>
      <c r="I28" s="242">
        <f>I27-J28</f>
        <v>1459405.4887999999</v>
      </c>
      <c r="J28" s="229">
        <f>24*I27/100</f>
        <v>460864.89119999995</v>
      </c>
      <c r="O28" s="242">
        <f>O27-P28</f>
        <v>1485171.2161999999</v>
      </c>
      <c r="P28" s="229">
        <f>26*O27/100</f>
        <v>521816.91379999998</v>
      </c>
    </row>
    <row r="29" spans="1:25" ht="28.8">
      <c r="B29" s="243" t="s">
        <v>317</v>
      </c>
      <c r="C29" s="242">
        <f>C26+E26</f>
        <v>831894.94999999972</v>
      </c>
      <c r="D29" s="242"/>
      <c r="E29" s="242"/>
      <c r="H29" s="229" t="s">
        <v>318</v>
      </c>
      <c r="I29" s="242">
        <f>I26+K26</f>
        <v>1920270.38</v>
      </c>
      <c r="N29" s="229" t="s">
        <v>318</v>
      </c>
      <c r="O29" s="242">
        <f>O27</f>
        <v>2006988.13</v>
      </c>
      <c r="V29" s="243" t="s">
        <v>318</v>
      </c>
      <c r="W29" s="242">
        <f>W27+Y26</f>
        <v>1894297.99</v>
      </c>
      <c r="Y29" s="242"/>
    </row>
    <row r="30" spans="1:25">
      <c r="A30" s="244"/>
      <c r="B30" s="245" t="s">
        <v>319</v>
      </c>
      <c r="C30" s="246">
        <f>C28</f>
        <v>644048.08999999973</v>
      </c>
      <c r="D30" s="325"/>
      <c r="E30" s="325"/>
      <c r="F30" s="325"/>
      <c r="G30" s="325"/>
      <c r="H30" s="229" t="s">
        <v>319</v>
      </c>
      <c r="I30" s="242">
        <f>I26</f>
        <v>1693740</v>
      </c>
      <c r="M30" s="242"/>
      <c r="N30" s="229" t="s">
        <v>319</v>
      </c>
      <c r="O30" s="242">
        <f>O26</f>
        <v>1490123.3199999998</v>
      </c>
      <c r="Q30" s="242"/>
      <c r="V30" s="229" t="s">
        <v>319</v>
      </c>
      <c r="W30" s="242">
        <f>W27</f>
        <v>1382337.72</v>
      </c>
      <c r="Y30" s="242"/>
    </row>
    <row r="31" spans="1:25">
      <c r="A31" s="244"/>
      <c r="B31" s="244" t="s">
        <v>320</v>
      </c>
      <c r="C31" s="244">
        <f>20*C30/100</f>
        <v>128809.61799999996</v>
      </c>
      <c r="E31" s="242"/>
      <c r="H31" s="229" t="s">
        <v>321</v>
      </c>
      <c r="I31" s="242">
        <v>338748</v>
      </c>
      <c r="K31" s="242"/>
      <c r="N31" s="229" t="s">
        <v>320</v>
      </c>
      <c r="O31" s="229">
        <v>298024</v>
      </c>
      <c r="Q31" s="242"/>
      <c r="V31" s="229" t="s">
        <v>320</v>
      </c>
      <c r="W31" s="242">
        <v>276467</v>
      </c>
    </row>
    <row r="32" spans="1:25" ht="57.6">
      <c r="A32" s="247"/>
      <c r="B32" s="248" t="s">
        <v>322</v>
      </c>
      <c r="C32" s="249">
        <f>SUM(C30:C31)</f>
        <v>772857.70799999963</v>
      </c>
      <c r="H32" s="243" t="s">
        <v>322</v>
      </c>
      <c r="I32" s="242">
        <f>SUM(I30:I31)</f>
        <v>2032488</v>
      </c>
      <c r="N32" s="243" t="s">
        <v>322</v>
      </c>
      <c r="O32" s="242">
        <f>SUM(O30:O31)</f>
        <v>1788147.3199999998</v>
      </c>
      <c r="V32" s="243" t="s">
        <v>322</v>
      </c>
      <c r="W32" s="242">
        <f>W30+W31</f>
        <v>1658804.72</v>
      </c>
    </row>
    <row r="33" spans="1:21">
      <c r="A33" s="247"/>
      <c r="B33" s="250"/>
      <c r="C33" s="249"/>
      <c r="L33" s="239"/>
      <c r="M33" s="251"/>
    </row>
    <row r="34" spans="1:21" ht="57.6">
      <c r="A34" s="247"/>
      <c r="B34" s="250"/>
      <c r="C34" s="249"/>
      <c r="G34" s="242"/>
      <c r="L34" s="252" t="s">
        <v>323</v>
      </c>
      <c r="M34" s="251">
        <f>'2027'!C26</f>
        <v>6653451.4500000002</v>
      </c>
      <c r="U34" s="253"/>
    </row>
    <row r="35" spans="1:21" ht="39" customHeight="1">
      <c r="A35" s="254"/>
      <c r="B35" s="244"/>
      <c r="C35" s="255"/>
      <c r="L35" s="252" t="s">
        <v>262</v>
      </c>
      <c r="M35" s="251">
        <f>E26+K26+Q27+Y26</f>
        <v>1443198.32</v>
      </c>
    </row>
    <row r="36" spans="1:21" ht="28.8">
      <c r="A36" s="256"/>
      <c r="B36" s="244"/>
      <c r="C36" s="255"/>
      <c r="L36" s="252" t="s">
        <v>324</v>
      </c>
      <c r="M36" s="251">
        <f>M34-M35</f>
        <v>5210253.13</v>
      </c>
      <c r="P36" s="242"/>
    </row>
    <row r="37" spans="1:21">
      <c r="A37" s="256"/>
      <c r="B37" s="244"/>
      <c r="C37" s="255"/>
      <c r="L37" s="239" t="s">
        <v>320</v>
      </c>
      <c r="M37" s="251">
        <f>20*M36/100</f>
        <v>1042050.6259999999</v>
      </c>
      <c r="O37" s="242"/>
    </row>
    <row r="38" spans="1:21" ht="43.2">
      <c r="A38" s="244"/>
      <c r="B38" s="244"/>
      <c r="C38" s="255"/>
      <c r="L38" s="252" t="s">
        <v>325</v>
      </c>
      <c r="M38" s="251">
        <f>M36+M37</f>
        <v>6252303.7560000001</v>
      </c>
      <c r="O38" s="242"/>
    </row>
    <row r="39" spans="1:21">
      <c r="A39" s="244"/>
      <c r="B39" s="244"/>
      <c r="C39" s="255"/>
      <c r="L39" s="257"/>
      <c r="M39" s="258"/>
    </row>
    <row r="40" spans="1:21" ht="57.6">
      <c r="A40" s="244"/>
      <c r="B40" s="244"/>
      <c r="C40" s="255"/>
      <c r="L40" s="257" t="s">
        <v>326</v>
      </c>
      <c r="M40" s="258">
        <f>C32+I32+O32</f>
        <v>4593493.027999999</v>
      </c>
    </row>
    <row r="41" spans="1:21">
      <c r="A41" s="244"/>
      <c r="B41" s="244"/>
      <c r="C41" s="255"/>
      <c r="L41" s="239"/>
      <c r="M41" s="251"/>
    </row>
    <row r="42" spans="1:21" ht="24.9" customHeight="1">
      <c r="A42" s="256"/>
      <c r="B42" s="259"/>
      <c r="C42" s="259"/>
      <c r="L42" s="260">
        <v>2024</v>
      </c>
      <c r="M42" s="261">
        <f>C32</f>
        <v>772857.70799999963</v>
      </c>
    </row>
    <row r="43" spans="1:21">
      <c r="A43" s="256"/>
      <c r="B43" s="259"/>
      <c r="C43" s="259"/>
      <c r="L43" s="262">
        <v>2025</v>
      </c>
      <c r="M43" s="261">
        <f>I32</f>
        <v>2032488</v>
      </c>
    </row>
    <row r="44" spans="1:21">
      <c r="A44" s="256"/>
      <c r="B44" s="259"/>
      <c r="C44" s="259"/>
      <c r="L44" s="262">
        <v>2026</v>
      </c>
      <c r="M44" s="261">
        <f>O32</f>
        <v>1788147.3199999998</v>
      </c>
    </row>
    <row r="45" spans="1:21">
      <c r="A45" s="244"/>
      <c r="B45" s="244"/>
      <c r="C45" s="244"/>
      <c r="L45" s="262" t="s">
        <v>39</v>
      </c>
      <c r="M45" s="262"/>
    </row>
    <row r="46" spans="1:21">
      <c r="A46" s="244"/>
      <c r="B46" s="259"/>
      <c r="C46" s="259"/>
      <c r="L46" s="262">
        <v>2027</v>
      </c>
      <c r="M46" s="261">
        <f>W32</f>
        <v>1658804.72</v>
      </c>
    </row>
    <row r="48" spans="1:21">
      <c r="M48" s="242"/>
    </row>
    <row r="49" spans="13:13">
      <c r="M49" s="242"/>
    </row>
  </sheetData>
  <autoFilter ref="A2:Y32">
    <filterColumn colId="18">
      <filters blank="1">
        <filter val="1,218.00"/>
        <filter val="1,271.00"/>
        <filter val="1,525.80"/>
        <filter val="1.00"/>
        <filter val="178.00"/>
        <filter val="196.00"/>
        <filter val="3,252.00"/>
        <filter val="3,277.00"/>
        <filter val="3,574.00"/>
        <filter val="420.00"/>
        <filter val="434.00"/>
        <filter val="57.00"/>
        <filter val="66.00"/>
        <filter val="68.00"/>
        <filter val="73.00"/>
      </filters>
    </filterColumn>
  </autoFilter>
  <mergeCells count="18">
    <mergeCell ref="V1:W1"/>
    <mergeCell ref="X1:Y1"/>
    <mergeCell ref="A26:B26"/>
    <mergeCell ref="G26:H26"/>
    <mergeCell ref="M26:N26"/>
    <mergeCell ref="U26:V26"/>
    <mergeCell ref="B1:C1"/>
    <mergeCell ref="D1:E1"/>
    <mergeCell ref="H1:I1"/>
    <mergeCell ref="J1:K1"/>
    <mergeCell ref="N1:O1"/>
    <mergeCell ref="P1:Q1"/>
    <mergeCell ref="A27:B27"/>
    <mergeCell ref="G27:H27"/>
    <mergeCell ref="M27:N27"/>
    <mergeCell ref="U27:V27"/>
    <mergeCell ref="D30:E30"/>
    <mergeCell ref="F30:G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C32" sqref="C32"/>
    </sheetView>
  </sheetViews>
  <sheetFormatPr defaultColWidth="9.109375" defaultRowHeight="14.4"/>
  <cols>
    <col min="1" max="1" width="18.109375" style="229" customWidth="1"/>
    <col min="2" max="2" width="9.88671875" style="229" customWidth="1"/>
    <col min="3" max="3" width="9.109375" style="229"/>
    <col min="4" max="4" width="11.5546875" style="229" customWidth="1"/>
    <col min="5" max="5" width="19.109375" style="229" customWidth="1"/>
    <col min="6" max="8" width="9.109375" style="229"/>
    <col min="9" max="9" width="17.5546875" style="229" customWidth="1"/>
    <col min="10" max="12" width="9.109375" style="229"/>
    <col min="13" max="13" width="14" style="229" customWidth="1"/>
    <col min="14" max="16384" width="9.109375" style="229"/>
  </cols>
  <sheetData>
    <row r="1" spans="1:16">
      <c r="B1" s="325">
        <v>2024</v>
      </c>
      <c r="C1" s="325"/>
      <c r="F1" s="325">
        <v>2025</v>
      </c>
      <c r="G1" s="325"/>
      <c r="J1" s="325">
        <v>2026</v>
      </c>
      <c r="K1" s="325"/>
      <c r="N1" s="325">
        <v>2027</v>
      </c>
      <c r="O1" s="325"/>
    </row>
    <row r="2" spans="1:16">
      <c r="A2" s="239"/>
      <c r="B2" s="239" t="s">
        <v>327</v>
      </c>
      <c r="C2" s="239" t="s">
        <v>60</v>
      </c>
      <c r="E2" s="239"/>
      <c r="F2" s="239" t="s">
        <v>327</v>
      </c>
      <c r="G2" s="239" t="s">
        <v>60</v>
      </c>
    </row>
    <row r="3" spans="1:16" ht="52.8">
      <c r="A3" s="232" t="s">
        <v>328</v>
      </c>
      <c r="B3" s="233">
        <v>12072</v>
      </c>
      <c r="C3" s="234">
        <v>3018</v>
      </c>
      <c r="D3" s="229">
        <f>B3/24</f>
        <v>503</v>
      </c>
      <c r="E3" s="232" t="s">
        <v>328</v>
      </c>
      <c r="F3" s="239">
        <v>12408</v>
      </c>
      <c r="G3" s="234">
        <v>3102</v>
      </c>
      <c r="H3" s="232">
        <f>F3/24</f>
        <v>517</v>
      </c>
      <c r="I3" s="232" t="s">
        <v>328</v>
      </c>
      <c r="J3" s="232">
        <v>22344</v>
      </c>
      <c r="K3" s="234">
        <v>5586</v>
      </c>
      <c r="L3" s="229">
        <f>J3/24</f>
        <v>931</v>
      </c>
      <c r="M3" s="232" t="s">
        <v>328</v>
      </c>
      <c r="N3" s="232">
        <v>21480</v>
      </c>
      <c r="O3" s="234">
        <v>5370</v>
      </c>
      <c r="P3" s="229">
        <f>N3/24</f>
        <v>895</v>
      </c>
    </row>
    <row r="4" spans="1:16">
      <c r="A4" s="322"/>
      <c r="B4" s="322"/>
      <c r="C4" s="240">
        <f>SUM(C3:C3)</f>
        <v>3018</v>
      </c>
      <c r="E4" s="322"/>
      <c r="F4" s="322"/>
      <c r="G4" s="240">
        <v>3102</v>
      </c>
      <c r="I4" s="322"/>
      <c r="J4" s="322"/>
      <c r="K4" s="240">
        <f>SUM(K3:K3)</f>
        <v>5586</v>
      </c>
      <c r="M4" s="322"/>
      <c r="N4" s="322"/>
      <c r="O4" s="240">
        <f>SUM(O3)</f>
        <v>5370</v>
      </c>
    </row>
    <row r="5" spans="1:16">
      <c r="A5" s="329" t="s">
        <v>329</v>
      </c>
      <c r="B5" s="322"/>
      <c r="C5" s="240">
        <f>20*C4/100</f>
        <v>603.6</v>
      </c>
      <c r="E5" s="329" t="s">
        <v>329</v>
      </c>
      <c r="F5" s="322"/>
      <c r="G5" s="240">
        <f>20*G4/100</f>
        <v>620.4</v>
      </c>
      <c r="I5" s="329" t="s">
        <v>329</v>
      </c>
      <c r="J5" s="322"/>
      <c r="K5" s="240">
        <f>20*K4/100</f>
        <v>1117.2</v>
      </c>
      <c r="M5" s="329" t="s">
        <v>329</v>
      </c>
      <c r="N5" s="322"/>
      <c r="O5" s="240">
        <f>20*O4/100</f>
        <v>1074</v>
      </c>
    </row>
    <row r="6" spans="1:16">
      <c r="A6" s="322"/>
      <c r="B6" s="322"/>
      <c r="C6" s="240">
        <f>SUM(C4:C5)</f>
        <v>3621.6</v>
      </c>
      <c r="E6" s="322"/>
      <c r="F6" s="322"/>
      <c r="G6" s="240">
        <f>SUM(G4:G5)</f>
        <v>3722.4</v>
      </c>
      <c r="I6" s="322"/>
      <c r="J6" s="322"/>
      <c r="K6" s="240">
        <f>SUM(K4:K5)</f>
        <v>6703.2</v>
      </c>
      <c r="M6" s="322"/>
      <c r="N6" s="322"/>
      <c r="O6" s="240">
        <f>SUM(O4:O5)</f>
        <v>6444</v>
      </c>
    </row>
    <row r="13" spans="1:16">
      <c r="F13" s="325" t="s">
        <v>330</v>
      </c>
      <c r="G13" s="325"/>
      <c r="H13" s="325"/>
      <c r="I13" s="242">
        <f>C4+G4+K4+O4</f>
        <v>17076</v>
      </c>
    </row>
    <row r="14" spans="1:16">
      <c r="F14" s="325" t="s">
        <v>329</v>
      </c>
      <c r="G14" s="325"/>
      <c r="H14" s="325"/>
      <c r="I14" s="242">
        <f>C5+G5+K5+O5</f>
        <v>3415.2</v>
      </c>
    </row>
    <row r="15" spans="1:16">
      <c r="F15" s="229" t="s">
        <v>331</v>
      </c>
      <c r="I15" s="242">
        <f>SUM(I13:I14)</f>
        <v>20491.2</v>
      </c>
    </row>
    <row r="22" spans="1:5">
      <c r="A22" s="263"/>
      <c r="B22" s="264"/>
      <c r="C22" s="264"/>
      <c r="D22" s="235"/>
    </row>
    <row r="25" spans="1:5">
      <c r="E25" s="242"/>
    </row>
  </sheetData>
  <mergeCells count="18">
    <mergeCell ref="B1:C1"/>
    <mergeCell ref="F1:G1"/>
    <mergeCell ref="J1:K1"/>
    <mergeCell ref="N1:O1"/>
    <mergeCell ref="A4:B4"/>
    <mergeCell ref="E4:F4"/>
    <mergeCell ref="I4:J4"/>
    <mergeCell ref="M4:N4"/>
    <mergeCell ref="M5:N5"/>
    <mergeCell ref="A6:B6"/>
    <mergeCell ref="E6:F6"/>
    <mergeCell ref="I6:J6"/>
    <mergeCell ref="M6:N6"/>
    <mergeCell ref="F13:H13"/>
    <mergeCell ref="F14:H14"/>
    <mergeCell ref="A5:B5"/>
    <mergeCell ref="E5:F5"/>
    <mergeCell ref="I5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workbookViewId="0">
      <selection activeCell="C32" sqref="C32"/>
    </sheetView>
  </sheetViews>
  <sheetFormatPr defaultColWidth="9.109375" defaultRowHeight="14.4"/>
  <cols>
    <col min="1" max="1" width="18.44140625" style="229" customWidth="1"/>
    <col min="2" max="2" width="17.109375" style="229" customWidth="1"/>
    <col min="3" max="3" width="13.109375" style="229" customWidth="1"/>
    <col min="4" max="4" width="9.109375" style="229"/>
    <col min="5" max="5" width="18.5546875" style="229" customWidth="1"/>
    <col min="6" max="16384" width="9.109375" style="229"/>
  </cols>
  <sheetData>
    <row r="2" spans="1:15">
      <c r="A2" s="265" t="s">
        <v>332</v>
      </c>
      <c r="B2" s="330">
        <v>2024</v>
      </c>
      <c r="C2" s="330"/>
      <c r="D2" s="330"/>
      <c r="E2" s="326">
        <v>2025</v>
      </c>
      <c r="F2" s="326"/>
      <c r="G2" s="326"/>
      <c r="H2" s="326">
        <v>2026</v>
      </c>
      <c r="I2" s="326"/>
      <c r="J2" s="326"/>
      <c r="K2" s="326">
        <v>2027</v>
      </c>
      <c r="L2" s="326"/>
      <c r="M2" s="326"/>
    </row>
    <row r="3" spans="1:15">
      <c r="A3" s="266"/>
      <c r="B3" s="267" t="s">
        <v>333</v>
      </c>
      <c r="C3" s="267" t="s">
        <v>334</v>
      </c>
      <c r="D3" s="267" t="s">
        <v>60</v>
      </c>
      <c r="E3" s="239"/>
      <c r="F3" s="239"/>
      <c r="G3" s="239"/>
      <c r="H3" s="239"/>
      <c r="I3" s="239"/>
      <c r="J3" s="239"/>
      <c r="K3" s="239"/>
      <c r="L3" s="239"/>
      <c r="M3" s="239"/>
    </row>
    <row r="4" spans="1:15" ht="66">
      <c r="A4" s="268" t="s">
        <v>335</v>
      </c>
      <c r="B4" s="269">
        <v>420</v>
      </c>
      <c r="C4" s="269">
        <f>B4*84</f>
        <v>35280</v>
      </c>
      <c r="D4" s="269">
        <v>1995</v>
      </c>
      <c r="E4" s="269">
        <f>B4</f>
        <v>420</v>
      </c>
      <c r="F4" s="269">
        <f>C4</f>
        <v>35280</v>
      </c>
      <c r="G4" s="269">
        <f>D4</f>
        <v>1995</v>
      </c>
      <c r="H4" s="269">
        <f>B4</f>
        <v>420</v>
      </c>
      <c r="I4" s="269">
        <f>C4</f>
        <v>35280</v>
      </c>
      <c r="J4" s="269">
        <f>D4</f>
        <v>1995</v>
      </c>
      <c r="K4" s="239"/>
      <c r="L4" s="239"/>
      <c r="M4" s="269">
        <f>J4</f>
        <v>1995</v>
      </c>
    </row>
    <row r="5" spans="1:15" ht="79.2">
      <c r="A5" s="268" t="s">
        <v>336</v>
      </c>
      <c r="B5" s="269">
        <v>280</v>
      </c>
      <c r="C5" s="269">
        <f>B5*84</f>
        <v>23520</v>
      </c>
      <c r="D5" s="269">
        <v>1758</v>
      </c>
      <c r="E5" s="269">
        <f t="shared" ref="E5:G6" si="0">B5</f>
        <v>280</v>
      </c>
      <c r="F5" s="269">
        <f t="shared" si="0"/>
        <v>23520</v>
      </c>
      <c r="G5" s="269">
        <f t="shared" si="0"/>
        <v>1758</v>
      </c>
      <c r="H5" s="269">
        <f t="shared" ref="H5:J6" si="1">B5</f>
        <v>280</v>
      </c>
      <c r="I5" s="269">
        <f t="shared" si="1"/>
        <v>23520</v>
      </c>
      <c r="J5" s="269">
        <f t="shared" si="1"/>
        <v>1758</v>
      </c>
      <c r="K5" s="239"/>
      <c r="L5" s="239"/>
      <c r="M5" s="269">
        <f t="shared" ref="M5:M6" si="2">J5</f>
        <v>1758</v>
      </c>
    </row>
    <row r="6" spans="1:15" ht="39.6">
      <c r="A6" s="268" t="s">
        <v>287</v>
      </c>
      <c r="B6" s="269">
        <v>100</v>
      </c>
      <c r="C6" s="269">
        <f>B6*100</f>
        <v>10000</v>
      </c>
      <c r="D6" s="269">
        <v>358</v>
      </c>
      <c r="E6" s="269">
        <f t="shared" si="0"/>
        <v>100</v>
      </c>
      <c r="F6" s="269">
        <f t="shared" si="0"/>
        <v>10000</v>
      </c>
      <c r="G6" s="269">
        <f t="shared" si="0"/>
        <v>358</v>
      </c>
      <c r="H6" s="269">
        <f t="shared" si="1"/>
        <v>100</v>
      </c>
      <c r="I6" s="269">
        <f t="shared" si="1"/>
        <v>10000</v>
      </c>
      <c r="J6" s="269">
        <f t="shared" si="1"/>
        <v>358</v>
      </c>
      <c r="K6" s="239"/>
      <c r="L6" s="239"/>
      <c r="M6" s="269">
        <f t="shared" si="2"/>
        <v>358</v>
      </c>
    </row>
    <row r="7" spans="1:15">
      <c r="A7" s="270">
        <v>2024</v>
      </c>
      <c r="B7" s="271"/>
      <c r="C7" s="271"/>
      <c r="D7" s="272">
        <f>SUM(D4:D6)</f>
        <v>4111</v>
      </c>
      <c r="G7" s="253">
        <f>SUM(G4:G6)</f>
        <v>4111</v>
      </c>
      <c r="J7" s="253">
        <f>SUM(J4:J6)</f>
        <v>4111</v>
      </c>
      <c r="M7" s="253">
        <f>SUM(M4:M6)</f>
        <v>4111</v>
      </c>
      <c r="O7" s="242">
        <f>J7+G7+D7</f>
        <v>12333</v>
      </c>
    </row>
    <row r="8" spans="1:15">
      <c r="A8" s="254"/>
      <c r="B8" s="244"/>
      <c r="C8" s="244" t="s">
        <v>320</v>
      </c>
      <c r="D8" s="255">
        <f>20*D7/100</f>
        <v>822.2</v>
      </c>
      <c r="G8" s="253">
        <f>D8</f>
        <v>822.2</v>
      </c>
      <c r="J8" s="253">
        <f>G8</f>
        <v>822.2</v>
      </c>
      <c r="M8" s="253"/>
    </row>
    <row r="9" spans="1:15">
      <c r="A9" s="265"/>
      <c r="B9" s="265"/>
      <c r="C9" s="273" t="s">
        <v>337</v>
      </c>
      <c r="D9" s="274">
        <f>D7+D8</f>
        <v>4933.2</v>
      </c>
      <c r="G9" s="274">
        <f>D9</f>
        <v>4933.2</v>
      </c>
      <c r="J9" s="274">
        <f>G9</f>
        <v>4933.2</v>
      </c>
    </row>
    <row r="10" spans="1:15">
      <c r="A10" s="265"/>
      <c r="B10" s="265"/>
      <c r="C10" s="265"/>
      <c r="D10" s="275"/>
    </row>
    <row r="11" spans="1:15">
      <c r="A11" s="265"/>
      <c r="B11" s="265"/>
      <c r="C11" s="265"/>
      <c r="D11" s="275"/>
    </row>
    <row r="12" spans="1:15">
      <c r="A12" s="276" t="s">
        <v>338</v>
      </c>
      <c r="B12" s="277" t="s">
        <v>339</v>
      </c>
      <c r="C12" s="277" t="s">
        <v>60</v>
      </c>
      <c r="D12" s="278" t="s">
        <v>320</v>
      </c>
      <c r="E12" s="278" t="s">
        <v>340</v>
      </c>
      <c r="I12" s="229">
        <f>D9*3</f>
        <v>14799.599999999999</v>
      </c>
    </row>
    <row r="13" spans="1:15">
      <c r="A13" s="279">
        <v>2024</v>
      </c>
      <c r="B13" s="278">
        <v>1270080</v>
      </c>
      <c r="C13" s="278">
        <v>11303.7</v>
      </c>
      <c r="D13" s="278">
        <f>20*C13/100</f>
        <v>2260.7399999999998</v>
      </c>
      <c r="E13" s="280">
        <f>C13+D13</f>
        <v>13564.44</v>
      </c>
      <c r="F13" s="281">
        <f>B13/100</f>
        <v>12700.8</v>
      </c>
    </row>
    <row r="14" spans="1:15">
      <c r="A14" s="279">
        <v>2025</v>
      </c>
      <c r="B14" s="278">
        <v>1350540</v>
      </c>
      <c r="C14" s="278">
        <v>12019.8</v>
      </c>
      <c r="D14" s="278">
        <f t="shared" ref="D14:D17" si="3">20*C14/100</f>
        <v>2403.96</v>
      </c>
      <c r="E14" s="280">
        <f t="shared" ref="E14:E17" si="4">C14+D14</f>
        <v>14423.759999999998</v>
      </c>
      <c r="F14" s="281">
        <f t="shared" ref="F14:F15" si="5">B14/100</f>
        <v>13505.4</v>
      </c>
    </row>
    <row r="15" spans="1:15">
      <c r="A15" s="279">
        <v>2026</v>
      </c>
      <c r="B15" s="278">
        <v>1446390</v>
      </c>
      <c r="C15" s="278">
        <v>12872.9</v>
      </c>
      <c r="D15" s="278">
        <f t="shared" si="3"/>
        <v>2574.58</v>
      </c>
      <c r="E15" s="280">
        <f t="shared" si="4"/>
        <v>15447.48</v>
      </c>
      <c r="F15" s="281">
        <f t="shared" si="5"/>
        <v>14463.9</v>
      </c>
    </row>
    <row r="16" spans="1:15">
      <c r="A16" s="276"/>
      <c r="B16" s="277"/>
      <c r="C16" s="277"/>
      <c r="D16" s="278"/>
      <c r="E16" s="278"/>
    </row>
    <row r="17" spans="1:5">
      <c r="A17" s="276" t="s">
        <v>341</v>
      </c>
      <c r="B17" s="278">
        <v>1446390</v>
      </c>
      <c r="C17" s="278">
        <v>12873</v>
      </c>
      <c r="D17" s="278">
        <f t="shared" si="3"/>
        <v>2574.6</v>
      </c>
      <c r="E17" s="278">
        <f t="shared" si="4"/>
        <v>15447.6</v>
      </c>
    </row>
  </sheetData>
  <mergeCells count="4">
    <mergeCell ref="B2:D2"/>
    <mergeCell ref="E2:G2"/>
    <mergeCell ref="H2:J2"/>
    <mergeCell ref="K2:M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76" zoomScaleNormal="76" workbookViewId="0">
      <selection activeCell="C32" sqref="C32"/>
    </sheetView>
  </sheetViews>
  <sheetFormatPr defaultColWidth="9.109375" defaultRowHeight="14.4"/>
  <cols>
    <col min="1" max="1" width="41.5546875" style="229" customWidth="1"/>
    <col min="2" max="2" width="11.33203125" style="229" bestFit="1" customWidth="1"/>
    <col min="3" max="3" width="15.44140625" style="229" customWidth="1"/>
    <col min="4" max="4" width="14.6640625" style="229" customWidth="1"/>
    <col min="5" max="5" width="42.109375" style="229" customWidth="1"/>
    <col min="6" max="6" width="9.109375" style="229"/>
    <col min="7" max="7" width="11.33203125" style="229" bestFit="1" customWidth="1"/>
    <col min="8" max="8" width="9.109375" style="229"/>
    <col min="9" max="9" width="33.44140625" style="229" customWidth="1"/>
    <col min="10" max="10" width="14.88671875" style="229" customWidth="1"/>
    <col min="11" max="11" width="12.88671875" style="229" customWidth="1"/>
    <col min="12" max="16384" width="9.109375" style="229"/>
  </cols>
  <sheetData>
    <row r="1" spans="1:11" ht="31.2">
      <c r="A1" s="228" t="s">
        <v>253</v>
      </c>
      <c r="E1" s="228" t="s">
        <v>256</v>
      </c>
      <c r="I1" s="228" t="s">
        <v>256</v>
      </c>
    </row>
    <row r="2" spans="1:11" ht="132">
      <c r="A2" s="230" t="s">
        <v>263</v>
      </c>
      <c r="B2" s="230" t="s">
        <v>264</v>
      </c>
      <c r="C2" s="230" t="s">
        <v>265</v>
      </c>
      <c r="D2" s="282"/>
      <c r="E2" s="230" t="s">
        <v>266</v>
      </c>
      <c r="F2" s="230" t="s">
        <v>267</v>
      </c>
      <c r="G2" s="230" t="s">
        <v>268</v>
      </c>
      <c r="I2" s="230" t="s">
        <v>266</v>
      </c>
      <c r="J2" s="230" t="s">
        <v>267</v>
      </c>
      <c r="K2" s="230" t="s">
        <v>268</v>
      </c>
    </row>
    <row r="3" spans="1:11" ht="22.5" customHeight="1">
      <c r="A3" s="232" t="s">
        <v>269</v>
      </c>
      <c r="B3" s="233">
        <v>2940</v>
      </c>
      <c r="C3" s="234">
        <v>1250.97</v>
      </c>
      <c r="D3" s="234"/>
      <c r="E3" s="232" t="s">
        <v>269</v>
      </c>
      <c r="F3" s="233">
        <v>7320</v>
      </c>
      <c r="G3" s="234">
        <v>3114.66</v>
      </c>
      <c r="I3" s="232" t="s">
        <v>342</v>
      </c>
      <c r="J3" s="237">
        <f>F3-B3</f>
        <v>4380</v>
      </c>
      <c r="K3" s="238">
        <f>G3-C3</f>
        <v>1863.6899999999998</v>
      </c>
    </row>
    <row r="4" spans="1:11" ht="22.5" customHeight="1">
      <c r="A4" s="232" t="s">
        <v>270</v>
      </c>
      <c r="B4" s="233"/>
      <c r="C4" s="234"/>
      <c r="D4" s="234"/>
      <c r="E4" s="232" t="s">
        <v>270</v>
      </c>
      <c r="F4" s="233">
        <v>329752</v>
      </c>
      <c r="G4" s="234">
        <v>596360</v>
      </c>
      <c r="I4" s="232" t="s">
        <v>271</v>
      </c>
      <c r="J4" s="237">
        <f t="shared" ref="J4:K25" si="0">F4-B4</f>
        <v>329752</v>
      </c>
      <c r="K4" s="238">
        <f t="shared" si="0"/>
        <v>596360</v>
      </c>
    </row>
    <row r="5" spans="1:11" ht="22.5" customHeight="1">
      <c r="A5" s="232" t="s">
        <v>272</v>
      </c>
      <c r="B5" s="236"/>
      <c r="C5" s="236"/>
      <c r="D5" s="236"/>
      <c r="E5" s="232" t="s">
        <v>272</v>
      </c>
      <c r="F5" s="233">
        <v>1900</v>
      </c>
      <c r="G5" s="234">
        <v>679.82</v>
      </c>
      <c r="I5" s="232" t="s">
        <v>273</v>
      </c>
      <c r="J5" s="237">
        <v>1900</v>
      </c>
      <c r="K5" s="238">
        <v>679.82</v>
      </c>
    </row>
    <row r="6" spans="1:11" ht="22.5" customHeight="1">
      <c r="A6" s="232" t="s">
        <v>274</v>
      </c>
      <c r="B6" s="233">
        <v>113800</v>
      </c>
      <c r="C6" s="234">
        <v>91950.399999999994</v>
      </c>
      <c r="D6" s="234"/>
      <c r="E6" s="232" t="s">
        <v>274</v>
      </c>
      <c r="F6" s="233">
        <v>441500</v>
      </c>
      <c r="G6" s="234">
        <v>356732</v>
      </c>
      <c r="I6" s="232" t="s">
        <v>275</v>
      </c>
      <c r="J6" s="237">
        <f t="shared" si="0"/>
        <v>327700</v>
      </c>
      <c r="K6" s="238">
        <f t="shared" si="0"/>
        <v>264781.59999999998</v>
      </c>
    </row>
    <row r="7" spans="1:11" ht="22.5" customHeight="1">
      <c r="A7" s="232" t="s">
        <v>276</v>
      </c>
      <c r="B7" s="233">
        <v>1200</v>
      </c>
      <c r="C7" s="234">
        <v>540</v>
      </c>
      <c r="D7" s="234"/>
      <c r="E7" s="232" t="s">
        <v>276</v>
      </c>
      <c r="F7" s="233">
        <v>3000</v>
      </c>
      <c r="G7" s="234">
        <v>1350</v>
      </c>
      <c r="I7" s="232" t="s">
        <v>277</v>
      </c>
      <c r="J7" s="237">
        <f t="shared" si="0"/>
        <v>1800</v>
      </c>
      <c r="K7" s="238">
        <f t="shared" si="0"/>
        <v>810</v>
      </c>
    </row>
    <row r="8" spans="1:11" ht="22.5" customHeight="1">
      <c r="A8" s="232" t="s">
        <v>278</v>
      </c>
      <c r="B8" s="233">
        <v>390300</v>
      </c>
      <c r="C8" s="234">
        <v>99136.2</v>
      </c>
      <c r="D8" s="234"/>
      <c r="E8" s="232" t="s">
        <v>278</v>
      </c>
      <c r="F8" s="233">
        <v>970200</v>
      </c>
      <c r="G8" s="234">
        <v>246430.8</v>
      </c>
      <c r="I8" s="232" t="s">
        <v>279</v>
      </c>
      <c r="J8" s="237">
        <f t="shared" si="0"/>
        <v>579900</v>
      </c>
      <c r="K8" s="238">
        <f t="shared" si="0"/>
        <v>147294.59999999998</v>
      </c>
    </row>
    <row r="9" spans="1:11" ht="22.5" customHeight="1">
      <c r="A9" s="232" t="s">
        <v>280</v>
      </c>
      <c r="B9" s="236" t="s">
        <v>305</v>
      </c>
      <c r="C9" s="236" t="s">
        <v>305</v>
      </c>
      <c r="D9" s="236"/>
      <c r="E9" s="232" t="s">
        <v>280</v>
      </c>
      <c r="F9" s="236" t="s">
        <v>305</v>
      </c>
      <c r="G9" s="236" t="s">
        <v>305</v>
      </c>
      <c r="I9" s="232" t="s">
        <v>281</v>
      </c>
      <c r="J9" s="237"/>
      <c r="K9" s="238"/>
    </row>
    <row r="10" spans="1:11" ht="22.5" customHeight="1">
      <c r="A10" s="232" t="s">
        <v>282</v>
      </c>
      <c r="B10" s="236" t="s">
        <v>305</v>
      </c>
      <c r="C10" s="236" t="s">
        <v>305</v>
      </c>
      <c r="D10" s="236"/>
      <c r="E10" s="232" t="s">
        <v>282</v>
      </c>
      <c r="F10" s="233">
        <v>1200</v>
      </c>
      <c r="G10" s="234">
        <v>2125</v>
      </c>
      <c r="I10" s="232" t="s">
        <v>283</v>
      </c>
      <c r="J10" s="237">
        <v>1200</v>
      </c>
      <c r="K10" s="238">
        <v>2125</v>
      </c>
    </row>
    <row r="11" spans="1:11" ht="22.5" customHeight="1">
      <c r="A11" s="232" t="s">
        <v>284</v>
      </c>
      <c r="B11" s="233">
        <v>225120</v>
      </c>
      <c r="C11" s="234">
        <v>569500</v>
      </c>
      <c r="D11" s="234"/>
      <c r="E11" s="232" t="s">
        <v>284</v>
      </c>
      <c r="F11" s="233">
        <v>535584</v>
      </c>
      <c r="G11" s="234">
        <v>1354900</v>
      </c>
      <c r="I11" s="232" t="s">
        <v>285</v>
      </c>
      <c r="J11" s="237">
        <f t="shared" si="0"/>
        <v>310464</v>
      </c>
      <c r="K11" s="238">
        <f t="shared" si="0"/>
        <v>785400</v>
      </c>
    </row>
    <row r="12" spans="1:11" ht="22.5" customHeight="1">
      <c r="A12" s="232" t="s">
        <v>286</v>
      </c>
      <c r="B12" s="236">
        <v>6800</v>
      </c>
      <c r="C12" s="236">
        <v>243.44</v>
      </c>
      <c r="D12" s="236"/>
      <c r="E12" s="232" t="s">
        <v>286</v>
      </c>
      <c r="F12" s="233">
        <v>6800</v>
      </c>
      <c r="G12" s="234">
        <v>243.44</v>
      </c>
      <c r="I12" s="232" t="s">
        <v>287</v>
      </c>
      <c r="J12" s="237"/>
      <c r="K12" s="238"/>
    </row>
    <row r="13" spans="1:11" ht="22.5" customHeight="1">
      <c r="A13" s="232" t="s">
        <v>288</v>
      </c>
      <c r="B13" s="233">
        <v>73248</v>
      </c>
      <c r="C13" s="234">
        <v>3041.1</v>
      </c>
      <c r="D13" s="234"/>
      <c r="E13" s="232" t="s">
        <v>288</v>
      </c>
      <c r="F13" s="233">
        <v>73248</v>
      </c>
      <c r="G13" s="234">
        <v>3041.1</v>
      </c>
      <c r="I13" s="232" t="s">
        <v>289</v>
      </c>
      <c r="J13" s="237"/>
      <c r="K13" s="238"/>
    </row>
    <row r="14" spans="1:11" ht="22.5" customHeight="1">
      <c r="A14" s="232" t="s">
        <v>290</v>
      </c>
      <c r="B14" s="236" t="s">
        <v>305</v>
      </c>
      <c r="C14" s="236" t="s">
        <v>305</v>
      </c>
      <c r="D14" s="236"/>
      <c r="E14" s="232" t="s">
        <v>290</v>
      </c>
      <c r="F14" s="236" t="s">
        <v>305</v>
      </c>
      <c r="G14" s="236" t="s">
        <v>305</v>
      </c>
      <c r="I14" s="232" t="s">
        <v>291</v>
      </c>
      <c r="J14" s="237"/>
      <c r="K14" s="238"/>
    </row>
    <row r="15" spans="1:11" ht="22.5" customHeight="1">
      <c r="A15" s="232" t="s">
        <v>292</v>
      </c>
      <c r="B15" s="236" t="s">
        <v>305</v>
      </c>
      <c r="C15" s="236" t="s">
        <v>305</v>
      </c>
      <c r="D15" s="236"/>
      <c r="E15" s="232" t="s">
        <v>292</v>
      </c>
      <c r="F15" s="236" t="s">
        <v>305</v>
      </c>
      <c r="G15" s="236" t="s">
        <v>305</v>
      </c>
      <c r="I15" s="232" t="s">
        <v>293</v>
      </c>
      <c r="J15" s="237"/>
      <c r="K15" s="238"/>
    </row>
    <row r="16" spans="1:11" ht="22.5" customHeight="1">
      <c r="A16" s="232" t="s">
        <v>294</v>
      </c>
      <c r="B16" s="233">
        <v>672</v>
      </c>
      <c r="C16" s="234">
        <v>13.23</v>
      </c>
      <c r="D16" s="234"/>
      <c r="E16" s="232" t="s">
        <v>294</v>
      </c>
      <c r="F16" s="233">
        <v>672</v>
      </c>
      <c r="G16" s="234">
        <v>13.23</v>
      </c>
      <c r="I16" s="232" t="s">
        <v>295</v>
      </c>
      <c r="J16" s="237"/>
      <c r="K16" s="238"/>
    </row>
    <row r="17" spans="1:11" ht="22.5" customHeight="1">
      <c r="A17" s="232" t="s">
        <v>296</v>
      </c>
      <c r="B17" s="233">
        <v>2700</v>
      </c>
      <c r="C17" s="234">
        <v>335.07</v>
      </c>
      <c r="D17" s="234"/>
      <c r="E17" s="232" t="s">
        <v>296</v>
      </c>
      <c r="F17" s="233">
        <v>10200</v>
      </c>
      <c r="G17" s="234">
        <v>1265.82</v>
      </c>
      <c r="I17" s="232" t="s">
        <v>297</v>
      </c>
      <c r="J17" s="237">
        <f t="shared" si="0"/>
        <v>7500</v>
      </c>
      <c r="K17" s="238">
        <f t="shared" si="0"/>
        <v>930.75</v>
      </c>
    </row>
    <row r="18" spans="1:11" ht="22.5" customHeight="1">
      <c r="A18" s="232" t="s">
        <v>298</v>
      </c>
      <c r="B18" s="233">
        <v>930800</v>
      </c>
      <c r="C18" s="234">
        <v>27644.76</v>
      </c>
      <c r="D18" s="234"/>
      <c r="E18" s="232" t="s">
        <v>298</v>
      </c>
      <c r="F18" s="233">
        <v>1898200</v>
      </c>
      <c r="G18" s="234">
        <v>56376.54</v>
      </c>
      <c r="I18" s="232" t="s">
        <v>299</v>
      </c>
      <c r="J18" s="237">
        <f t="shared" si="0"/>
        <v>967400</v>
      </c>
      <c r="K18" s="238">
        <f t="shared" si="0"/>
        <v>28731.780000000002</v>
      </c>
    </row>
    <row r="19" spans="1:11" ht="22.5" customHeight="1">
      <c r="A19" s="232" t="s">
        <v>300</v>
      </c>
      <c r="B19" s="233">
        <v>7200</v>
      </c>
      <c r="C19" s="234">
        <v>1963.44</v>
      </c>
      <c r="D19" s="234"/>
      <c r="E19" s="232" t="s">
        <v>300</v>
      </c>
      <c r="F19" s="233">
        <v>25000</v>
      </c>
      <c r="G19" s="234">
        <v>6817.5</v>
      </c>
      <c r="I19" s="232" t="s">
        <v>301</v>
      </c>
      <c r="J19" s="237">
        <f t="shared" si="0"/>
        <v>17800</v>
      </c>
      <c r="K19" s="238">
        <f t="shared" si="0"/>
        <v>4854.0599999999995</v>
      </c>
    </row>
    <row r="20" spans="1:11" ht="22.5" customHeight="1">
      <c r="A20" s="232" t="s">
        <v>302</v>
      </c>
      <c r="B20" s="233">
        <v>88300</v>
      </c>
      <c r="C20" s="234">
        <v>18896.2</v>
      </c>
      <c r="D20" s="234"/>
      <c r="E20" s="232" t="s">
        <v>302</v>
      </c>
      <c r="F20" s="233">
        <v>324300</v>
      </c>
      <c r="G20" s="234">
        <v>69400.2</v>
      </c>
      <c r="I20" s="232" t="s">
        <v>303</v>
      </c>
      <c r="J20" s="237">
        <f t="shared" si="0"/>
        <v>236000</v>
      </c>
      <c r="K20" s="238">
        <f t="shared" si="0"/>
        <v>50504</v>
      </c>
    </row>
    <row r="21" spans="1:11" ht="22.5" customHeight="1">
      <c r="A21" s="232" t="s">
        <v>304</v>
      </c>
      <c r="B21" s="236" t="s">
        <v>305</v>
      </c>
      <c r="C21" s="236" t="s">
        <v>305</v>
      </c>
      <c r="D21" s="236"/>
      <c r="E21" s="232" t="s">
        <v>304</v>
      </c>
      <c r="F21" s="236" t="s">
        <v>305</v>
      </c>
      <c r="G21" s="236" t="s">
        <v>305</v>
      </c>
      <c r="I21" s="232" t="s">
        <v>306</v>
      </c>
      <c r="J21" s="237"/>
      <c r="K21" s="238"/>
    </row>
    <row r="22" spans="1:11" ht="22.5" customHeight="1">
      <c r="A22" s="232" t="s">
        <v>307</v>
      </c>
      <c r="B22" s="233" t="s">
        <v>305</v>
      </c>
      <c r="C22" s="234" t="s">
        <v>305</v>
      </c>
      <c r="D22" s="234"/>
      <c r="E22" s="232" t="s">
        <v>307</v>
      </c>
      <c r="F22" s="233">
        <v>42000</v>
      </c>
      <c r="G22" s="234">
        <v>6720</v>
      </c>
      <c r="I22" s="232" t="s">
        <v>308</v>
      </c>
      <c r="J22" s="237">
        <v>42000</v>
      </c>
      <c r="K22" s="238">
        <v>6720</v>
      </c>
    </row>
    <row r="23" spans="1:11" ht="22.5" customHeight="1">
      <c r="A23" s="232" t="s">
        <v>309</v>
      </c>
      <c r="B23" s="233">
        <v>9516</v>
      </c>
      <c r="C23" s="234">
        <v>12550.14</v>
      </c>
      <c r="D23" s="234"/>
      <c r="E23" s="232" t="s">
        <v>309</v>
      </c>
      <c r="F23" s="233">
        <v>31668</v>
      </c>
      <c r="G23" s="234">
        <v>41765.22</v>
      </c>
      <c r="I23" s="232" t="s">
        <v>310</v>
      </c>
      <c r="J23" s="237">
        <f t="shared" si="0"/>
        <v>22152</v>
      </c>
      <c r="K23" s="238">
        <f t="shared" si="0"/>
        <v>29215.08</v>
      </c>
    </row>
    <row r="24" spans="1:11" ht="22.5" customHeight="1">
      <c r="A24" s="232" t="s">
        <v>311</v>
      </c>
      <c r="B24" s="236" t="s">
        <v>305</v>
      </c>
      <c r="C24" s="236" t="s">
        <v>305</v>
      </c>
      <c r="D24" s="236"/>
      <c r="E24" s="232" t="s">
        <v>311</v>
      </c>
      <c r="F24" s="236" t="s">
        <v>305</v>
      </c>
      <c r="G24" s="236" t="s">
        <v>305</v>
      </c>
      <c r="I24" s="232" t="s">
        <v>312</v>
      </c>
      <c r="J24" s="237"/>
      <c r="K24" s="238"/>
    </row>
    <row r="25" spans="1:11" ht="22.5" customHeight="1">
      <c r="A25" s="232" t="s">
        <v>313</v>
      </c>
      <c r="B25" s="233">
        <v>231840</v>
      </c>
      <c r="C25" s="234">
        <v>4830</v>
      </c>
      <c r="D25" s="234"/>
      <c r="E25" s="232" t="s">
        <v>313</v>
      </c>
      <c r="F25" s="233">
        <v>231840</v>
      </c>
      <c r="G25" s="234">
        <v>4830</v>
      </c>
      <c r="I25" s="232" t="s">
        <v>314</v>
      </c>
      <c r="J25" s="237">
        <f t="shared" si="0"/>
        <v>0</v>
      </c>
      <c r="K25" s="238">
        <f t="shared" si="0"/>
        <v>0</v>
      </c>
    </row>
    <row r="26" spans="1:11" ht="14.4" customHeight="1">
      <c r="A26" s="322" t="s">
        <v>316</v>
      </c>
      <c r="B26" s="322"/>
      <c r="C26" s="240">
        <f>SUM(C3:C25)</f>
        <v>831894.94999999984</v>
      </c>
      <c r="D26" s="240"/>
      <c r="E26" s="322" t="s">
        <v>343</v>
      </c>
      <c r="F26" s="322"/>
      <c r="G26" s="240">
        <f>SUM(G3:G25)</f>
        <v>2752165.3300000005</v>
      </c>
      <c r="I26" s="322" t="s">
        <v>343</v>
      </c>
      <c r="J26" s="322"/>
      <c r="K26" s="240">
        <f>SUM(K3:K25)</f>
        <v>1920270.3800000001</v>
      </c>
    </row>
    <row r="28" spans="1:11">
      <c r="K28" s="242"/>
    </row>
    <row r="29" spans="1:11">
      <c r="K29" s="242">
        <f>K26+C26</f>
        <v>2752165.33</v>
      </c>
    </row>
    <row r="32" spans="1:11">
      <c r="I32" s="242"/>
      <c r="K32" s="242">
        <f>G26-K29</f>
        <v>0</v>
      </c>
    </row>
  </sheetData>
  <mergeCells count="3">
    <mergeCell ref="A26:B26"/>
    <mergeCell ref="E26:F26"/>
    <mergeCell ref="I26:J2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C32" sqref="C32"/>
    </sheetView>
  </sheetViews>
  <sheetFormatPr defaultColWidth="9.109375" defaultRowHeight="14.4"/>
  <cols>
    <col min="1" max="1" width="37.109375" style="229" customWidth="1"/>
    <col min="2" max="2" width="9.109375" style="229"/>
    <col min="3" max="3" width="11.33203125" style="229" customWidth="1"/>
    <col min="4" max="4" width="11.109375" style="229" customWidth="1"/>
    <col min="5" max="5" width="37" style="229" customWidth="1"/>
    <col min="6" max="6" width="9.109375" style="229"/>
    <col min="7" max="7" width="11.33203125" style="229" bestFit="1" customWidth="1"/>
    <col min="8" max="8" width="9.109375" style="229"/>
    <col min="9" max="9" width="29.5546875" style="229" customWidth="1"/>
    <col min="10" max="10" width="9.109375" style="229"/>
    <col min="11" max="11" width="11.33203125" style="229" bestFit="1" customWidth="1"/>
    <col min="12" max="16384" width="9.109375" style="229"/>
  </cols>
  <sheetData>
    <row r="1" spans="1:11" ht="31.2">
      <c r="A1" s="228" t="s">
        <v>253</v>
      </c>
      <c r="E1" s="228" t="s">
        <v>256</v>
      </c>
      <c r="I1" s="228" t="s">
        <v>256</v>
      </c>
    </row>
    <row r="2" spans="1:11" ht="132">
      <c r="A2" s="230" t="s">
        <v>263</v>
      </c>
      <c r="B2" s="230" t="s">
        <v>264</v>
      </c>
      <c r="C2" s="230" t="s">
        <v>265</v>
      </c>
      <c r="E2" s="230" t="s">
        <v>266</v>
      </c>
      <c r="F2" s="230" t="s">
        <v>267</v>
      </c>
      <c r="G2" s="230" t="s">
        <v>268</v>
      </c>
      <c r="I2" s="230" t="s">
        <v>266</v>
      </c>
      <c r="J2" s="230" t="s">
        <v>267</v>
      </c>
      <c r="K2" s="230" t="s">
        <v>268</v>
      </c>
    </row>
    <row r="3" spans="1:11" ht="26.4">
      <c r="A3" s="232" t="s">
        <v>269</v>
      </c>
      <c r="B3" s="233">
        <v>11760</v>
      </c>
      <c r="C3" s="234">
        <v>5003.88</v>
      </c>
      <c r="E3" s="232" t="s">
        <v>342</v>
      </c>
      <c r="F3" s="233">
        <v>7320</v>
      </c>
      <c r="G3" s="234">
        <v>3114.66</v>
      </c>
      <c r="I3" s="232" t="s">
        <v>342</v>
      </c>
      <c r="J3" s="237">
        <f>B3-F3</f>
        <v>4440</v>
      </c>
      <c r="K3" s="238">
        <f>C3-G3</f>
        <v>1889.2200000000003</v>
      </c>
    </row>
    <row r="4" spans="1:11" ht="26.4">
      <c r="A4" s="232" t="s">
        <v>270</v>
      </c>
      <c r="B4" s="233">
        <v>671912</v>
      </c>
      <c r="C4" s="234">
        <v>1215160</v>
      </c>
      <c r="E4" s="232" t="s">
        <v>271</v>
      </c>
      <c r="F4" s="233">
        <v>329752</v>
      </c>
      <c r="G4" s="234">
        <v>596360</v>
      </c>
      <c r="I4" s="232" t="s">
        <v>271</v>
      </c>
      <c r="J4" s="236">
        <f t="shared" ref="J4:K25" si="0">B4-F4</f>
        <v>342160</v>
      </c>
      <c r="K4" s="236">
        <f t="shared" si="0"/>
        <v>618800</v>
      </c>
    </row>
    <row r="5" spans="1:11" ht="26.4">
      <c r="A5" s="232" t="s">
        <v>272</v>
      </c>
      <c r="B5" s="233">
        <v>6600</v>
      </c>
      <c r="C5" s="234">
        <v>2361.48</v>
      </c>
      <c r="E5" s="232" t="s">
        <v>273</v>
      </c>
      <c r="F5" s="233">
        <v>1900</v>
      </c>
      <c r="G5" s="234">
        <v>679.82</v>
      </c>
      <c r="I5" s="232" t="s">
        <v>273</v>
      </c>
      <c r="J5" s="236">
        <f t="shared" si="0"/>
        <v>4700</v>
      </c>
      <c r="K5" s="236">
        <f t="shared" si="0"/>
        <v>1681.6599999999999</v>
      </c>
    </row>
    <row r="6" spans="1:11" ht="26.4">
      <c r="A6" s="232" t="s">
        <v>274</v>
      </c>
      <c r="B6" s="233">
        <v>771300</v>
      </c>
      <c r="C6" s="234">
        <v>623210.4</v>
      </c>
      <c r="E6" s="232" t="s">
        <v>275</v>
      </c>
      <c r="F6" s="233">
        <v>441500</v>
      </c>
      <c r="G6" s="234">
        <v>356732</v>
      </c>
      <c r="I6" s="232" t="s">
        <v>275</v>
      </c>
      <c r="J6" s="236">
        <f t="shared" si="0"/>
        <v>329800</v>
      </c>
      <c r="K6" s="236">
        <f t="shared" si="0"/>
        <v>266478.40000000002</v>
      </c>
    </row>
    <row r="7" spans="1:11" ht="26.4">
      <c r="A7" s="232" t="s">
        <v>276</v>
      </c>
      <c r="B7" s="233">
        <v>5700</v>
      </c>
      <c r="C7" s="234">
        <v>2565</v>
      </c>
      <c r="E7" s="232" t="s">
        <v>277</v>
      </c>
      <c r="F7" s="233">
        <v>3000</v>
      </c>
      <c r="G7" s="234">
        <v>1350</v>
      </c>
      <c r="I7" s="232" t="s">
        <v>277</v>
      </c>
      <c r="J7" s="236">
        <f t="shared" si="0"/>
        <v>2700</v>
      </c>
      <c r="K7" s="236">
        <f t="shared" si="0"/>
        <v>1215</v>
      </c>
    </row>
    <row r="8" spans="1:11" ht="26.4">
      <c r="A8" s="232" t="s">
        <v>278</v>
      </c>
      <c r="B8" s="233">
        <v>1556200</v>
      </c>
      <c r="C8" s="234">
        <v>395274.8</v>
      </c>
      <c r="E8" s="232" t="s">
        <v>279</v>
      </c>
      <c r="F8" s="233">
        <v>970200</v>
      </c>
      <c r="G8" s="234">
        <v>246430.8</v>
      </c>
      <c r="I8" s="232" t="s">
        <v>279</v>
      </c>
      <c r="J8" s="236">
        <f t="shared" si="0"/>
        <v>586000</v>
      </c>
      <c r="K8" s="236">
        <f t="shared" si="0"/>
        <v>148844</v>
      </c>
    </row>
    <row r="9" spans="1:11" ht="26.4">
      <c r="A9" s="232" t="s">
        <v>280</v>
      </c>
      <c r="B9" s="236" t="s">
        <v>305</v>
      </c>
      <c r="C9" s="236" t="s">
        <v>305</v>
      </c>
      <c r="E9" s="232" t="s">
        <v>281</v>
      </c>
      <c r="F9" s="236" t="s">
        <v>305</v>
      </c>
      <c r="G9" s="236" t="s">
        <v>305</v>
      </c>
      <c r="I9" s="232" t="s">
        <v>281</v>
      </c>
      <c r="J9" s="236"/>
      <c r="K9" s="236"/>
    </row>
    <row r="10" spans="1:11" ht="26.4">
      <c r="A10" s="232" t="s">
        <v>282</v>
      </c>
      <c r="B10" s="233">
        <v>3504</v>
      </c>
      <c r="C10" s="234">
        <v>6205</v>
      </c>
      <c r="E10" s="232" t="s">
        <v>283</v>
      </c>
      <c r="F10" s="233">
        <v>1200</v>
      </c>
      <c r="G10" s="234">
        <v>2125</v>
      </c>
      <c r="I10" s="232" t="s">
        <v>283</v>
      </c>
      <c r="J10" s="236">
        <f t="shared" si="0"/>
        <v>2304</v>
      </c>
      <c r="K10" s="236">
        <f t="shared" si="0"/>
        <v>4080</v>
      </c>
    </row>
    <row r="11" spans="1:11" ht="26.4">
      <c r="A11" s="232" t="s">
        <v>284</v>
      </c>
      <c r="B11" s="233">
        <v>854112</v>
      </c>
      <c r="C11" s="234">
        <v>2160700</v>
      </c>
      <c r="E11" s="232" t="s">
        <v>285</v>
      </c>
      <c r="F11" s="233">
        <v>535584</v>
      </c>
      <c r="G11" s="234">
        <v>1354900</v>
      </c>
      <c r="I11" s="232" t="s">
        <v>285</v>
      </c>
      <c r="J11" s="236">
        <f t="shared" si="0"/>
        <v>318528</v>
      </c>
      <c r="K11" s="236">
        <f t="shared" si="0"/>
        <v>805800</v>
      </c>
    </row>
    <row r="12" spans="1:11" ht="26.4">
      <c r="A12" s="232" t="s">
        <v>286</v>
      </c>
      <c r="B12" s="233">
        <v>6800</v>
      </c>
      <c r="C12" s="234">
        <v>243.44</v>
      </c>
      <c r="E12" s="232" t="s">
        <v>287</v>
      </c>
      <c r="F12" s="236">
        <v>6800</v>
      </c>
      <c r="G12" s="236">
        <v>243.44</v>
      </c>
      <c r="I12" s="232" t="s">
        <v>287</v>
      </c>
      <c r="J12" s="236"/>
      <c r="K12" s="236"/>
    </row>
    <row r="13" spans="1:11" ht="26.4">
      <c r="A13" s="232" t="s">
        <v>288</v>
      </c>
      <c r="B13" s="233">
        <v>73248</v>
      </c>
      <c r="C13" s="234">
        <v>3041.1</v>
      </c>
      <c r="E13" s="232" t="s">
        <v>289</v>
      </c>
      <c r="F13" s="233">
        <v>73248</v>
      </c>
      <c r="G13" s="234">
        <v>3041.1</v>
      </c>
      <c r="I13" s="232" t="s">
        <v>289</v>
      </c>
      <c r="J13" s="236">
        <f t="shared" si="0"/>
        <v>0</v>
      </c>
      <c r="K13" s="236">
        <f t="shared" si="0"/>
        <v>0</v>
      </c>
    </row>
    <row r="14" spans="1:11" ht="26.4">
      <c r="A14" s="232" t="s">
        <v>290</v>
      </c>
      <c r="B14" s="236" t="s">
        <v>305</v>
      </c>
      <c r="C14" s="236" t="s">
        <v>305</v>
      </c>
      <c r="E14" s="232" t="s">
        <v>291</v>
      </c>
      <c r="F14" s="236" t="s">
        <v>305</v>
      </c>
      <c r="G14" s="236" t="s">
        <v>305</v>
      </c>
      <c r="I14" s="232" t="s">
        <v>291</v>
      </c>
      <c r="J14" s="236"/>
      <c r="K14" s="236"/>
    </row>
    <row r="15" spans="1:11" ht="26.4">
      <c r="A15" s="232" t="s">
        <v>292</v>
      </c>
      <c r="B15" s="236" t="s">
        <v>305</v>
      </c>
      <c r="C15" s="236" t="s">
        <v>305</v>
      </c>
      <c r="E15" s="232" t="s">
        <v>293</v>
      </c>
      <c r="F15" s="236" t="s">
        <v>305</v>
      </c>
      <c r="G15" s="236" t="s">
        <v>305</v>
      </c>
      <c r="I15" s="232" t="s">
        <v>293</v>
      </c>
      <c r="J15" s="236"/>
      <c r="K15" s="236"/>
    </row>
    <row r="16" spans="1:11" ht="26.4">
      <c r="A16" s="232" t="s">
        <v>294</v>
      </c>
      <c r="B16" s="233">
        <v>672</v>
      </c>
      <c r="C16" s="234">
        <v>13.23</v>
      </c>
      <c r="E16" s="232" t="s">
        <v>295</v>
      </c>
      <c r="F16" s="233">
        <v>672</v>
      </c>
      <c r="G16" s="234">
        <v>13.23</v>
      </c>
      <c r="I16" s="232" t="s">
        <v>295</v>
      </c>
      <c r="J16" s="236">
        <f t="shared" si="0"/>
        <v>0</v>
      </c>
      <c r="K16" s="236">
        <f t="shared" si="0"/>
        <v>0</v>
      </c>
    </row>
    <row r="17" spans="1:11" ht="26.4">
      <c r="A17" s="232" t="s">
        <v>296</v>
      </c>
      <c r="B17" s="233">
        <v>17800</v>
      </c>
      <c r="C17" s="234">
        <v>2208.98</v>
      </c>
      <c r="E17" s="232" t="s">
        <v>297</v>
      </c>
      <c r="F17" s="233">
        <v>10200</v>
      </c>
      <c r="G17" s="234">
        <v>1265.82</v>
      </c>
      <c r="I17" s="232" t="s">
        <v>297</v>
      </c>
      <c r="J17" s="236">
        <f t="shared" si="0"/>
        <v>7600</v>
      </c>
      <c r="K17" s="236">
        <f t="shared" si="0"/>
        <v>943.16000000000008</v>
      </c>
    </row>
    <row r="18" spans="1:11" ht="26.4">
      <c r="A18" s="232" t="s">
        <v>298</v>
      </c>
      <c r="B18" s="233">
        <v>2866300</v>
      </c>
      <c r="C18" s="234">
        <v>85129.11</v>
      </c>
      <c r="E18" s="232" t="s">
        <v>299</v>
      </c>
      <c r="F18" s="233">
        <v>1898200</v>
      </c>
      <c r="G18" s="234">
        <v>56376.54</v>
      </c>
      <c r="I18" s="232" t="s">
        <v>299</v>
      </c>
      <c r="J18" s="236">
        <f t="shared" si="0"/>
        <v>968100</v>
      </c>
      <c r="K18" s="236">
        <f t="shared" si="0"/>
        <v>28752.57</v>
      </c>
    </row>
    <row r="19" spans="1:11" ht="26.4">
      <c r="A19" s="232" t="s">
        <v>300</v>
      </c>
      <c r="B19" s="233">
        <v>43400</v>
      </c>
      <c r="C19" s="234">
        <v>11835.18</v>
      </c>
      <c r="E19" s="232" t="s">
        <v>301</v>
      </c>
      <c r="F19" s="233">
        <v>25000</v>
      </c>
      <c r="G19" s="234">
        <v>6817.5</v>
      </c>
      <c r="I19" s="232" t="s">
        <v>301</v>
      </c>
      <c r="J19" s="236">
        <f t="shared" si="0"/>
        <v>18400</v>
      </c>
      <c r="K19" s="236">
        <f t="shared" si="0"/>
        <v>5017.68</v>
      </c>
    </row>
    <row r="20" spans="1:11" ht="26.4">
      <c r="A20" s="232" t="s">
        <v>302</v>
      </c>
      <c r="B20" s="233">
        <v>561200</v>
      </c>
      <c r="C20" s="234">
        <v>120096.8</v>
      </c>
      <c r="E20" s="232" t="s">
        <v>303</v>
      </c>
      <c r="F20" s="233">
        <v>324300</v>
      </c>
      <c r="G20" s="234">
        <v>69400.2</v>
      </c>
      <c r="I20" s="232" t="s">
        <v>303</v>
      </c>
      <c r="J20" s="236">
        <f t="shared" si="0"/>
        <v>236900</v>
      </c>
      <c r="K20" s="236">
        <f t="shared" si="0"/>
        <v>50696.600000000006</v>
      </c>
    </row>
    <row r="21" spans="1:11" ht="26.4">
      <c r="A21" s="232" t="s">
        <v>304</v>
      </c>
      <c r="B21" s="236" t="s">
        <v>305</v>
      </c>
      <c r="C21" s="236" t="s">
        <v>305</v>
      </c>
      <c r="E21" s="232" t="s">
        <v>306</v>
      </c>
      <c r="F21" s="236" t="s">
        <v>305</v>
      </c>
      <c r="G21" s="236" t="s">
        <v>305</v>
      </c>
      <c r="I21" s="232" t="s">
        <v>306</v>
      </c>
      <c r="J21" s="236"/>
      <c r="K21" s="236"/>
    </row>
    <row r="22" spans="1:11" ht="26.4">
      <c r="A22" s="232" t="s">
        <v>307</v>
      </c>
      <c r="B22" s="233">
        <v>90600</v>
      </c>
      <c r="C22" s="234">
        <v>14496</v>
      </c>
      <c r="E22" s="232" t="s">
        <v>308</v>
      </c>
      <c r="F22" s="233">
        <v>42000</v>
      </c>
      <c r="G22" s="234">
        <v>6720</v>
      </c>
      <c r="I22" s="232" t="s">
        <v>308</v>
      </c>
      <c r="J22" s="236">
        <f t="shared" si="0"/>
        <v>48600</v>
      </c>
      <c r="K22" s="236">
        <f t="shared" si="0"/>
        <v>7776</v>
      </c>
    </row>
    <row r="23" spans="1:11" ht="26.4">
      <c r="A23" s="232" t="s">
        <v>309</v>
      </c>
      <c r="B23" s="233">
        <v>80964</v>
      </c>
      <c r="C23" s="234">
        <v>106779.06</v>
      </c>
      <c r="E23" s="232" t="s">
        <v>310</v>
      </c>
      <c r="F23" s="233">
        <v>31668</v>
      </c>
      <c r="G23" s="234">
        <v>41765.22</v>
      </c>
      <c r="I23" s="232" t="s">
        <v>310</v>
      </c>
      <c r="J23" s="236">
        <f t="shared" si="0"/>
        <v>49296</v>
      </c>
      <c r="K23" s="236">
        <f t="shared" si="0"/>
        <v>65013.84</v>
      </c>
    </row>
    <row r="24" spans="1:11" ht="26.4">
      <c r="A24" s="232" t="s">
        <v>311</v>
      </c>
      <c r="B24" s="236" t="s">
        <v>305</v>
      </c>
      <c r="C24" s="236" t="s">
        <v>305</v>
      </c>
      <c r="E24" s="232" t="s">
        <v>312</v>
      </c>
      <c r="F24" s="236" t="s">
        <v>305</v>
      </c>
      <c r="G24" s="236" t="s">
        <v>305</v>
      </c>
      <c r="I24" s="232" t="s">
        <v>312</v>
      </c>
      <c r="J24" s="236"/>
      <c r="K24" s="236"/>
    </row>
    <row r="25" spans="1:11" ht="26.4">
      <c r="A25" s="232" t="s">
        <v>313</v>
      </c>
      <c r="B25" s="233">
        <v>231840</v>
      </c>
      <c r="C25" s="234">
        <v>4830</v>
      </c>
      <c r="E25" s="232" t="s">
        <v>314</v>
      </c>
      <c r="F25" s="233">
        <v>231840</v>
      </c>
      <c r="G25" s="234">
        <v>4830</v>
      </c>
      <c r="I25" s="232" t="s">
        <v>314</v>
      </c>
      <c r="J25" s="236">
        <f t="shared" si="0"/>
        <v>0</v>
      </c>
      <c r="K25" s="236">
        <f t="shared" si="0"/>
        <v>0</v>
      </c>
    </row>
    <row r="26" spans="1:11" ht="14.4" customHeight="1">
      <c r="A26" s="322" t="s">
        <v>316</v>
      </c>
      <c r="B26" s="322"/>
      <c r="C26" s="240">
        <f>SUM(C3:C25)</f>
        <v>4759153.46</v>
      </c>
      <c r="E26" s="322" t="s">
        <v>343</v>
      </c>
      <c r="F26" s="322"/>
      <c r="G26" s="240">
        <f>SUM(G3:G25)</f>
        <v>2752165.3300000005</v>
      </c>
      <c r="I26" s="322" t="s">
        <v>343</v>
      </c>
      <c r="J26" s="322"/>
      <c r="K26" s="240">
        <f>SUM(K3:K25)</f>
        <v>2006988.1300000001</v>
      </c>
    </row>
    <row r="28" spans="1:11">
      <c r="K28" s="242">
        <f>C26-G26</f>
        <v>2006988.1299999994</v>
      </c>
    </row>
    <row r="30" spans="1:11">
      <c r="K30" s="242">
        <f>K28-K26</f>
        <v>0</v>
      </c>
    </row>
  </sheetData>
  <mergeCells count="3">
    <mergeCell ref="A26:B26"/>
    <mergeCell ref="E26:F26"/>
    <mergeCell ref="I26:J2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C32" sqref="C32"/>
    </sheetView>
  </sheetViews>
  <sheetFormatPr defaultColWidth="9.109375" defaultRowHeight="14.4"/>
  <cols>
    <col min="1" max="1" width="37.44140625" style="229" customWidth="1"/>
    <col min="2" max="2" width="9.109375" style="229"/>
    <col min="3" max="3" width="11.33203125" style="229" bestFit="1" customWidth="1"/>
    <col min="4" max="4" width="9.109375" style="229"/>
    <col min="5" max="5" width="36.5546875" style="229" customWidth="1"/>
    <col min="6" max="6" width="9.109375" style="229"/>
    <col min="7" max="7" width="11.33203125" style="229" bestFit="1" customWidth="1"/>
    <col min="8" max="8" width="9.109375" style="229"/>
    <col min="9" max="9" width="37.6640625" style="229" customWidth="1"/>
    <col min="10" max="10" width="9.109375" style="229"/>
    <col min="11" max="11" width="12.6640625" style="229" customWidth="1"/>
    <col min="12" max="16384" width="9.109375" style="229"/>
  </cols>
  <sheetData>
    <row r="1" spans="1:11" ht="31.2">
      <c r="A1" s="228" t="s">
        <v>256</v>
      </c>
      <c r="E1" s="228" t="s">
        <v>256</v>
      </c>
      <c r="I1" s="228" t="s">
        <v>256</v>
      </c>
    </row>
    <row r="2" spans="1:11" ht="132">
      <c r="A2" s="230" t="s">
        <v>266</v>
      </c>
      <c r="B2" s="230" t="s">
        <v>267</v>
      </c>
      <c r="C2" s="230" t="s">
        <v>268</v>
      </c>
      <c r="E2" s="230" t="s">
        <v>266</v>
      </c>
      <c r="F2" s="230" t="s">
        <v>267</v>
      </c>
      <c r="G2" s="230" t="s">
        <v>268</v>
      </c>
      <c r="I2" s="230" t="s">
        <v>266</v>
      </c>
      <c r="J2" s="230" t="s">
        <v>267</v>
      </c>
      <c r="K2" s="230" t="s">
        <v>268</v>
      </c>
    </row>
    <row r="3" spans="1:11" ht="26.4">
      <c r="A3" s="232" t="s">
        <v>269</v>
      </c>
      <c r="B3" s="233">
        <v>15000</v>
      </c>
      <c r="C3" s="234">
        <v>6382.5</v>
      </c>
      <c r="E3" s="232" t="s">
        <v>269</v>
      </c>
      <c r="F3" s="233">
        <v>11760</v>
      </c>
      <c r="G3" s="234">
        <v>5003.88</v>
      </c>
      <c r="I3" s="232" t="s">
        <v>269</v>
      </c>
      <c r="J3" s="237">
        <f>B3-F3</f>
        <v>3240</v>
      </c>
      <c r="K3" s="238">
        <f>C3-G3</f>
        <v>1378.62</v>
      </c>
    </row>
    <row r="4" spans="1:11" ht="26.4">
      <c r="A4" s="232" t="s">
        <v>270</v>
      </c>
      <c r="B4" s="233">
        <v>1024036</v>
      </c>
      <c r="C4" s="234">
        <v>1851980</v>
      </c>
      <c r="E4" s="232" t="s">
        <v>270</v>
      </c>
      <c r="F4" s="233">
        <v>671912</v>
      </c>
      <c r="G4" s="234">
        <v>1215160</v>
      </c>
      <c r="I4" s="232" t="s">
        <v>271</v>
      </c>
      <c r="J4" s="236">
        <f t="shared" ref="J4:K25" si="0">B4-F4</f>
        <v>352124</v>
      </c>
      <c r="K4" s="236">
        <f t="shared" si="0"/>
        <v>636820</v>
      </c>
    </row>
    <row r="5" spans="1:11">
      <c r="A5" s="232" t="s">
        <v>272</v>
      </c>
      <c r="B5" s="233">
        <v>10100</v>
      </c>
      <c r="C5" s="234">
        <v>3613.78</v>
      </c>
      <c r="E5" s="232" t="s">
        <v>272</v>
      </c>
      <c r="F5" s="233">
        <v>6600</v>
      </c>
      <c r="G5" s="234">
        <v>2361.48</v>
      </c>
      <c r="I5" s="232" t="s">
        <v>273</v>
      </c>
      <c r="J5" s="236">
        <f t="shared" si="0"/>
        <v>3500</v>
      </c>
      <c r="K5" s="236">
        <f t="shared" si="0"/>
        <v>1252.3000000000002</v>
      </c>
    </row>
    <row r="6" spans="1:11">
      <c r="A6" s="232" t="s">
        <v>274</v>
      </c>
      <c r="B6" s="233">
        <v>1070300</v>
      </c>
      <c r="C6" s="234">
        <v>864802.4</v>
      </c>
      <c r="E6" s="232" t="s">
        <v>274</v>
      </c>
      <c r="F6" s="233">
        <v>771300</v>
      </c>
      <c r="G6" s="234">
        <v>623210.4</v>
      </c>
      <c r="I6" s="232" t="s">
        <v>275</v>
      </c>
      <c r="J6" s="236">
        <f t="shared" si="0"/>
        <v>299000</v>
      </c>
      <c r="K6" s="236">
        <f t="shared" si="0"/>
        <v>241592</v>
      </c>
    </row>
    <row r="7" spans="1:11">
      <c r="A7" s="232" t="s">
        <v>276</v>
      </c>
      <c r="B7" s="233">
        <v>7800</v>
      </c>
      <c r="C7" s="234">
        <v>3510</v>
      </c>
      <c r="E7" s="232" t="s">
        <v>276</v>
      </c>
      <c r="F7" s="233">
        <v>5700</v>
      </c>
      <c r="G7" s="234">
        <v>2565</v>
      </c>
      <c r="I7" s="232" t="s">
        <v>277</v>
      </c>
      <c r="J7" s="236">
        <f t="shared" si="0"/>
        <v>2100</v>
      </c>
      <c r="K7" s="236">
        <f t="shared" si="0"/>
        <v>945</v>
      </c>
    </row>
    <row r="8" spans="1:11">
      <c r="A8" s="232" t="s">
        <v>278</v>
      </c>
      <c r="B8" s="233">
        <v>2121800</v>
      </c>
      <c r="C8" s="234">
        <v>538937.19999999995</v>
      </c>
      <c r="E8" s="232" t="s">
        <v>278</v>
      </c>
      <c r="F8" s="233">
        <v>1556200</v>
      </c>
      <c r="G8" s="234">
        <v>395274.8</v>
      </c>
      <c r="I8" s="232" t="s">
        <v>279</v>
      </c>
      <c r="J8" s="236">
        <f t="shared" si="0"/>
        <v>565600</v>
      </c>
      <c r="K8" s="236">
        <f t="shared" si="0"/>
        <v>143662.39999999997</v>
      </c>
    </row>
    <row r="9" spans="1:11" ht="26.4">
      <c r="A9" s="232" t="s">
        <v>280</v>
      </c>
      <c r="B9" s="236" t="s">
        <v>305</v>
      </c>
      <c r="C9" s="236" t="s">
        <v>305</v>
      </c>
      <c r="E9" s="232" t="s">
        <v>280</v>
      </c>
      <c r="F9" s="236" t="s">
        <v>305</v>
      </c>
      <c r="G9" s="236" t="s">
        <v>305</v>
      </c>
      <c r="I9" s="232" t="s">
        <v>281</v>
      </c>
      <c r="J9" s="236"/>
      <c r="K9" s="236"/>
    </row>
    <row r="10" spans="1:11" ht="26.4">
      <c r="A10" s="232" t="s">
        <v>282</v>
      </c>
      <c r="B10" s="233">
        <v>5232</v>
      </c>
      <c r="C10" s="234">
        <v>9265</v>
      </c>
      <c r="E10" s="232" t="s">
        <v>282</v>
      </c>
      <c r="F10" s="233">
        <v>3504</v>
      </c>
      <c r="G10" s="234">
        <v>6205</v>
      </c>
      <c r="I10" s="232" t="s">
        <v>283</v>
      </c>
      <c r="J10" s="236">
        <f t="shared" si="0"/>
        <v>1728</v>
      </c>
      <c r="K10" s="236">
        <f t="shared" si="0"/>
        <v>3060</v>
      </c>
    </row>
    <row r="11" spans="1:11" ht="26.4">
      <c r="A11" s="232" t="s">
        <v>284</v>
      </c>
      <c r="B11" s="233">
        <v>1122240</v>
      </c>
      <c r="C11" s="234">
        <v>2839000</v>
      </c>
      <c r="E11" s="232" t="s">
        <v>284</v>
      </c>
      <c r="F11" s="233">
        <v>854112</v>
      </c>
      <c r="G11" s="234">
        <v>2160700</v>
      </c>
      <c r="I11" s="232" t="s">
        <v>285</v>
      </c>
      <c r="J11" s="236">
        <f t="shared" si="0"/>
        <v>268128</v>
      </c>
      <c r="K11" s="236">
        <f t="shared" si="0"/>
        <v>678300</v>
      </c>
    </row>
    <row r="12" spans="1:11" ht="26.4">
      <c r="A12" s="232" t="s">
        <v>286</v>
      </c>
      <c r="B12" s="236">
        <v>6800</v>
      </c>
      <c r="C12" s="236">
        <v>243.44</v>
      </c>
      <c r="E12" s="232" t="s">
        <v>286</v>
      </c>
      <c r="F12" s="236">
        <v>6800</v>
      </c>
      <c r="G12" s="236">
        <v>243.44</v>
      </c>
      <c r="I12" s="232" t="s">
        <v>287</v>
      </c>
      <c r="J12" s="236"/>
      <c r="K12" s="236"/>
    </row>
    <row r="13" spans="1:11" ht="26.4">
      <c r="A13" s="232" t="s">
        <v>288</v>
      </c>
      <c r="B13" s="233">
        <v>73248</v>
      </c>
      <c r="C13" s="234">
        <v>3041.1</v>
      </c>
      <c r="E13" s="232" t="s">
        <v>288</v>
      </c>
      <c r="F13" s="233">
        <v>73248</v>
      </c>
      <c r="G13" s="234">
        <v>3041.1</v>
      </c>
      <c r="I13" s="232" t="s">
        <v>289</v>
      </c>
      <c r="J13" s="236">
        <f t="shared" si="0"/>
        <v>0</v>
      </c>
      <c r="K13" s="236">
        <f t="shared" si="0"/>
        <v>0</v>
      </c>
    </row>
    <row r="14" spans="1:11" ht="26.4">
      <c r="A14" s="232" t="s">
        <v>290</v>
      </c>
      <c r="B14" s="236" t="s">
        <v>305</v>
      </c>
      <c r="C14" s="236" t="s">
        <v>305</v>
      </c>
      <c r="E14" s="232" t="s">
        <v>290</v>
      </c>
      <c r="F14" s="236" t="s">
        <v>305</v>
      </c>
      <c r="G14" s="236" t="s">
        <v>305</v>
      </c>
      <c r="I14" s="232" t="s">
        <v>291</v>
      </c>
      <c r="J14" s="236"/>
      <c r="K14" s="236"/>
    </row>
    <row r="15" spans="1:11" ht="26.4">
      <c r="A15" s="232" t="s">
        <v>292</v>
      </c>
      <c r="B15" s="236" t="s">
        <v>305</v>
      </c>
      <c r="C15" s="236" t="s">
        <v>305</v>
      </c>
      <c r="E15" s="232" t="s">
        <v>292</v>
      </c>
      <c r="F15" s="236" t="s">
        <v>305</v>
      </c>
      <c r="G15" s="236" t="s">
        <v>305</v>
      </c>
      <c r="I15" s="232" t="s">
        <v>293</v>
      </c>
      <c r="J15" s="236"/>
      <c r="K15" s="236"/>
    </row>
    <row r="16" spans="1:11" ht="26.4">
      <c r="A16" s="232" t="s">
        <v>294</v>
      </c>
      <c r="B16" s="233">
        <v>672</v>
      </c>
      <c r="C16" s="234">
        <v>13.23</v>
      </c>
      <c r="E16" s="232" t="s">
        <v>294</v>
      </c>
      <c r="F16" s="233">
        <v>672</v>
      </c>
      <c r="G16" s="234">
        <v>13.23</v>
      </c>
      <c r="I16" s="232" t="s">
        <v>295</v>
      </c>
      <c r="J16" s="236">
        <f t="shared" si="0"/>
        <v>0</v>
      </c>
      <c r="K16" s="236">
        <f t="shared" si="0"/>
        <v>0</v>
      </c>
    </row>
    <row r="17" spans="1:11" ht="26.4">
      <c r="A17" s="232" t="s">
        <v>296</v>
      </c>
      <c r="B17" s="233">
        <v>23300</v>
      </c>
      <c r="C17" s="234">
        <v>2891.53</v>
      </c>
      <c r="E17" s="232" t="s">
        <v>296</v>
      </c>
      <c r="F17" s="233">
        <v>17800</v>
      </c>
      <c r="G17" s="234">
        <v>2208.98</v>
      </c>
      <c r="I17" s="232" t="s">
        <v>297</v>
      </c>
      <c r="J17" s="236">
        <f t="shared" si="0"/>
        <v>5500</v>
      </c>
      <c r="K17" s="236">
        <f t="shared" si="0"/>
        <v>682.55000000000018</v>
      </c>
    </row>
    <row r="18" spans="1:11" ht="26.4">
      <c r="A18" s="232" t="s">
        <v>298</v>
      </c>
      <c r="B18" s="233">
        <v>3753400</v>
      </c>
      <c r="C18" s="234">
        <v>111475.98</v>
      </c>
      <c r="E18" s="232" t="s">
        <v>298</v>
      </c>
      <c r="F18" s="233">
        <v>2866300</v>
      </c>
      <c r="G18" s="234">
        <v>85129.11</v>
      </c>
      <c r="I18" s="232" t="s">
        <v>299</v>
      </c>
      <c r="J18" s="236">
        <f t="shared" si="0"/>
        <v>887100</v>
      </c>
      <c r="K18" s="236">
        <f t="shared" si="0"/>
        <v>26346.869999999995</v>
      </c>
    </row>
    <row r="19" spans="1:11" ht="26.4">
      <c r="A19" s="232" t="s">
        <v>300</v>
      </c>
      <c r="B19" s="233">
        <v>56900</v>
      </c>
      <c r="C19" s="234">
        <v>15516.63</v>
      </c>
      <c r="E19" s="232" t="s">
        <v>300</v>
      </c>
      <c r="F19" s="233">
        <v>43400</v>
      </c>
      <c r="G19" s="234">
        <v>11835.18</v>
      </c>
      <c r="I19" s="232" t="s">
        <v>301</v>
      </c>
      <c r="J19" s="236">
        <f t="shared" si="0"/>
        <v>13500</v>
      </c>
      <c r="K19" s="236">
        <f t="shared" si="0"/>
        <v>3681.4499999999989</v>
      </c>
    </row>
    <row r="20" spans="1:11" ht="26.4">
      <c r="A20" s="232" t="s">
        <v>302</v>
      </c>
      <c r="B20" s="233">
        <v>823900</v>
      </c>
      <c r="C20" s="234">
        <v>176314.6</v>
      </c>
      <c r="E20" s="232" t="s">
        <v>302</v>
      </c>
      <c r="F20" s="233">
        <v>561200</v>
      </c>
      <c r="G20" s="234">
        <v>120096.8</v>
      </c>
      <c r="I20" s="232" t="s">
        <v>303</v>
      </c>
      <c r="J20" s="236">
        <f t="shared" si="0"/>
        <v>262700</v>
      </c>
      <c r="K20" s="236">
        <f t="shared" si="0"/>
        <v>56217.8</v>
      </c>
    </row>
    <row r="21" spans="1:11" ht="26.4">
      <c r="A21" s="232" t="s">
        <v>304</v>
      </c>
      <c r="B21" s="236" t="s">
        <v>305</v>
      </c>
      <c r="C21" s="236" t="s">
        <v>305</v>
      </c>
      <c r="E21" s="232" t="s">
        <v>304</v>
      </c>
      <c r="F21" s="236" t="s">
        <v>305</v>
      </c>
      <c r="G21" s="236" t="s">
        <v>305</v>
      </c>
      <c r="I21" s="232" t="s">
        <v>306</v>
      </c>
      <c r="J21" s="236"/>
      <c r="K21" s="236"/>
    </row>
    <row r="22" spans="1:11" ht="26.4">
      <c r="A22" s="232" t="s">
        <v>307</v>
      </c>
      <c r="B22" s="233">
        <v>139200</v>
      </c>
      <c r="C22" s="234">
        <v>22272</v>
      </c>
      <c r="E22" s="232" t="s">
        <v>307</v>
      </c>
      <c r="F22" s="233">
        <v>90600</v>
      </c>
      <c r="G22" s="234">
        <v>14496</v>
      </c>
      <c r="I22" s="232" t="s">
        <v>308</v>
      </c>
      <c r="J22" s="236">
        <f t="shared" si="0"/>
        <v>48600</v>
      </c>
      <c r="K22" s="236">
        <f t="shared" si="0"/>
        <v>7776</v>
      </c>
    </row>
    <row r="23" spans="1:11">
      <c r="A23" s="232" t="s">
        <v>309</v>
      </c>
      <c r="B23" s="233">
        <v>151164</v>
      </c>
      <c r="C23" s="234">
        <v>199362.06</v>
      </c>
      <c r="E23" s="232" t="s">
        <v>309</v>
      </c>
      <c r="F23" s="233">
        <v>80964</v>
      </c>
      <c r="G23" s="234">
        <v>106779.06</v>
      </c>
      <c r="I23" s="232" t="s">
        <v>310</v>
      </c>
      <c r="J23" s="236">
        <f t="shared" si="0"/>
        <v>70200</v>
      </c>
      <c r="K23" s="236">
        <f t="shared" si="0"/>
        <v>92583</v>
      </c>
    </row>
    <row r="24" spans="1:11" ht="26.4">
      <c r="A24" s="232" t="s">
        <v>311</v>
      </c>
      <c r="B24" s="236" t="s">
        <v>305</v>
      </c>
      <c r="C24" s="236" t="s">
        <v>305</v>
      </c>
      <c r="E24" s="232" t="s">
        <v>311</v>
      </c>
      <c r="F24" s="236" t="s">
        <v>305</v>
      </c>
      <c r="G24" s="236" t="s">
        <v>305</v>
      </c>
      <c r="I24" s="232" t="s">
        <v>312</v>
      </c>
      <c r="J24" s="236"/>
      <c r="K24" s="236"/>
    </row>
    <row r="25" spans="1:11" ht="26.4">
      <c r="A25" s="232" t="s">
        <v>313</v>
      </c>
      <c r="B25" s="233">
        <v>231840</v>
      </c>
      <c r="C25" s="234">
        <v>4830</v>
      </c>
      <c r="E25" s="232" t="s">
        <v>313</v>
      </c>
      <c r="F25" s="233">
        <v>231840</v>
      </c>
      <c r="G25" s="234">
        <v>4830</v>
      </c>
      <c r="I25" s="232" t="s">
        <v>314</v>
      </c>
      <c r="J25" s="236">
        <f t="shared" si="0"/>
        <v>0</v>
      </c>
      <c r="K25" s="236">
        <f t="shared" si="0"/>
        <v>0</v>
      </c>
    </row>
    <row r="26" spans="1:11" ht="14.4" customHeight="1">
      <c r="A26" s="322" t="s">
        <v>316</v>
      </c>
      <c r="B26" s="322"/>
      <c r="C26" s="240">
        <f>SUM(C3:C25)</f>
        <v>6653451.4500000002</v>
      </c>
      <c r="E26" s="322" t="s">
        <v>316</v>
      </c>
      <c r="F26" s="322"/>
      <c r="G26" s="240">
        <f>SUM(G3:G25)</f>
        <v>4759153.46</v>
      </c>
      <c r="I26" s="322" t="s">
        <v>343</v>
      </c>
      <c r="J26" s="322"/>
      <c r="K26" s="240">
        <f>SUM(K3:K25)</f>
        <v>1894297.9900000002</v>
      </c>
    </row>
    <row r="28" spans="1:11">
      <c r="K28" s="242">
        <f>C26-G26</f>
        <v>1894297.9900000002</v>
      </c>
    </row>
    <row r="32" spans="1:11">
      <c r="I32" s="242">
        <f>'2025'!C26+'2025'!K26+'2026'!K26+'2027'!K26</f>
        <v>6653451.4500000002</v>
      </c>
    </row>
    <row r="34" spans="9:9">
      <c r="I34" s="242"/>
    </row>
  </sheetData>
  <mergeCells count="3">
    <mergeCell ref="A26:B26"/>
    <mergeCell ref="E26:F26"/>
    <mergeCell ref="I26:J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opLeftCell="A3" zoomScale="70" zoomScaleNormal="70" zoomScaleSheetLayoutView="80" workbookViewId="0">
      <selection activeCell="G28" sqref="G28"/>
    </sheetView>
  </sheetViews>
  <sheetFormatPr defaultColWidth="9.109375" defaultRowHeight="15.6"/>
  <cols>
    <col min="1" max="1" width="53.5546875" style="1" customWidth="1"/>
    <col min="2" max="2" width="38.109375" style="1" customWidth="1"/>
    <col min="3" max="3" width="19.6640625" style="1" bestFit="1" customWidth="1"/>
    <col min="4" max="4" width="16.33203125" style="1" customWidth="1"/>
    <col min="5" max="6" width="11.6640625" style="1" customWidth="1"/>
    <col min="7" max="10" width="16.88671875" style="1" customWidth="1"/>
    <col min="11" max="11" width="20" style="1" hidden="1" customWidth="1"/>
    <col min="12" max="14" width="16.88671875" style="1" customWidth="1"/>
    <col min="15" max="16" width="11.109375" style="1" customWidth="1"/>
    <col min="17" max="17" width="13.5546875" style="1" customWidth="1"/>
    <col min="18" max="16384" width="9.109375" style="1"/>
  </cols>
  <sheetData>
    <row r="1" spans="1:21" ht="26.25" customHeight="1">
      <c r="A1" s="318"/>
      <c r="B1" s="318"/>
      <c r="C1" s="318"/>
      <c r="D1" s="318"/>
      <c r="E1" s="318"/>
      <c r="F1" s="318"/>
      <c r="G1" s="318"/>
      <c r="H1" s="318"/>
      <c r="I1" s="318"/>
      <c r="J1" s="318"/>
      <c r="K1" s="34"/>
      <c r="L1" s="34"/>
      <c r="M1" s="34"/>
      <c r="N1" s="34"/>
      <c r="O1" s="34"/>
      <c r="P1" s="34"/>
      <c r="Q1" s="34"/>
      <c r="R1" s="35"/>
      <c r="S1" s="35"/>
      <c r="T1" s="35"/>
      <c r="U1" s="34"/>
    </row>
    <row r="2" spans="1:21" ht="35.4" customHeight="1">
      <c r="A2" s="41"/>
      <c r="B2" s="319" t="s">
        <v>12</v>
      </c>
      <c r="C2" s="319"/>
      <c r="D2" s="319"/>
      <c r="E2" s="319"/>
      <c r="F2" s="319"/>
      <c r="G2" s="319"/>
      <c r="H2" s="319"/>
      <c r="I2" s="319"/>
      <c r="J2" s="319"/>
      <c r="K2" s="33"/>
      <c r="L2" s="33"/>
      <c r="M2" s="33"/>
      <c r="N2" s="33"/>
      <c r="O2" s="32"/>
      <c r="P2" s="32"/>
      <c r="Q2" s="32"/>
      <c r="R2" s="32"/>
      <c r="S2" s="32"/>
      <c r="T2" s="32"/>
      <c r="U2" s="32"/>
    </row>
    <row r="3" spans="1:21">
      <c r="A3" s="31" t="s">
        <v>0</v>
      </c>
    </row>
    <row r="4" spans="1:21" ht="51" customHeight="1">
      <c r="A4" s="30" t="s">
        <v>1</v>
      </c>
      <c r="B4" s="30" t="s">
        <v>2</v>
      </c>
      <c r="C4" s="30" t="s">
        <v>20</v>
      </c>
      <c r="D4" s="30" t="s">
        <v>3</v>
      </c>
      <c r="E4" s="30" t="s">
        <v>13</v>
      </c>
      <c r="F4" s="42">
        <v>0.17</v>
      </c>
      <c r="G4" s="29" t="s">
        <v>14</v>
      </c>
      <c r="H4" s="29" t="s">
        <v>15</v>
      </c>
      <c r="I4" s="29" t="s">
        <v>16</v>
      </c>
      <c r="J4" s="29" t="s">
        <v>17</v>
      </c>
    </row>
    <row r="5" spans="1:21">
      <c r="A5" s="24" t="s">
        <v>22</v>
      </c>
      <c r="B5" s="23">
        <v>300</v>
      </c>
      <c r="C5" s="43">
        <v>0.5</v>
      </c>
      <c r="D5" s="22">
        <v>1</v>
      </c>
      <c r="E5" s="22">
        <v>12</v>
      </c>
      <c r="F5" s="22">
        <f>(B5*17%)*E5</f>
        <v>612.00000000000011</v>
      </c>
      <c r="G5" s="23">
        <f>(B5*D5*E5)+F5</f>
        <v>4212</v>
      </c>
      <c r="H5" s="23">
        <f>(B5*D5*E5)+F5</f>
        <v>4212</v>
      </c>
      <c r="I5" s="23">
        <f>(B5*D5*E5)+F5</f>
        <v>4212</v>
      </c>
      <c r="J5" s="23">
        <f>G5+H5+I5</f>
        <v>12636</v>
      </c>
      <c r="K5" s="20">
        <v>37</v>
      </c>
    </row>
    <row r="6" spans="1:21">
      <c r="A6" s="24" t="s">
        <v>4</v>
      </c>
      <c r="B6" s="23">
        <v>200</v>
      </c>
      <c r="C6" s="43">
        <v>0.5</v>
      </c>
      <c r="D6" s="22">
        <v>1</v>
      </c>
      <c r="E6" s="22">
        <v>12</v>
      </c>
      <c r="F6" s="22">
        <f t="shared" ref="F6:F9" si="0">(B6*17%)*E6</f>
        <v>408</v>
      </c>
      <c r="G6" s="23">
        <f t="shared" ref="G6:G9" si="1">(B6*D6*E6)+F6</f>
        <v>2808</v>
      </c>
      <c r="H6" s="23">
        <f t="shared" ref="H6:H9" si="2">(B6*D6*E6)+F6</f>
        <v>2808</v>
      </c>
      <c r="I6" s="23">
        <f t="shared" ref="I6:I9" si="3">(B6*D6*E6)+F6</f>
        <v>2808</v>
      </c>
      <c r="J6" s="23">
        <f t="shared" ref="J6:J9" si="4">G6+H6+I6</f>
        <v>8424</v>
      </c>
      <c r="K6" s="20">
        <v>37</v>
      </c>
    </row>
    <row r="7" spans="1:21">
      <c r="A7" s="28" t="s">
        <v>18</v>
      </c>
      <c r="B7" s="27">
        <v>100</v>
      </c>
      <c r="C7" s="43">
        <v>0.25</v>
      </c>
      <c r="D7" s="26">
        <v>1</v>
      </c>
      <c r="E7" s="22">
        <v>12</v>
      </c>
      <c r="F7" s="22">
        <f t="shared" si="0"/>
        <v>204</v>
      </c>
      <c r="G7" s="23">
        <f t="shared" si="1"/>
        <v>1404</v>
      </c>
      <c r="H7" s="23">
        <f t="shared" si="2"/>
        <v>1404</v>
      </c>
      <c r="I7" s="23">
        <f t="shared" si="3"/>
        <v>1404</v>
      </c>
      <c r="J7" s="23">
        <f t="shared" si="4"/>
        <v>4212</v>
      </c>
      <c r="K7" s="20">
        <v>37</v>
      </c>
    </row>
    <row r="8" spans="1:21">
      <c r="A8" s="28" t="s">
        <v>19</v>
      </c>
      <c r="B8" s="23">
        <v>200</v>
      </c>
      <c r="C8" s="43">
        <v>0.5</v>
      </c>
      <c r="D8" s="22">
        <v>3</v>
      </c>
      <c r="E8" s="22">
        <v>12</v>
      </c>
      <c r="F8" s="22">
        <f t="shared" si="0"/>
        <v>408</v>
      </c>
      <c r="G8" s="23">
        <f t="shared" si="1"/>
        <v>7608</v>
      </c>
      <c r="H8" s="23">
        <f t="shared" si="2"/>
        <v>7608</v>
      </c>
      <c r="I8" s="23">
        <f t="shared" si="3"/>
        <v>7608</v>
      </c>
      <c r="J8" s="23">
        <f t="shared" si="4"/>
        <v>22824</v>
      </c>
      <c r="K8" s="20"/>
    </row>
    <row r="9" spans="1:21" ht="46.8">
      <c r="A9" s="28" t="s">
        <v>11</v>
      </c>
      <c r="B9" s="23">
        <v>100</v>
      </c>
      <c r="C9" s="43">
        <v>0.25</v>
      </c>
      <c r="D9" s="22">
        <v>1</v>
      </c>
      <c r="E9" s="22">
        <v>12</v>
      </c>
      <c r="F9" s="22">
        <f t="shared" si="0"/>
        <v>204</v>
      </c>
      <c r="G9" s="23">
        <f t="shared" si="1"/>
        <v>1404</v>
      </c>
      <c r="H9" s="23">
        <f t="shared" si="2"/>
        <v>1404</v>
      </c>
      <c r="I9" s="23">
        <f t="shared" si="3"/>
        <v>1404</v>
      </c>
      <c r="J9" s="23">
        <f t="shared" si="4"/>
        <v>4212</v>
      </c>
      <c r="K9" s="20"/>
    </row>
    <row r="10" spans="1:21" ht="31.2">
      <c r="A10" s="25" t="s">
        <v>24</v>
      </c>
      <c r="B10" s="27">
        <v>2.5</v>
      </c>
      <c r="C10" s="27"/>
      <c r="D10" s="26">
        <v>1</v>
      </c>
      <c r="E10" s="22">
        <v>12</v>
      </c>
      <c r="F10" s="26"/>
      <c r="G10" s="21">
        <f>B10*8*365</f>
        <v>7300</v>
      </c>
      <c r="H10" s="21">
        <v>7300</v>
      </c>
      <c r="I10" s="23">
        <f>B10*8*365</f>
        <v>7300</v>
      </c>
      <c r="J10" s="21">
        <f>G10+H10+I10</f>
        <v>21900</v>
      </c>
      <c r="K10" s="20">
        <v>64</v>
      </c>
    </row>
    <row r="11" spans="1:21">
      <c r="A11" s="1" t="s">
        <v>23</v>
      </c>
      <c r="B11" s="27">
        <v>10</v>
      </c>
      <c r="C11" s="27"/>
      <c r="D11" s="26">
        <v>1</v>
      </c>
      <c r="E11" s="22">
        <v>12</v>
      </c>
      <c r="F11" s="26"/>
      <c r="G11" s="21">
        <f>B11*E11</f>
        <v>120</v>
      </c>
      <c r="H11" s="21">
        <f>B11*E11</f>
        <v>120</v>
      </c>
      <c r="I11" s="21">
        <f>+B11*E11</f>
        <v>120</v>
      </c>
      <c r="J11" s="21">
        <f>+G11+H11+I11</f>
        <v>360</v>
      </c>
      <c r="K11" s="20"/>
    </row>
    <row r="12" spans="1:21" ht="31.2">
      <c r="A12" s="25" t="s">
        <v>5</v>
      </c>
      <c r="B12" s="27">
        <v>10</v>
      </c>
      <c r="C12" s="27"/>
      <c r="D12" s="26"/>
      <c r="E12" s="22">
        <v>12</v>
      </c>
      <c r="F12" s="26"/>
      <c r="G12" s="21">
        <f>B12*E12</f>
        <v>120</v>
      </c>
      <c r="H12" s="21">
        <f>B12*E12</f>
        <v>120</v>
      </c>
      <c r="I12" s="21">
        <f>B12*E12</f>
        <v>120</v>
      </c>
      <c r="J12" s="21">
        <f>G12+H12+I12</f>
        <v>360</v>
      </c>
      <c r="K12" s="20"/>
    </row>
    <row r="13" spans="1:21">
      <c r="A13" s="24" t="s">
        <v>6</v>
      </c>
      <c r="B13" s="23">
        <v>800</v>
      </c>
      <c r="C13" s="23"/>
      <c r="D13" s="22">
        <v>1</v>
      </c>
      <c r="E13" s="22">
        <v>12</v>
      </c>
      <c r="F13" s="22"/>
      <c r="G13" s="21">
        <f t="shared" ref="G13:G17" si="5">B13*E13</f>
        <v>9600</v>
      </c>
      <c r="H13" s="21">
        <f t="shared" ref="H13:H17" si="6">B13*E13</f>
        <v>9600</v>
      </c>
      <c r="I13" s="21">
        <f t="shared" ref="I13:I17" si="7">B13*E13</f>
        <v>9600</v>
      </c>
      <c r="J13" s="21">
        <f t="shared" ref="J13:J17" si="8">G13+H13+I13</f>
        <v>28800</v>
      </c>
      <c r="K13" s="20">
        <v>74</v>
      </c>
    </row>
    <row r="14" spans="1:21">
      <c r="A14" s="24" t="s">
        <v>7</v>
      </c>
      <c r="B14" s="23">
        <v>20</v>
      </c>
      <c r="C14" s="23"/>
      <c r="D14" s="22">
        <v>1</v>
      </c>
      <c r="E14" s="22">
        <v>12</v>
      </c>
      <c r="F14" s="22"/>
      <c r="G14" s="21">
        <f t="shared" si="5"/>
        <v>240</v>
      </c>
      <c r="H14" s="21">
        <f t="shared" si="6"/>
        <v>240</v>
      </c>
      <c r="I14" s="21">
        <f t="shared" si="7"/>
        <v>240</v>
      </c>
      <c r="J14" s="21">
        <f t="shared" si="8"/>
        <v>720</v>
      </c>
      <c r="K14" s="20">
        <v>74</v>
      </c>
    </row>
    <row r="15" spans="1:21">
      <c r="A15" s="24" t="s">
        <v>8</v>
      </c>
      <c r="B15" s="23">
        <v>10</v>
      </c>
      <c r="C15" s="23"/>
      <c r="D15" s="22">
        <v>1</v>
      </c>
      <c r="E15" s="22">
        <v>12</v>
      </c>
      <c r="F15" s="22"/>
      <c r="G15" s="21">
        <f t="shared" si="5"/>
        <v>120</v>
      </c>
      <c r="H15" s="21">
        <f t="shared" si="6"/>
        <v>120</v>
      </c>
      <c r="I15" s="21">
        <f t="shared" si="7"/>
        <v>120</v>
      </c>
      <c r="J15" s="21">
        <f t="shared" si="8"/>
        <v>360</v>
      </c>
      <c r="K15" s="20"/>
    </row>
    <row r="16" spans="1:21">
      <c r="A16" s="24" t="s">
        <v>9</v>
      </c>
      <c r="B16" s="23">
        <v>25</v>
      </c>
      <c r="C16" s="23"/>
      <c r="D16" s="22">
        <v>1</v>
      </c>
      <c r="E16" s="22">
        <v>12</v>
      </c>
      <c r="F16" s="22"/>
      <c r="G16" s="21">
        <f t="shared" si="5"/>
        <v>300</v>
      </c>
      <c r="H16" s="21">
        <f t="shared" si="6"/>
        <v>300</v>
      </c>
      <c r="I16" s="21">
        <f t="shared" si="7"/>
        <v>300</v>
      </c>
      <c r="J16" s="21">
        <f t="shared" si="8"/>
        <v>900</v>
      </c>
      <c r="K16" s="20"/>
    </row>
    <row r="17" spans="1:21">
      <c r="A17" s="24" t="s">
        <v>10</v>
      </c>
      <c r="B17" s="23">
        <v>5</v>
      </c>
      <c r="C17" s="23"/>
      <c r="D17" s="22">
        <v>1</v>
      </c>
      <c r="E17" s="22">
        <v>12</v>
      </c>
      <c r="F17" s="22"/>
      <c r="G17" s="21">
        <f t="shared" si="5"/>
        <v>60</v>
      </c>
      <c r="H17" s="21">
        <f t="shared" si="6"/>
        <v>60</v>
      </c>
      <c r="I17" s="21">
        <f t="shared" si="7"/>
        <v>60</v>
      </c>
      <c r="J17" s="21">
        <f t="shared" si="8"/>
        <v>180</v>
      </c>
      <c r="K17" s="20">
        <v>74</v>
      </c>
    </row>
    <row r="18" spans="1:21" ht="16.5" customHeight="1">
      <c r="A18" s="19"/>
      <c r="B18" s="19"/>
      <c r="C18" s="19"/>
      <c r="D18" s="19"/>
      <c r="E18" s="18"/>
      <c r="F18" s="18"/>
      <c r="G18" s="18">
        <f>SUM(G5:G17)</f>
        <v>35296</v>
      </c>
      <c r="H18" s="18">
        <f>SUM(H5:H17)</f>
        <v>35296</v>
      </c>
      <c r="I18" s="17">
        <f>SUM(I5:I17)</f>
        <v>35296</v>
      </c>
      <c r="J18" s="17">
        <f>SUM(J5:J17)</f>
        <v>105888</v>
      </c>
      <c r="K18" s="16"/>
      <c r="L18" s="2">
        <f>J18*2</f>
        <v>211776</v>
      </c>
    </row>
    <row r="19" spans="1:21" ht="36.75" customHeight="1">
      <c r="A19" s="15"/>
      <c r="D19" s="15"/>
      <c r="E19" s="14"/>
      <c r="F19" s="14"/>
      <c r="G19" s="12"/>
      <c r="H19" s="12"/>
      <c r="I19" s="12"/>
      <c r="J19" s="12"/>
      <c r="K19" s="13"/>
      <c r="L19" s="12"/>
      <c r="M19" s="11"/>
      <c r="N19" s="10"/>
      <c r="O19" s="10"/>
      <c r="P19" s="10"/>
      <c r="Q19" s="10"/>
      <c r="U19" s="2"/>
    </row>
    <row r="20" spans="1:21" ht="44.1" customHeight="1">
      <c r="A20" s="6"/>
      <c r="B20" s="1" t="s">
        <v>21</v>
      </c>
      <c r="D20" s="6"/>
      <c r="E20" s="5"/>
      <c r="F20" s="5"/>
      <c r="G20" s="4"/>
      <c r="H20" s="4"/>
      <c r="I20" s="4"/>
      <c r="J20" s="4"/>
      <c r="K20" s="4"/>
      <c r="L20" s="40"/>
      <c r="M20" s="3"/>
      <c r="U20" s="2"/>
    </row>
    <row r="21" spans="1:21" ht="47.4" customHeight="1">
      <c r="A21" s="6"/>
      <c r="D21" s="6"/>
      <c r="E21" s="36"/>
      <c r="F21" s="36"/>
      <c r="G21" s="37"/>
      <c r="H21" s="38"/>
      <c r="I21" s="4"/>
      <c r="J21" s="4"/>
      <c r="K21" s="4"/>
      <c r="L21" s="4"/>
      <c r="M21" s="3"/>
      <c r="U21" s="2"/>
    </row>
    <row r="22" spans="1:21" ht="46.5" customHeight="1">
      <c r="A22" s="9"/>
      <c r="D22" s="9"/>
      <c r="E22" s="36"/>
      <c r="F22" s="36"/>
      <c r="G22" s="39"/>
      <c r="H22" s="39"/>
      <c r="I22" s="8"/>
      <c r="J22" s="8"/>
      <c r="K22" s="8"/>
      <c r="L22" s="8"/>
      <c r="M22" s="8"/>
      <c r="N22" s="7"/>
      <c r="O22" s="7"/>
      <c r="P22" s="7"/>
      <c r="Q22" s="7"/>
      <c r="U22" s="2"/>
    </row>
    <row r="23" spans="1:21" ht="26.25" customHeight="1">
      <c r="A23" s="6"/>
      <c r="D23" s="6"/>
      <c r="E23" s="5"/>
      <c r="F23" s="5"/>
      <c r="G23" s="4"/>
      <c r="H23" s="4"/>
      <c r="I23" s="4"/>
      <c r="J23" s="4"/>
      <c r="K23" s="4"/>
      <c r="L23" s="4"/>
      <c r="M23" s="3"/>
      <c r="U23" s="2"/>
    </row>
    <row r="24" spans="1:21" ht="27" customHeight="1">
      <c r="A24" s="6"/>
      <c r="D24" s="6"/>
      <c r="E24" s="5"/>
      <c r="F24" s="5"/>
      <c r="G24" s="4"/>
      <c r="H24" s="4"/>
      <c r="I24" s="4"/>
      <c r="J24" s="4"/>
      <c r="K24" s="4"/>
      <c r="L24" s="4"/>
      <c r="M24" s="3"/>
      <c r="U24" s="2"/>
    </row>
  </sheetData>
  <autoFilter ref="A4:J24"/>
  <mergeCells count="2">
    <mergeCell ref="A1:J1"/>
    <mergeCell ref="B2:J2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zoomScale="80" zoomScaleNormal="80" workbookViewId="0">
      <selection activeCell="E8" sqref="E8"/>
    </sheetView>
  </sheetViews>
  <sheetFormatPr defaultRowHeight="14.4"/>
  <cols>
    <col min="1" max="1" width="35.44140625" bestFit="1" customWidth="1"/>
    <col min="2" max="3" width="12.5546875" customWidth="1"/>
    <col min="5" max="5" width="13.44140625" customWidth="1"/>
    <col min="7" max="7" width="12.44140625" customWidth="1"/>
    <col min="8" max="8" width="12" customWidth="1"/>
    <col min="9" max="9" width="11.88671875" customWidth="1"/>
    <col min="10" max="10" width="15.44140625" customWidth="1"/>
  </cols>
  <sheetData>
    <row r="2" spans="1:10" ht="46.8">
      <c r="A2" s="30" t="s">
        <v>1</v>
      </c>
      <c r="B2" s="30" t="s">
        <v>2</v>
      </c>
      <c r="C2" s="30" t="s">
        <v>20</v>
      </c>
      <c r="D2" s="30" t="s">
        <v>3</v>
      </c>
      <c r="E2" s="30" t="s">
        <v>13</v>
      </c>
      <c r="F2" s="42">
        <v>0.17</v>
      </c>
      <c r="G2" s="29" t="s">
        <v>14</v>
      </c>
      <c r="H2" s="29" t="s">
        <v>15</v>
      </c>
      <c r="I2" s="29" t="s">
        <v>16</v>
      </c>
      <c r="J2" s="29" t="s">
        <v>17</v>
      </c>
    </row>
    <row r="3" spans="1:10" ht="15.6">
      <c r="A3" s="24" t="s">
        <v>31</v>
      </c>
      <c r="B3" s="23">
        <v>350</v>
      </c>
      <c r="C3" s="43">
        <v>0.5</v>
      </c>
      <c r="D3" s="22">
        <v>1</v>
      </c>
      <c r="E3" s="22">
        <v>12</v>
      </c>
      <c r="F3" s="22">
        <f>(B3*17%)*E3</f>
        <v>714.00000000000011</v>
      </c>
      <c r="G3" s="23">
        <f>(B3*D3*E3)+F3</f>
        <v>4914</v>
      </c>
      <c r="H3" s="23">
        <f>(B3*D3*E3)+F3</f>
        <v>4914</v>
      </c>
      <c r="I3" s="23">
        <f>(B3*D3*E3)+F3</f>
        <v>4914</v>
      </c>
      <c r="J3" s="23">
        <f>G3+H3+I3</f>
        <v>14742</v>
      </c>
    </row>
    <row r="4" spans="1:10" ht="15.6">
      <c r="A4" s="24" t="s">
        <v>4</v>
      </c>
      <c r="B4" s="23">
        <v>200</v>
      </c>
      <c r="C4" s="43">
        <v>0.5</v>
      </c>
      <c r="D4" s="22">
        <v>1</v>
      </c>
      <c r="E4" s="22">
        <v>12</v>
      </c>
      <c r="F4" s="22">
        <f t="shared" ref="F4:F8" si="0">(B4*17%)*E4</f>
        <v>408</v>
      </c>
      <c r="G4" s="23">
        <f t="shared" ref="G4:G7" si="1">(B4*D4*E4)+F4</f>
        <v>2808</v>
      </c>
      <c r="H4" s="23">
        <f t="shared" ref="H4:H7" si="2">(B4*D4*E4)+F4</f>
        <v>2808</v>
      </c>
      <c r="I4" s="23">
        <f t="shared" ref="I4:I7" si="3">(B4*D4*E4)+F4</f>
        <v>2808</v>
      </c>
      <c r="J4" s="23">
        <f t="shared" ref="J4:J7" si="4">G4+H4+I4</f>
        <v>8424</v>
      </c>
    </row>
    <row r="5" spans="1:10" ht="55.2">
      <c r="A5" s="49" t="s">
        <v>27</v>
      </c>
      <c r="B5" s="27">
        <v>150</v>
      </c>
      <c r="C5" s="43">
        <v>0.5</v>
      </c>
      <c r="D5" s="26">
        <v>1</v>
      </c>
      <c r="E5" s="22">
        <v>12</v>
      </c>
      <c r="F5" s="22">
        <f t="shared" si="0"/>
        <v>306.00000000000006</v>
      </c>
      <c r="G5" s="23">
        <f t="shared" si="1"/>
        <v>2106</v>
      </c>
      <c r="H5" s="23">
        <f t="shared" si="2"/>
        <v>2106</v>
      </c>
      <c r="I5" s="23">
        <f t="shared" si="3"/>
        <v>2106</v>
      </c>
      <c r="J5" s="23">
        <f t="shared" si="4"/>
        <v>6318</v>
      </c>
    </row>
    <row r="6" spans="1:10" ht="55.2">
      <c r="A6" s="49" t="s">
        <v>28</v>
      </c>
      <c r="B6" s="23">
        <v>150</v>
      </c>
      <c r="C6" s="43">
        <v>0.25</v>
      </c>
      <c r="D6" s="22">
        <v>1</v>
      </c>
      <c r="E6" s="22">
        <v>12</v>
      </c>
      <c r="F6" s="22">
        <f t="shared" si="0"/>
        <v>306.00000000000006</v>
      </c>
      <c r="G6" s="23">
        <f t="shared" si="1"/>
        <v>2106</v>
      </c>
      <c r="H6" s="23">
        <f t="shared" si="2"/>
        <v>2106</v>
      </c>
      <c r="I6" s="23">
        <f t="shared" si="3"/>
        <v>2106</v>
      </c>
      <c r="J6" s="23">
        <f t="shared" si="4"/>
        <v>6318</v>
      </c>
    </row>
    <row r="7" spans="1:10" ht="55.2">
      <c r="A7" s="49" t="s">
        <v>29</v>
      </c>
      <c r="B7" s="23">
        <v>150</v>
      </c>
      <c r="C7" s="43">
        <v>0.25</v>
      </c>
      <c r="D7" s="22">
        <v>1</v>
      </c>
      <c r="E7" s="22">
        <v>12</v>
      </c>
      <c r="F7" s="22">
        <f t="shared" si="0"/>
        <v>306.00000000000006</v>
      </c>
      <c r="G7" s="23">
        <f t="shared" si="1"/>
        <v>2106</v>
      </c>
      <c r="H7" s="23">
        <f t="shared" si="2"/>
        <v>2106</v>
      </c>
      <c r="I7" s="23">
        <f t="shared" si="3"/>
        <v>2106</v>
      </c>
      <c r="J7" s="23">
        <f t="shared" si="4"/>
        <v>6318</v>
      </c>
    </row>
    <row r="8" spans="1:10" ht="55.2">
      <c r="A8" s="49" t="s">
        <v>30</v>
      </c>
      <c r="B8" s="27">
        <v>250</v>
      </c>
      <c r="C8" s="43">
        <v>0.5</v>
      </c>
      <c r="D8" s="26">
        <v>2</v>
      </c>
      <c r="E8" s="22">
        <v>12</v>
      </c>
      <c r="F8" s="22">
        <f t="shared" si="0"/>
        <v>510</v>
      </c>
      <c r="G8" s="23">
        <f t="shared" ref="G8" si="5">(B8*D8*E8)+F8</f>
        <v>6510</v>
      </c>
      <c r="H8" s="23">
        <f t="shared" ref="H8" si="6">(B8*D8*E8)+F8</f>
        <v>6510</v>
      </c>
      <c r="I8" s="23">
        <f t="shared" ref="I8" si="7">(B8*D8*E8)+F8</f>
        <v>6510</v>
      </c>
      <c r="J8" s="23">
        <f t="shared" ref="J8" si="8">G8+H8+I8</f>
        <v>19530</v>
      </c>
    </row>
    <row r="9" spans="1:10" ht="15.6">
      <c r="A9" s="1" t="s">
        <v>33</v>
      </c>
      <c r="B9" s="27">
        <v>3</v>
      </c>
      <c r="C9" s="27"/>
      <c r="D9" s="26">
        <v>3</v>
      </c>
      <c r="E9" s="22">
        <v>12</v>
      </c>
      <c r="F9" s="26"/>
      <c r="G9" s="21">
        <f>B9*E9*D9</f>
        <v>108</v>
      </c>
      <c r="H9" s="21">
        <f>B9*E9*D9</f>
        <v>108</v>
      </c>
      <c r="I9" s="21">
        <f>+B9*E9*D9</f>
        <v>108</v>
      </c>
      <c r="J9" s="21">
        <f>+G9+H9+I9</f>
        <v>324</v>
      </c>
    </row>
    <row r="10" spans="1:10" ht="31.2">
      <c r="A10" s="25" t="s">
        <v>32</v>
      </c>
      <c r="B10" s="27">
        <v>7</v>
      </c>
      <c r="C10" s="27"/>
      <c r="D10" s="26"/>
      <c r="E10" s="22">
        <v>12</v>
      </c>
      <c r="F10" s="26"/>
      <c r="G10" s="21">
        <f>B10*E10</f>
        <v>84</v>
      </c>
      <c r="H10" s="21">
        <f>B10*E10</f>
        <v>84</v>
      </c>
      <c r="I10" s="21">
        <f>B10*E10</f>
        <v>84</v>
      </c>
      <c r="J10" s="21">
        <f>G10+H10+I10</f>
        <v>252</v>
      </c>
    </row>
    <row r="11" spans="1:10" ht="31.2">
      <c r="A11" s="24" t="s">
        <v>6</v>
      </c>
      <c r="B11" s="23">
        <v>800</v>
      </c>
      <c r="C11" s="23"/>
      <c r="D11" s="22">
        <v>1</v>
      </c>
      <c r="E11" s="22">
        <v>12</v>
      </c>
      <c r="F11" s="22"/>
      <c r="G11" s="21">
        <f t="shared" ref="G11:G15" si="9">B11*E11</f>
        <v>9600</v>
      </c>
      <c r="H11" s="21">
        <f t="shared" ref="H11:H15" si="10">B11*E11</f>
        <v>9600</v>
      </c>
      <c r="I11" s="21">
        <f t="shared" ref="I11:I15" si="11">B11*E11</f>
        <v>9600</v>
      </c>
      <c r="J11" s="21">
        <f t="shared" ref="J11:J15" si="12">G11+H11+I11</f>
        <v>28800</v>
      </c>
    </row>
    <row r="12" spans="1:10" ht="15.6">
      <c r="A12" s="24" t="s">
        <v>7</v>
      </c>
      <c r="B12" s="23">
        <v>20</v>
      </c>
      <c r="C12" s="23"/>
      <c r="D12" s="22">
        <v>1</v>
      </c>
      <c r="E12" s="22">
        <v>12</v>
      </c>
      <c r="F12" s="22"/>
      <c r="G12" s="21">
        <f t="shared" si="9"/>
        <v>240</v>
      </c>
      <c r="H12" s="21">
        <f t="shared" si="10"/>
        <v>240</v>
      </c>
      <c r="I12" s="21">
        <f t="shared" si="11"/>
        <v>240</v>
      </c>
      <c r="J12" s="21">
        <f t="shared" si="12"/>
        <v>720</v>
      </c>
    </row>
    <row r="13" spans="1:10" ht="31.2">
      <c r="A13" s="24" t="s">
        <v>8</v>
      </c>
      <c r="B13" s="23">
        <v>10</v>
      </c>
      <c r="C13" s="23"/>
      <c r="D13" s="22">
        <v>1</v>
      </c>
      <c r="E13" s="22">
        <v>12</v>
      </c>
      <c r="F13" s="22"/>
      <c r="G13" s="21">
        <f t="shared" si="9"/>
        <v>120</v>
      </c>
      <c r="H13" s="21">
        <f t="shared" si="10"/>
        <v>120</v>
      </c>
      <c r="I13" s="21">
        <f t="shared" si="11"/>
        <v>120</v>
      </c>
      <c r="J13" s="21">
        <f t="shared" si="12"/>
        <v>360</v>
      </c>
    </row>
    <row r="14" spans="1:10" ht="15.6">
      <c r="A14" s="24" t="s">
        <v>9</v>
      </c>
      <c r="B14" s="23">
        <v>140</v>
      </c>
      <c r="C14" s="23"/>
      <c r="D14" s="22">
        <v>1</v>
      </c>
      <c r="E14" s="22">
        <v>12</v>
      </c>
      <c r="F14" s="22"/>
      <c r="G14" s="21">
        <f t="shared" si="9"/>
        <v>1680</v>
      </c>
      <c r="H14" s="21">
        <f t="shared" si="10"/>
        <v>1680</v>
      </c>
      <c r="I14" s="21">
        <f t="shared" si="11"/>
        <v>1680</v>
      </c>
      <c r="J14" s="21">
        <f t="shared" si="12"/>
        <v>5040</v>
      </c>
    </row>
    <row r="15" spans="1:10" ht="15.6">
      <c r="A15" s="24" t="s">
        <v>10</v>
      </c>
      <c r="B15" s="23">
        <v>5</v>
      </c>
      <c r="C15" s="23"/>
      <c r="D15" s="22">
        <v>1</v>
      </c>
      <c r="E15" s="22">
        <v>12</v>
      </c>
      <c r="F15" s="22"/>
      <c r="G15" s="21">
        <f t="shared" si="9"/>
        <v>60</v>
      </c>
      <c r="H15" s="21">
        <f t="shared" si="10"/>
        <v>60</v>
      </c>
      <c r="I15" s="21">
        <f t="shared" si="11"/>
        <v>60</v>
      </c>
      <c r="J15" s="21">
        <f t="shared" si="12"/>
        <v>180</v>
      </c>
    </row>
    <row r="16" spans="1:10" ht="15.6">
      <c r="A16" s="19"/>
      <c r="B16" s="19"/>
      <c r="C16" s="19"/>
      <c r="D16" s="19"/>
      <c r="E16" s="18"/>
      <c r="F16" s="18"/>
      <c r="G16" s="18">
        <f>SUM(G3:G15)</f>
        <v>32442</v>
      </c>
      <c r="H16" s="18">
        <f>SUM(H3:H15)</f>
        <v>32442</v>
      </c>
      <c r="I16" s="17">
        <f>SUM(I3:I15)</f>
        <v>32442</v>
      </c>
      <c r="J16" s="17">
        <f>SUM(J3:J15)</f>
        <v>97326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zoomScale="90" zoomScaleNormal="90" workbookViewId="0">
      <selection activeCell="L18" sqref="L18"/>
    </sheetView>
  </sheetViews>
  <sheetFormatPr defaultRowHeight="14.4"/>
  <cols>
    <col min="1" max="1" width="30.6640625" bestFit="1" customWidth="1"/>
    <col min="2" max="2" width="10.5546875" customWidth="1"/>
    <col min="3" max="3" width="10.88671875" customWidth="1"/>
    <col min="5" max="5" width="11.109375" customWidth="1"/>
    <col min="7" max="7" width="11.6640625" customWidth="1"/>
    <col min="8" max="8" width="12.44140625" customWidth="1"/>
    <col min="9" max="9" width="13.5546875" customWidth="1"/>
    <col min="10" max="10" width="15.6640625" customWidth="1"/>
    <col min="12" max="12" width="17.5546875" customWidth="1"/>
    <col min="13" max="13" width="20.88671875" customWidth="1"/>
    <col min="19" max="21" width="11" bestFit="1" customWidth="1"/>
    <col min="22" max="22" width="12.33203125" bestFit="1" customWidth="1"/>
  </cols>
  <sheetData>
    <row r="2" spans="1:22" ht="15.6">
      <c r="A2" s="31" t="s">
        <v>0</v>
      </c>
      <c r="B2" s="1"/>
      <c r="C2" s="1"/>
      <c r="D2" s="1"/>
      <c r="E2" s="1" t="s">
        <v>46</v>
      </c>
      <c r="F2" s="1"/>
      <c r="G2" s="1"/>
      <c r="H2" s="1"/>
      <c r="I2" s="1"/>
      <c r="J2" s="1"/>
      <c r="P2" t="s">
        <v>47</v>
      </c>
    </row>
    <row r="3" spans="1:22" ht="62.4">
      <c r="A3" s="30" t="s">
        <v>1</v>
      </c>
      <c r="B3" s="30" t="s">
        <v>2</v>
      </c>
      <c r="C3" s="30" t="s">
        <v>20</v>
      </c>
      <c r="D3" s="30" t="s">
        <v>3</v>
      </c>
      <c r="E3" s="30" t="s">
        <v>13</v>
      </c>
      <c r="F3" s="42">
        <v>0.17</v>
      </c>
      <c r="G3" s="29" t="s">
        <v>14</v>
      </c>
      <c r="H3" s="29" t="s">
        <v>15</v>
      </c>
      <c r="I3" s="29" t="s">
        <v>16</v>
      </c>
      <c r="J3" s="29" t="s">
        <v>17</v>
      </c>
      <c r="M3" s="30" t="s">
        <v>1</v>
      </c>
      <c r="N3" s="30" t="s">
        <v>2</v>
      </c>
      <c r="O3" s="30" t="s">
        <v>20</v>
      </c>
      <c r="P3" s="30" t="s">
        <v>3</v>
      </c>
      <c r="Q3" s="30" t="s">
        <v>13</v>
      </c>
      <c r="R3" s="42">
        <v>0.17</v>
      </c>
      <c r="S3" s="29" t="s">
        <v>14</v>
      </c>
      <c r="T3" s="29" t="s">
        <v>15</v>
      </c>
      <c r="U3" s="29" t="s">
        <v>16</v>
      </c>
      <c r="V3" s="29" t="s">
        <v>17</v>
      </c>
    </row>
    <row r="4" spans="1:22" ht="15.6">
      <c r="A4" s="24" t="s">
        <v>25</v>
      </c>
      <c r="B4" s="23">
        <v>350</v>
      </c>
      <c r="C4" s="43">
        <v>0.5</v>
      </c>
      <c r="D4" s="22">
        <v>1</v>
      </c>
      <c r="E4" s="22">
        <v>12</v>
      </c>
      <c r="F4" s="22">
        <f>(B4*17%)*E4</f>
        <v>714.00000000000011</v>
      </c>
      <c r="G4" s="23">
        <f>(B4*D4*E4)+F4</f>
        <v>4914</v>
      </c>
      <c r="H4" s="23">
        <f>(B4*D4*E4)+F4</f>
        <v>4914</v>
      </c>
      <c r="I4" s="23">
        <f>(B4*D4*E4)+F4</f>
        <v>4914</v>
      </c>
      <c r="J4" s="23">
        <f>SUM(G4:I4)</f>
        <v>14742</v>
      </c>
      <c r="M4" s="24" t="s">
        <v>25</v>
      </c>
      <c r="N4" s="23">
        <v>350</v>
      </c>
      <c r="O4" s="43">
        <v>0.5</v>
      </c>
      <c r="P4" s="22">
        <v>1</v>
      </c>
      <c r="Q4" s="22">
        <v>12</v>
      </c>
      <c r="R4" s="22">
        <f>(N4*17%)*Q4</f>
        <v>714.00000000000011</v>
      </c>
      <c r="S4" s="23">
        <f>(N4*P4*Q4)+R4</f>
        <v>4914</v>
      </c>
      <c r="T4" s="23">
        <f>(N4*P4*Q4)+R4</f>
        <v>4914</v>
      </c>
      <c r="U4" s="23">
        <f>(N4*P4*Q4)+R4</f>
        <v>4914</v>
      </c>
      <c r="V4" s="23">
        <f>SUM(S4:U4)</f>
        <v>14742</v>
      </c>
    </row>
    <row r="5" spans="1:22" ht="15.6">
      <c r="A5" s="24" t="s">
        <v>4</v>
      </c>
      <c r="B5" s="23">
        <v>200</v>
      </c>
      <c r="C5" s="43">
        <v>0.5</v>
      </c>
      <c r="D5" s="22">
        <v>1</v>
      </c>
      <c r="E5" s="22">
        <v>12</v>
      </c>
      <c r="F5" s="22">
        <f t="shared" ref="F5:F10" si="0">(B5*17%)*E5</f>
        <v>408</v>
      </c>
      <c r="G5" s="23">
        <f t="shared" ref="G5:G9" si="1">(B5*D5*E5)+F5</f>
        <v>2808</v>
      </c>
      <c r="H5" s="23">
        <f t="shared" ref="H5:H9" si="2">(B5*D5*E5)+F5</f>
        <v>2808</v>
      </c>
      <c r="I5" s="23">
        <f t="shared" ref="I5:I9" si="3">(B5*D5*E5)+F5</f>
        <v>2808</v>
      </c>
      <c r="J5" s="23">
        <f t="shared" ref="J5:J17" si="4">SUM(G5:I5)</f>
        <v>8424</v>
      </c>
      <c r="M5" s="24" t="s">
        <v>4</v>
      </c>
      <c r="N5" s="23">
        <v>200</v>
      </c>
      <c r="O5" s="43">
        <v>0.5</v>
      </c>
      <c r="P5" s="22">
        <v>1</v>
      </c>
      <c r="Q5" s="22">
        <v>12</v>
      </c>
      <c r="R5" s="22">
        <f t="shared" ref="R5:R6" si="5">(N5*17%)*Q5</f>
        <v>408</v>
      </c>
      <c r="S5" s="23">
        <f t="shared" ref="S5:S6" si="6">(N5*P5*Q5)+R5</f>
        <v>2808</v>
      </c>
      <c r="T5" s="23">
        <f t="shared" ref="T5:T6" si="7">(N5*P5*Q5)+R5</f>
        <v>2808</v>
      </c>
      <c r="U5" s="23">
        <f t="shared" ref="U5:U6" si="8">(N5*P5*Q5)+R5</f>
        <v>2808</v>
      </c>
      <c r="V5" s="23">
        <f t="shared" ref="V5:V6" si="9">SUM(S5:U5)</f>
        <v>8424</v>
      </c>
    </row>
    <row r="6" spans="1:22" ht="55.2">
      <c r="A6" s="49" t="s">
        <v>34</v>
      </c>
      <c r="B6" s="27">
        <v>250</v>
      </c>
      <c r="C6" s="43">
        <v>0.5</v>
      </c>
      <c r="D6" s="26">
        <v>1</v>
      </c>
      <c r="E6" s="22">
        <v>12</v>
      </c>
      <c r="F6" s="22">
        <f t="shared" si="0"/>
        <v>510</v>
      </c>
      <c r="G6" s="23">
        <f t="shared" si="1"/>
        <v>3510</v>
      </c>
      <c r="H6" s="23">
        <f t="shared" si="2"/>
        <v>3510</v>
      </c>
      <c r="I6" s="23">
        <f t="shared" si="3"/>
        <v>3510</v>
      </c>
      <c r="J6" s="23">
        <f t="shared" si="4"/>
        <v>10530</v>
      </c>
      <c r="M6" s="49" t="s">
        <v>34</v>
      </c>
      <c r="N6" s="27">
        <v>250</v>
      </c>
      <c r="O6" s="43">
        <v>0.5</v>
      </c>
      <c r="P6" s="26">
        <v>1</v>
      </c>
      <c r="Q6" s="22">
        <v>12</v>
      </c>
      <c r="R6" s="22">
        <f t="shared" si="5"/>
        <v>510</v>
      </c>
      <c r="S6" s="23">
        <f t="shared" si="6"/>
        <v>3510</v>
      </c>
      <c r="T6" s="23">
        <f t="shared" si="7"/>
        <v>3510</v>
      </c>
      <c r="U6" s="23">
        <f t="shared" si="8"/>
        <v>3510</v>
      </c>
      <c r="V6" s="23">
        <f t="shared" si="9"/>
        <v>10530</v>
      </c>
    </row>
    <row r="7" spans="1:22" ht="69">
      <c r="A7" s="49" t="s">
        <v>49</v>
      </c>
      <c r="B7" s="23">
        <v>250</v>
      </c>
      <c r="C7" s="43">
        <v>0.5</v>
      </c>
      <c r="D7" s="22">
        <v>1</v>
      </c>
      <c r="E7" s="22">
        <v>12</v>
      </c>
      <c r="F7" s="22">
        <f t="shared" si="0"/>
        <v>510</v>
      </c>
      <c r="G7" s="23">
        <f t="shared" si="1"/>
        <v>3510</v>
      </c>
      <c r="H7" s="23">
        <f t="shared" si="2"/>
        <v>3510</v>
      </c>
      <c r="I7" s="23">
        <f t="shared" si="3"/>
        <v>3510</v>
      </c>
      <c r="J7" s="23">
        <f t="shared" si="4"/>
        <v>10530</v>
      </c>
      <c r="M7" s="49" t="s">
        <v>35</v>
      </c>
      <c r="N7" s="23">
        <v>250</v>
      </c>
      <c r="O7" s="43">
        <v>0.5</v>
      </c>
      <c r="P7" s="22">
        <v>4</v>
      </c>
      <c r="Q7" s="22">
        <v>12</v>
      </c>
      <c r="R7" s="22">
        <f>(N7*17%)*Q7</f>
        <v>510</v>
      </c>
      <c r="S7" s="23">
        <f>(N7*P7*Q7)+R7</f>
        <v>12510</v>
      </c>
      <c r="T7" s="23">
        <f>(N7*P7*Q7)+R7</f>
        <v>12510</v>
      </c>
      <c r="U7" s="23">
        <f>(N7*P7*Q7)+R7</f>
        <v>12510</v>
      </c>
      <c r="V7" s="23">
        <f t="shared" ref="V7:V15" si="10">SUM(S7:U7)</f>
        <v>37530</v>
      </c>
    </row>
    <row r="8" spans="1:22" ht="69">
      <c r="A8" s="49" t="s">
        <v>35</v>
      </c>
      <c r="B8" s="23">
        <v>250</v>
      </c>
      <c r="C8" s="43">
        <v>0.5</v>
      </c>
      <c r="D8" s="22">
        <v>2</v>
      </c>
      <c r="E8" s="22">
        <v>12</v>
      </c>
      <c r="F8" s="22">
        <f t="shared" si="0"/>
        <v>510</v>
      </c>
      <c r="G8" s="23">
        <f t="shared" si="1"/>
        <v>6510</v>
      </c>
      <c r="H8" s="23">
        <f t="shared" si="2"/>
        <v>6510</v>
      </c>
      <c r="I8" s="23">
        <f t="shared" si="3"/>
        <v>6510</v>
      </c>
      <c r="J8" s="23">
        <f t="shared" si="4"/>
        <v>19530</v>
      </c>
      <c r="M8" s="49" t="s">
        <v>36</v>
      </c>
      <c r="N8" s="27">
        <v>250</v>
      </c>
      <c r="O8" s="43">
        <v>0.5</v>
      </c>
      <c r="P8" s="26">
        <v>4</v>
      </c>
      <c r="Q8" s="22">
        <v>12</v>
      </c>
      <c r="R8" s="22">
        <f>(N8*17%)*Q8</f>
        <v>510</v>
      </c>
      <c r="S8" s="23">
        <f>(N8*P8*Q8)+R8</f>
        <v>12510</v>
      </c>
      <c r="T8" s="23">
        <f>(N8*P8*Q8)+R8</f>
        <v>12510</v>
      </c>
      <c r="U8" s="23">
        <f>(N8*P8*Q8)+R8</f>
        <v>12510</v>
      </c>
      <c r="V8" s="23">
        <f t="shared" si="10"/>
        <v>37530</v>
      </c>
    </row>
    <row r="9" spans="1:22" ht="55.2">
      <c r="A9" s="49" t="s">
        <v>36</v>
      </c>
      <c r="B9" s="27">
        <v>250</v>
      </c>
      <c r="C9" s="43">
        <v>0.5</v>
      </c>
      <c r="D9" s="26">
        <v>2</v>
      </c>
      <c r="E9" s="22">
        <v>12</v>
      </c>
      <c r="F9" s="22">
        <f t="shared" si="0"/>
        <v>510</v>
      </c>
      <c r="G9" s="23">
        <f t="shared" si="1"/>
        <v>6510</v>
      </c>
      <c r="H9" s="23">
        <f t="shared" si="2"/>
        <v>6510</v>
      </c>
      <c r="I9" s="23">
        <f t="shared" si="3"/>
        <v>6510</v>
      </c>
      <c r="J9" s="23">
        <f t="shared" si="4"/>
        <v>19530</v>
      </c>
      <c r="M9" s="49" t="s">
        <v>37</v>
      </c>
      <c r="N9" s="27">
        <v>150</v>
      </c>
      <c r="O9" s="43">
        <v>0.25</v>
      </c>
      <c r="P9" s="26">
        <v>1</v>
      </c>
      <c r="Q9" s="22">
        <v>12</v>
      </c>
      <c r="R9" s="22">
        <f>(N9*17%)*Q9</f>
        <v>306.00000000000006</v>
      </c>
      <c r="S9" s="21">
        <f>(N9*P9*Q9)+R9</f>
        <v>2106</v>
      </c>
      <c r="T9" s="23">
        <f>(N9*P9*Q9)+R9</f>
        <v>2106</v>
      </c>
      <c r="U9" s="23">
        <f>(N9*P9*Q9)+R9</f>
        <v>2106</v>
      </c>
      <c r="V9" s="21">
        <f t="shared" si="10"/>
        <v>6318</v>
      </c>
    </row>
    <row r="10" spans="1:22" ht="46.8">
      <c r="A10" s="49" t="s">
        <v>37</v>
      </c>
      <c r="B10" s="27">
        <v>150</v>
      </c>
      <c r="C10" s="43">
        <v>0.25</v>
      </c>
      <c r="D10" s="26">
        <v>1</v>
      </c>
      <c r="E10" s="22">
        <v>12</v>
      </c>
      <c r="F10" s="22">
        <f t="shared" si="0"/>
        <v>306.00000000000006</v>
      </c>
      <c r="G10" s="21">
        <f>(B10*D10*E10)</f>
        <v>1800</v>
      </c>
      <c r="H10" s="21">
        <f>(B10*D10*E10)</f>
        <v>1800</v>
      </c>
      <c r="I10" s="21">
        <f>(B10*D10*E10)</f>
        <v>1800</v>
      </c>
      <c r="J10" s="21">
        <f t="shared" si="4"/>
        <v>5400</v>
      </c>
      <c r="M10" s="24" t="s">
        <v>6</v>
      </c>
      <c r="N10" s="23">
        <v>800</v>
      </c>
      <c r="O10" s="23"/>
      <c r="P10" s="22">
        <v>1</v>
      </c>
      <c r="Q10" s="22">
        <v>12</v>
      </c>
      <c r="R10" s="22"/>
      <c r="S10" s="21">
        <f t="shared" ref="S10:S14" si="11">(N10*P10*Q10)</f>
        <v>9600</v>
      </c>
      <c r="T10" s="21">
        <f t="shared" ref="T10:T14" si="12">(N10*P10*Q10)</f>
        <v>9600</v>
      </c>
      <c r="U10" s="21">
        <f t="shared" ref="U10:U14" si="13">(N10*P10*Q10)</f>
        <v>9600</v>
      </c>
      <c r="V10" s="21">
        <f t="shared" si="10"/>
        <v>28800</v>
      </c>
    </row>
    <row r="11" spans="1:22" ht="31.2">
      <c r="A11" s="24" t="s">
        <v>6</v>
      </c>
      <c r="B11" s="23">
        <v>800</v>
      </c>
      <c r="C11" s="23"/>
      <c r="D11" s="22">
        <v>1</v>
      </c>
      <c r="E11" s="22">
        <v>12</v>
      </c>
      <c r="F11" s="22"/>
      <c r="G11" s="21">
        <f t="shared" ref="G11:G15" si="14">(B11*D11*E11)</f>
        <v>9600</v>
      </c>
      <c r="H11" s="21">
        <f t="shared" ref="H11:H15" si="15">(B11*D11*E11)</f>
        <v>9600</v>
      </c>
      <c r="I11" s="21">
        <f t="shared" ref="I11:I15" si="16">(B11*D11*E11)</f>
        <v>9600</v>
      </c>
      <c r="J11" s="21">
        <f t="shared" si="4"/>
        <v>28800</v>
      </c>
      <c r="M11" s="24" t="s">
        <v>7</v>
      </c>
      <c r="N11" s="23">
        <v>20</v>
      </c>
      <c r="O11" s="23"/>
      <c r="P11" s="22">
        <v>1</v>
      </c>
      <c r="Q11" s="22">
        <v>12</v>
      </c>
      <c r="R11" s="22"/>
      <c r="S11" s="21">
        <f t="shared" si="11"/>
        <v>240</v>
      </c>
      <c r="T11" s="21">
        <f t="shared" si="12"/>
        <v>240</v>
      </c>
      <c r="U11" s="21">
        <f t="shared" si="13"/>
        <v>240</v>
      </c>
      <c r="V11" s="21">
        <f t="shared" si="10"/>
        <v>720</v>
      </c>
    </row>
    <row r="12" spans="1:22" ht="46.8">
      <c r="A12" s="24" t="s">
        <v>7</v>
      </c>
      <c r="B12" s="23">
        <v>20</v>
      </c>
      <c r="C12" s="23"/>
      <c r="D12" s="22">
        <v>1</v>
      </c>
      <c r="E12" s="22">
        <v>12</v>
      </c>
      <c r="F12" s="22"/>
      <c r="G12" s="21">
        <f t="shared" si="14"/>
        <v>240</v>
      </c>
      <c r="H12" s="21">
        <f t="shared" si="15"/>
        <v>240</v>
      </c>
      <c r="I12" s="21">
        <f t="shared" si="16"/>
        <v>240</v>
      </c>
      <c r="J12" s="21">
        <f t="shared" si="4"/>
        <v>720</v>
      </c>
      <c r="M12" s="24" t="s">
        <v>8</v>
      </c>
      <c r="N12" s="23">
        <v>10</v>
      </c>
      <c r="O12" s="23"/>
      <c r="P12" s="22">
        <v>1</v>
      </c>
      <c r="Q12" s="22">
        <v>12</v>
      </c>
      <c r="R12" s="22"/>
      <c r="S12" s="21">
        <f t="shared" si="11"/>
        <v>120</v>
      </c>
      <c r="T12" s="21">
        <f t="shared" si="12"/>
        <v>120</v>
      </c>
      <c r="U12" s="21">
        <f t="shared" si="13"/>
        <v>120</v>
      </c>
      <c r="V12" s="21">
        <f t="shared" si="10"/>
        <v>360</v>
      </c>
    </row>
    <row r="13" spans="1:22" ht="31.2">
      <c r="A13" s="24" t="s">
        <v>8</v>
      </c>
      <c r="B13" s="23">
        <v>10</v>
      </c>
      <c r="C13" s="23"/>
      <c r="D13" s="22">
        <v>1</v>
      </c>
      <c r="E13" s="22">
        <v>12</v>
      </c>
      <c r="F13" s="22"/>
      <c r="G13" s="21">
        <f t="shared" si="14"/>
        <v>120</v>
      </c>
      <c r="H13" s="21">
        <f t="shared" si="15"/>
        <v>120</v>
      </c>
      <c r="I13" s="21">
        <f t="shared" si="16"/>
        <v>120</v>
      </c>
      <c r="J13" s="21">
        <f t="shared" si="4"/>
        <v>360</v>
      </c>
      <c r="M13" s="24" t="s">
        <v>26</v>
      </c>
      <c r="N13" s="23">
        <v>100</v>
      </c>
      <c r="O13" s="23"/>
      <c r="P13" s="22">
        <v>15</v>
      </c>
      <c r="Q13" s="22">
        <v>12</v>
      </c>
      <c r="R13" s="22"/>
      <c r="S13" s="21">
        <f t="shared" si="11"/>
        <v>18000</v>
      </c>
      <c r="T13" s="21">
        <f t="shared" si="12"/>
        <v>18000</v>
      </c>
      <c r="U13" s="21">
        <f t="shared" si="13"/>
        <v>18000</v>
      </c>
      <c r="V13" s="21">
        <f t="shared" si="10"/>
        <v>54000</v>
      </c>
    </row>
    <row r="14" spans="1:22" ht="15.6">
      <c r="A14" s="24" t="s">
        <v>26</v>
      </c>
      <c r="B14" s="23">
        <v>100</v>
      </c>
      <c r="C14" s="23"/>
      <c r="D14" s="22">
        <v>9</v>
      </c>
      <c r="E14" s="22">
        <v>12</v>
      </c>
      <c r="F14" s="22"/>
      <c r="G14" s="21">
        <f t="shared" si="14"/>
        <v>10800</v>
      </c>
      <c r="H14" s="21">
        <f t="shared" si="15"/>
        <v>10800</v>
      </c>
      <c r="I14" s="21">
        <f t="shared" si="16"/>
        <v>10800</v>
      </c>
      <c r="J14" s="21">
        <f t="shared" si="4"/>
        <v>32400</v>
      </c>
      <c r="M14" s="24" t="s">
        <v>10</v>
      </c>
      <c r="N14" s="23">
        <v>5</v>
      </c>
      <c r="O14" s="23"/>
      <c r="P14" s="22">
        <v>1</v>
      </c>
      <c r="Q14" s="22">
        <v>12</v>
      </c>
      <c r="R14" s="22"/>
      <c r="S14" s="21">
        <f t="shared" si="11"/>
        <v>60</v>
      </c>
      <c r="T14" s="21">
        <f t="shared" si="12"/>
        <v>60</v>
      </c>
      <c r="U14" s="21">
        <f t="shared" si="13"/>
        <v>60</v>
      </c>
      <c r="V14" s="21">
        <f t="shared" si="10"/>
        <v>180</v>
      </c>
    </row>
    <row r="15" spans="1:22" ht="15.6">
      <c r="A15" s="24" t="s">
        <v>10</v>
      </c>
      <c r="B15" s="23">
        <v>5</v>
      </c>
      <c r="C15" s="23"/>
      <c r="D15" s="22">
        <v>1</v>
      </c>
      <c r="E15" s="22">
        <v>12</v>
      </c>
      <c r="F15" s="22"/>
      <c r="G15" s="21">
        <f t="shared" si="14"/>
        <v>60</v>
      </c>
      <c r="H15" s="21">
        <f t="shared" si="15"/>
        <v>60</v>
      </c>
      <c r="I15" s="21">
        <f t="shared" si="16"/>
        <v>60</v>
      </c>
      <c r="J15" s="21">
        <f t="shared" si="4"/>
        <v>180</v>
      </c>
      <c r="M15" s="44" t="s">
        <v>48</v>
      </c>
      <c r="N15" s="45">
        <v>250</v>
      </c>
      <c r="O15" s="53">
        <v>0.5</v>
      </c>
      <c r="P15" s="46">
        <v>7</v>
      </c>
      <c r="Q15" s="46">
        <v>12</v>
      </c>
      <c r="R15" s="22">
        <f t="shared" ref="R15" si="17">(N15*17%)*Q15</f>
        <v>510</v>
      </c>
      <c r="S15" s="54">
        <f>(N15*P15*Q15)+R15</f>
        <v>21510</v>
      </c>
      <c r="T15" s="54">
        <f>(N15*P15*Q15)+R15</f>
        <v>21510</v>
      </c>
      <c r="U15" s="54">
        <f>(N15*P15*Q15)+R15</f>
        <v>21510</v>
      </c>
      <c r="V15" s="54">
        <f t="shared" si="10"/>
        <v>64530</v>
      </c>
    </row>
    <row r="16" spans="1:22" ht="15.6">
      <c r="A16" s="24"/>
      <c r="B16" s="23"/>
      <c r="C16" s="23"/>
      <c r="D16" s="22"/>
      <c r="E16" s="22"/>
      <c r="F16" s="22"/>
      <c r="G16" s="21"/>
      <c r="H16" s="21"/>
      <c r="I16" s="21"/>
      <c r="J16" s="21"/>
      <c r="M16" s="24" t="s">
        <v>17</v>
      </c>
      <c r="N16" s="47"/>
      <c r="O16" s="47"/>
      <c r="P16" s="47"/>
      <c r="Q16" s="47"/>
      <c r="R16" s="47"/>
      <c r="S16" s="48">
        <f>SUM(S4:S15)</f>
        <v>87888</v>
      </c>
      <c r="T16" s="48">
        <f>SUM(T4:T15)</f>
        <v>87888</v>
      </c>
      <c r="U16" s="48">
        <f>SUM(U4:U15)</f>
        <v>87888</v>
      </c>
      <c r="V16" s="48">
        <f>SUM(S16:U16)</f>
        <v>263664</v>
      </c>
    </row>
    <row r="17" spans="1:13" ht="15.6">
      <c r="A17" s="24" t="s">
        <v>17</v>
      </c>
      <c r="B17" s="47"/>
      <c r="C17" s="47"/>
      <c r="D17" s="47"/>
      <c r="E17" s="47"/>
      <c r="F17" s="47"/>
      <c r="G17" s="48">
        <f>SUM(G4:G15)</f>
        <v>50382</v>
      </c>
      <c r="H17" s="48">
        <f>SUM(H4:H15)</f>
        <v>50382</v>
      </c>
      <c r="I17" s="48">
        <f>SUM(I4:I15)</f>
        <v>50382</v>
      </c>
      <c r="J17" s="48">
        <f t="shared" si="4"/>
        <v>151146</v>
      </c>
      <c r="L17" s="50">
        <f>G17+S16</f>
        <v>138270</v>
      </c>
    </row>
    <row r="18" spans="1:13">
      <c r="L18" s="50">
        <f>(S16+G17)/2</f>
        <v>69135</v>
      </c>
      <c r="M18">
        <f>L18*3</f>
        <v>207405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A7" zoomScale="120" zoomScaleNormal="120" workbookViewId="0">
      <selection activeCell="A13" sqref="A13"/>
    </sheetView>
  </sheetViews>
  <sheetFormatPr defaultRowHeight="54.75" customHeight="1"/>
  <cols>
    <col min="1" max="1" width="37.5546875" customWidth="1"/>
    <col min="2" max="2" width="12.109375" customWidth="1"/>
    <col min="3" max="3" width="11.6640625" customWidth="1"/>
    <col min="4" max="4" width="11.33203125" customWidth="1"/>
    <col min="5" max="5" width="13.33203125" customWidth="1"/>
    <col min="6" max="6" width="12" customWidth="1"/>
    <col min="7" max="7" width="11.88671875" customWidth="1"/>
    <col min="8" max="8" width="16.6640625" customWidth="1"/>
  </cols>
  <sheetData>
    <row r="1" spans="1:11" s="222" customFormat="1" ht="63" thickBot="1">
      <c r="A1" s="219" t="s">
        <v>238</v>
      </c>
      <c r="B1" s="219" t="s">
        <v>239</v>
      </c>
      <c r="C1" s="219" t="s">
        <v>240</v>
      </c>
      <c r="D1" s="219" t="s">
        <v>241</v>
      </c>
      <c r="E1" s="219" t="s">
        <v>242</v>
      </c>
      <c r="F1" s="219" t="s">
        <v>243</v>
      </c>
      <c r="G1" s="219" t="s">
        <v>244</v>
      </c>
      <c r="H1" s="220" t="s">
        <v>245</v>
      </c>
      <c r="I1" s="221"/>
      <c r="J1" s="221"/>
      <c r="K1" s="221"/>
    </row>
    <row r="2" spans="1:11" ht="15.6">
      <c r="A2" s="201" t="s">
        <v>227</v>
      </c>
      <c r="B2" s="202"/>
      <c r="C2" s="202"/>
      <c r="D2" s="203"/>
      <c r="E2" s="204"/>
      <c r="F2" s="204"/>
      <c r="G2" s="203"/>
      <c r="H2" s="39"/>
      <c r="I2" s="222" t="s">
        <v>246</v>
      </c>
      <c r="J2" s="222">
        <v>83.420425420000001</v>
      </c>
    </row>
    <row r="3" spans="1:11" ht="15.6">
      <c r="A3" s="205" t="s">
        <v>228</v>
      </c>
      <c r="B3" s="206">
        <f>45000/83.42</f>
        <v>539.43898345720447</v>
      </c>
      <c r="C3" s="207">
        <v>1</v>
      </c>
      <c r="D3" s="207">
        <v>12</v>
      </c>
      <c r="E3" s="208">
        <f t="shared" ref="E3:E9" si="0">B3*C3*D3</f>
        <v>6473.2678014864541</v>
      </c>
      <c r="F3" s="208">
        <f t="shared" ref="F3:G9" si="1">E3</f>
        <v>6473.2678014864541</v>
      </c>
      <c r="G3" s="208">
        <f t="shared" si="1"/>
        <v>6473.2678014864541</v>
      </c>
      <c r="H3" s="209">
        <f t="shared" ref="H3:H12" si="2">E3+F3+G3</f>
        <v>19419.803404459362</v>
      </c>
    </row>
    <row r="4" spans="1:11" ht="24.75" customHeight="1">
      <c r="A4" s="205" t="s">
        <v>229</v>
      </c>
      <c r="B4" s="207">
        <f>10000/83.42</f>
        <v>119.87532965715656</v>
      </c>
      <c r="C4" s="207">
        <v>1</v>
      </c>
      <c r="D4" s="207">
        <v>12</v>
      </c>
      <c r="E4" s="208">
        <f t="shared" si="0"/>
        <v>1438.5039558858787</v>
      </c>
      <c r="F4" s="208">
        <f t="shared" si="1"/>
        <v>1438.5039558858787</v>
      </c>
      <c r="G4" s="208">
        <f t="shared" si="1"/>
        <v>1438.5039558858787</v>
      </c>
      <c r="H4" s="209">
        <f t="shared" si="2"/>
        <v>4315.5118676576358</v>
      </c>
    </row>
    <row r="5" spans="1:11" ht="64.5" customHeight="1">
      <c r="A5" s="205" t="s">
        <v>230</v>
      </c>
      <c r="B5" s="206">
        <f>3500/83.42</f>
        <v>41.956365380004797</v>
      </c>
      <c r="C5" s="207">
        <f>3*10</f>
        <v>30</v>
      </c>
      <c r="D5" s="207">
        <v>12</v>
      </c>
      <c r="E5" s="208">
        <f t="shared" si="0"/>
        <v>15104.291536801726</v>
      </c>
      <c r="F5" s="208">
        <f t="shared" si="1"/>
        <v>15104.291536801726</v>
      </c>
      <c r="G5" s="208">
        <f t="shared" si="1"/>
        <v>15104.291536801726</v>
      </c>
      <c r="H5" s="209">
        <f t="shared" si="2"/>
        <v>45312.874610405175</v>
      </c>
    </row>
    <row r="6" spans="1:11" ht="104.25" customHeight="1">
      <c r="A6" s="205" t="s">
        <v>231</v>
      </c>
      <c r="B6" s="206">
        <f>3500/83.42</f>
        <v>41.956365380004797</v>
      </c>
      <c r="C6" s="207">
        <f>3*5</f>
        <v>15</v>
      </c>
      <c r="D6" s="207">
        <v>12</v>
      </c>
      <c r="E6" s="208">
        <f t="shared" si="0"/>
        <v>7552.1457684008628</v>
      </c>
      <c r="F6" s="208">
        <f t="shared" si="1"/>
        <v>7552.1457684008628</v>
      </c>
      <c r="G6" s="208">
        <f t="shared" si="1"/>
        <v>7552.1457684008628</v>
      </c>
      <c r="H6" s="209">
        <f t="shared" si="2"/>
        <v>22656.437305202588</v>
      </c>
    </row>
    <row r="7" spans="1:11" ht="98.25" customHeight="1">
      <c r="A7" s="210" t="s">
        <v>232</v>
      </c>
      <c r="B7" s="211">
        <f>5000/83.42</f>
        <v>59.937664828578278</v>
      </c>
      <c r="C7" s="211">
        <v>41</v>
      </c>
      <c r="D7" s="211">
        <v>12</v>
      </c>
      <c r="E7" s="212">
        <f t="shared" si="0"/>
        <v>29489.331095660513</v>
      </c>
      <c r="F7" s="212">
        <f t="shared" si="1"/>
        <v>29489.331095660513</v>
      </c>
      <c r="G7" s="212">
        <f t="shared" si="1"/>
        <v>29489.331095660513</v>
      </c>
      <c r="H7" s="213">
        <f t="shared" si="2"/>
        <v>88467.993286981538</v>
      </c>
    </row>
    <row r="8" spans="1:11" ht="115.5" customHeight="1">
      <c r="A8" s="214" t="s">
        <v>233</v>
      </c>
      <c r="B8" s="211">
        <f>2000/83.42</f>
        <v>23.97506593143131</v>
      </c>
      <c r="C8" s="211">
        <v>12</v>
      </c>
      <c r="D8" s="211">
        <v>12</v>
      </c>
      <c r="E8" s="212">
        <f t="shared" si="0"/>
        <v>3452.4094941261083</v>
      </c>
      <c r="F8" s="212">
        <f t="shared" si="1"/>
        <v>3452.4094941261083</v>
      </c>
      <c r="G8" s="212">
        <f t="shared" si="1"/>
        <v>3452.4094941261083</v>
      </c>
      <c r="H8" s="213">
        <f t="shared" si="2"/>
        <v>10357.228482378325</v>
      </c>
    </row>
    <row r="9" spans="1:11" ht="38.25" customHeight="1">
      <c r="A9" s="205" t="s">
        <v>234</v>
      </c>
      <c r="B9" s="206">
        <f>10000/83.42</f>
        <v>119.87532965715656</v>
      </c>
      <c r="C9" s="207">
        <v>8</v>
      </c>
      <c r="D9" s="207">
        <v>12</v>
      </c>
      <c r="E9" s="208">
        <f t="shared" si="0"/>
        <v>11508.031647087029</v>
      </c>
      <c r="F9" s="208">
        <f t="shared" si="1"/>
        <v>11508.031647087029</v>
      </c>
      <c r="G9" s="208">
        <f t="shared" si="1"/>
        <v>11508.031647087029</v>
      </c>
      <c r="H9" s="209">
        <f t="shared" si="2"/>
        <v>34524.094941261086</v>
      </c>
    </row>
    <row r="10" spans="1:11" ht="36" customHeight="1">
      <c r="A10" s="215" t="s">
        <v>235</v>
      </c>
      <c r="B10" s="207"/>
      <c r="C10" s="207"/>
      <c r="D10" s="207"/>
      <c r="E10" s="208">
        <f>SUM(E3:E9)*17.25%</f>
        <v>12940.601774154877</v>
      </c>
      <c r="F10" s="208">
        <f>SUM(F3:F9)*17.25%</f>
        <v>12940.601774154877</v>
      </c>
      <c r="G10" s="208">
        <f>SUM(G3:G9)*17.25%</f>
        <v>12940.601774154877</v>
      </c>
      <c r="H10" s="209">
        <f t="shared" si="2"/>
        <v>38821.805322464628</v>
      </c>
    </row>
    <row r="11" spans="1:11" ht="54.75" customHeight="1">
      <c r="A11" s="215" t="s">
        <v>236</v>
      </c>
      <c r="B11" s="207">
        <f>5000/83.42</f>
        <v>59.937664828578278</v>
      </c>
      <c r="C11" s="207">
        <v>1</v>
      </c>
      <c r="D11" s="207">
        <v>12</v>
      </c>
      <c r="E11" s="208">
        <f>B11*C11*D11</f>
        <v>719.25197794293933</v>
      </c>
      <c r="F11" s="208">
        <f>E11</f>
        <v>719.25197794293933</v>
      </c>
      <c r="G11" s="208">
        <f>F11</f>
        <v>719.25197794293933</v>
      </c>
      <c r="H11" s="209">
        <f t="shared" si="2"/>
        <v>2157.7559338288179</v>
      </c>
    </row>
    <row r="12" spans="1:11" ht="27" customHeight="1">
      <c r="A12" s="216" t="s">
        <v>237</v>
      </c>
      <c r="B12" s="217"/>
      <c r="C12" s="217"/>
      <c r="D12" s="217"/>
      <c r="E12" s="217">
        <f>SUM(E3:E11)</f>
        <v>88677.835051546383</v>
      </c>
      <c r="F12" s="217">
        <f>E12</f>
        <v>88677.835051546383</v>
      </c>
      <c r="G12" s="217">
        <f>F12</f>
        <v>88677.835051546383</v>
      </c>
      <c r="H12" s="218">
        <f t="shared" si="2"/>
        <v>266033.50515463913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I21" sqref="I21"/>
    </sheetView>
  </sheetViews>
  <sheetFormatPr defaultRowHeight="14.4"/>
  <cols>
    <col min="1" max="1" width="18.88671875" customWidth="1"/>
    <col min="9" max="9" width="23.109375" customWidth="1"/>
  </cols>
  <sheetData>
    <row r="1" spans="1:12">
      <c r="A1" t="s">
        <v>52</v>
      </c>
      <c r="B1" t="s">
        <v>54</v>
      </c>
      <c r="C1" t="s">
        <v>60</v>
      </c>
      <c r="I1" t="s">
        <v>53</v>
      </c>
    </row>
    <row r="2" spans="1:12">
      <c r="A2" t="s">
        <v>51</v>
      </c>
      <c r="B2">
        <v>2</v>
      </c>
      <c r="C2">
        <v>50</v>
      </c>
      <c r="D2">
        <f>B2*C2*3</f>
        <v>300</v>
      </c>
      <c r="I2" t="s">
        <v>51</v>
      </c>
      <c r="J2">
        <v>2</v>
      </c>
      <c r="K2">
        <v>50</v>
      </c>
      <c r="L2">
        <f>J2*K2*4</f>
        <v>400</v>
      </c>
    </row>
    <row r="3" spans="1:12">
      <c r="A3" t="s">
        <v>55</v>
      </c>
      <c r="B3">
        <v>25</v>
      </c>
      <c r="C3">
        <v>2</v>
      </c>
      <c r="D3">
        <f>B3*C3*4</f>
        <v>200</v>
      </c>
      <c r="I3" t="s">
        <v>55</v>
      </c>
      <c r="J3">
        <v>25</v>
      </c>
      <c r="K3">
        <v>2</v>
      </c>
      <c r="L3">
        <f>J3*K3*6</f>
        <v>300</v>
      </c>
    </row>
    <row r="4" spans="1:12">
      <c r="A4" t="s">
        <v>56</v>
      </c>
      <c r="B4">
        <v>25</v>
      </c>
      <c r="C4">
        <v>8</v>
      </c>
      <c r="D4">
        <f>B4*C4*2</f>
        <v>400</v>
      </c>
      <c r="I4" t="s">
        <v>56</v>
      </c>
      <c r="J4">
        <v>25</v>
      </c>
      <c r="K4">
        <v>8</v>
      </c>
      <c r="L4">
        <f>J4*K4*3</f>
        <v>600</v>
      </c>
    </row>
    <row r="5" spans="1:12">
      <c r="A5" t="s">
        <v>57</v>
      </c>
      <c r="B5">
        <v>25</v>
      </c>
      <c r="C5">
        <v>5</v>
      </c>
      <c r="D5">
        <f>B5*C5*3</f>
        <v>375</v>
      </c>
      <c r="I5" t="s">
        <v>57</v>
      </c>
      <c r="J5">
        <v>25</v>
      </c>
      <c r="K5">
        <v>5</v>
      </c>
      <c r="L5">
        <f t="shared" ref="L5:L6" si="0">J5*K5*4</f>
        <v>500</v>
      </c>
    </row>
    <row r="6" spans="1:12">
      <c r="A6" t="s">
        <v>58</v>
      </c>
      <c r="B6">
        <v>25</v>
      </c>
      <c r="C6">
        <v>40</v>
      </c>
      <c r="D6">
        <f>B6*C6*3</f>
        <v>3000</v>
      </c>
      <c r="I6" t="s">
        <v>58</v>
      </c>
      <c r="J6">
        <v>25</v>
      </c>
      <c r="K6">
        <v>40</v>
      </c>
      <c r="L6">
        <f t="shared" si="0"/>
        <v>4000</v>
      </c>
    </row>
    <row r="7" spans="1:12">
      <c r="A7" t="s">
        <v>59</v>
      </c>
      <c r="B7">
        <v>20</v>
      </c>
      <c r="C7">
        <v>10</v>
      </c>
      <c r="D7">
        <f>B7*C7*2</f>
        <v>400</v>
      </c>
      <c r="I7" t="s">
        <v>59</v>
      </c>
      <c r="J7">
        <v>20</v>
      </c>
      <c r="K7">
        <v>10</v>
      </c>
      <c r="L7">
        <f>J7*K7*2</f>
        <v>400</v>
      </c>
    </row>
    <row r="8" spans="1:12">
      <c r="D8">
        <f>SUM(D2:D7)</f>
        <v>4675</v>
      </c>
      <c r="L8">
        <f>SUM(L2:L7)</f>
        <v>6200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opLeftCell="D1" zoomScale="67" workbookViewId="0">
      <selection activeCell="L12" sqref="L12:L13"/>
    </sheetView>
  </sheetViews>
  <sheetFormatPr defaultColWidth="13.88671875" defaultRowHeight="14.4"/>
  <cols>
    <col min="1" max="1" width="5.88671875" customWidth="1"/>
    <col min="2" max="2" width="31.33203125" customWidth="1"/>
    <col min="3" max="3" width="55.5546875" customWidth="1"/>
    <col min="4" max="4" width="66" customWidth="1"/>
    <col min="5" max="5" width="18.44140625" customWidth="1"/>
    <col min="6" max="8" width="6.44140625" customWidth="1"/>
    <col min="9" max="9" width="12.44140625" customWidth="1"/>
    <col min="10" max="11" width="15.6640625" customWidth="1"/>
    <col min="12" max="13" width="15.33203125" customWidth="1"/>
    <col min="14" max="14" width="15.5546875" customWidth="1"/>
    <col min="15" max="15" width="18" customWidth="1"/>
    <col min="16" max="16" width="19.88671875" customWidth="1"/>
    <col min="17" max="25" width="9.44140625" customWidth="1"/>
  </cols>
  <sheetData>
    <row r="1" spans="1:16" ht="15" thickBot="1">
      <c r="I1" s="142" t="s">
        <v>175</v>
      </c>
      <c r="J1" s="143">
        <v>0.2</v>
      </c>
    </row>
    <row r="2" spans="1:16" ht="13.5" customHeight="1">
      <c r="A2" s="99" t="s">
        <v>138</v>
      </c>
      <c r="B2" s="100"/>
      <c r="C2" s="100"/>
      <c r="D2" s="100"/>
      <c r="E2" s="100"/>
      <c r="F2" s="101" t="s">
        <v>139</v>
      </c>
      <c r="G2" s="102"/>
      <c r="H2" s="102"/>
      <c r="I2" s="102"/>
      <c r="J2" s="100"/>
      <c r="K2" s="99" t="s">
        <v>140</v>
      </c>
      <c r="L2" s="102"/>
      <c r="M2" s="102"/>
      <c r="N2" s="100"/>
      <c r="O2" s="100"/>
      <c r="P2" s="100"/>
    </row>
    <row r="3" spans="1:16" ht="13.5" customHeight="1">
      <c r="A3" s="103" t="s">
        <v>141</v>
      </c>
      <c r="B3" s="104" t="s">
        <v>142</v>
      </c>
      <c r="C3" s="104" t="s">
        <v>143</v>
      </c>
      <c r="D3" s="104" t="s">
        <v>144</v>
      </c>
      <c r="E3" s="104" t="s">
        <v>145</v>
      </c>
      <c r="F3" s="105">
        <v>2024</v>
      </c>
      <c r="G3" s="105">
        <v>2025</v>
      </c>
      <c r="H3" s="105">
        <v>2026</v>
      </c>
      <c r="I3" s="105" t="s">
        <v>146</v>
      </c>
      <c r="J3" s="105" t="s">
        <v>147</v>
      </c>
      <c r="K3" s="105">
        <v>2024</v>
      </c>
      <c r="L3" s="105">
        <v>2025</v>
      </c>
      <c r="M3" s="105">
        <v>2026</v>
      </c>
      <c r="N3" s="105" t="s">
        <v>148</v>
      </c>
      <c r="O3" s="104" t="s">
        <v>149</v>
      </c>
      <c r="P3" s="106" t="s">
        <v>150</v>
      </c>
    </row>
    <row r="4" spans="1:16" ht="41.4">
      <c r="A4" s="107">
        <v>1</v>
      </c>
      <c r="B4" s="107" t="s">
        <v>151</v>
      </c>
      <c r="C4" s="107" t="s">
        <v>152</v>
      </c>
      <c r="D4" s="107" t="s">
        <v>153</v>
      </c>
      <c r="E4" s="107" t="s">
        <v>154</v>
      </c>
      <c r="F4" s="108">
        <v>10</v>
      </c>
      <c r="G4" s="108"/>
      <c r="H4" s="108"/>
      <c r="I4" s="108">
        <f>SUM(F4:H4)</f>
        <v>10</v>
      </c>
      <c r="J4" s="109">
        <v>1895</v>
      </c>
      <c r="K4" s="110">
        <f t="shared" ref="K4:M5" si="0">F4*$J4</f>
        <v>18950</v>
      </c>
      <c r="L4" s="110">
        <f t="shared" si="0"/>
        <v>0</v>
      </c>
      <c r="M4" s="110">
        <f t="shared" si="0"/>
        <v>0</v>
      </c>
      <c r="N4" s="110">
        <f t="shared" ref="N4:N10" si="1">SUM(K4:M4)</f>
        <v>18950</v>
      </c>
      <c r="O4" s="107" t="s">
        <v>155</v>
      </c>
      <c r="P4" s="111"/>
    </row>
    <row r="5" spans="1:16" ht="27.6">
      <c r="A5" s="107">
        <v>2</v>
      </c>
      <c r="B5" s="107" t="s">
        <v>156</v>
      </c>
      <c r="C5" s="107"/>
      <c r="D5" s="107" t="s">
        <v>157</v>
      </c>
      <c r="E5" s="107" t="s">
        <v>158</v>
      </c>
      <c r="F5" s="108">
        <v>12</v>
      </c>
      <c r="G5" s="108"/>
      <c r="H5" s="108"/>
      <c r="I5" s="108">
        <f>SUM(F5:H5)</f>
        <v>12</v>
      </c>
      <c r="J5" s="109">
        <v>2395</v>
      </c>
      <c r="K5" s="110">
        <f t="shared" si="0"/>
        <v>28740</v>
      </c>
      <c r="L5" s="110">
        <f t="shared" si="0"/>
        <v>0</v>
      </c>
      <c r="M5" s="110">
        <f t="shared" si="0"/>
        <v>0</v>
      </c>
      <c r="N5" s="110">
        <f t="shared" si="1"/>
        <v>28740</v>
      </c>
      <c r="O5" s="107" t="s">
        <v>155</v>
      </c>
      <c r="P5" s="111"/>
    </row>
    <row r="6" spans="1:16" ht="13.5" customHeight="1">
      <c r="A6" s="107">
        <v>1.1000000000000001</v>
      </c>
      <c r="B6" s="107" t="str">
        <f>"PSM ("&amp;$J$1*100&amp;"%)"</f>
        <v>PSM (20%)</v>
      </c>
      <c r="C6" s="107"/>
      <c r="D6" s="112"/>
      <c r="E6" s="107"/>
      <c r="F6" s="108"/>
      <c r="G6" s="108"/>
      <c r="H6" s="108"/>
      <c r="I6" s="108"/>
      <c r="J6" s="113">
        <f>$J$1</f>
        <v>0.2</v>
      </c>
      <c r="K6" s="110">
        <f>SUM(K4:K5)*$J6</f>
        <v>9538</v>
      </c>
      <c r="L6" s="110">
        <f t="shared" ref="L6:M6" si="2">SUM(L4:L5)*$J6</f>
        <v>0</v>
      </c>
      <c r="M6" s="110">
        <f t="shared" si="2"/>
        <v>0</v>
      </c>
      <c r="N6" s="110">
        <f t="shared" si="1"/>
        <v>9538</v>
      </c>
      <c r="O6" s="107"/>
      <c r="P6" s="111"/>
    </row>
    <row r="7" spans="1:16" ht="69">
      <c r="A7" s="107">
        <v>3</v>
      </c>
      <c r="B7" s="107" t="s">
        <v>159</v>
      </c>
      <c r="C7" s="107" t="s">
        <v>160</v>
      </c>
      <c r="D7" s="107" t="s">
        <v>161</v>
      </c>
      <c r="E7" s="107" t="s">
        <v>162</v>
      </c>
      <c r="F7" s="108">
        <v>84</v>
      </c>
      <c r="G7" s="108"/>
      <c r="H7" s="108"/>
      <c r="I7" s="108">
        <f>SUM(F7:H7)</f>
        <v>84</v>
      </c>
      <c r="J7" s="109">
        <v>3860</v>
      </c>
      <c r="K7" s="110">
        <f t="shared" ref="K7:M7" si="3">F7*$J7</f>
        <v>324240</v>
      </c>
      <c r="L7" s="110">
        <f t="shared" si="3"/>
        <v>0</v>
      </c>
      <c r="M7" s="110">
        <f t="shared" si="3"/>
        <v>0</v>
      </c>
      <c r="N7" s="110">
        <f t="shared" si="1"/>
        <v>324240</v>
      </c>
      <c r="O7" s="107" t="s">
        <v>155</v>
      </c>
      <c r="P7" s="111"/>
    </row>
    <row r="8" spans="1:16" ht="13.5" customHeight="1">
      <c r="A8" s="107">
        <v>3.1</v>
      </c>
      <c r="B8" s="107" t="str">
        <f>"PSM ("&amp;$J$1*100&amp;"%)"</f>
        <v>PSM (20%)</v>
      </c>
      <c r="C8" s="107"/>
      <c r="D8" s="112"/>
      <c r="E8" s="107"/>
      <c r="F8" s="108"/>
      <c r="G8" s="108"/>
      <c r="H8" s="108"/>
      <c r="I8" s="108"/>
      <c r="J8" s="113">
        <f>$J$1</f>
        <v>0.2</v>
      </c>
      <c r="K8" s="110">
        <f t="shared" ref="K8:M8" si="4">K7*$J8</f>
        <v>64848</v>
      </c>
      <c r="L8" s="110">
        <f t="shared" si="4"/>
        <v>0</v>
      </c>
      <c r="M8" s="110">
        <f t="shared" si="4"/>
        <v>0</v>
      </c>
      <c r="N8" s="110">
        <f t="shared" si="1"/>
        <v>64848</v>
      </c>
      <c r="O8" s="107"/>
      <c r="P8" s="111"/>
    </row>
    <row r="9" spans="1:16" ht="27.6">
      <c r="A9" s="107">
        <v>4</v>
      </c>
      <c r="B9" s="107" t="s">
        <v>163</v>
      </c>
      <c r="C9" s="107" t="s">
        <v>164</v>
      </c>
      <c r="D9" s="107"/>
      <c r="E9" s="107" t="s">
        <v>162</v>
      </c>
      <c r="F9" s="108"/>
      <c r="G9" s="108">
        <v>27</v>
      </c>
      <c r="H9" s="108">
        <v>27</v>
      </c>
      <c r="I9" s="108">
        <f>SUM(F9:H9)</f>
        <v>54</v>
      </c>
      <c r="J9" s="109">
        <v>800</v>
      </c>
      <c r="K9" s="110">
        <f t="shared" ref="K9:M9" si="5">F9*$J9</f>
        <v>0</v>
      </c>
      <c r="L9" s="110">
        <f t="shared" si="5"/>
        <v>21600</v>
      </c>
      <c r="M9" s="110">
        <f t="shared" si="5"/>
        <v>21600</v>
      </c>
      <c r="N9" s="110">
        <f t="shared" si="1"/>
        <v>43200</v>
      </c>
      <c r="O9" s="107" t="s">
        <v>155</v>
      </c>
      <c r="P9" s="111"/>
    </row>
    <row r="10" spans="1:16" ht="13.5" customHeight="1">
      <c r="A10" s="107">
        <v>4.0999999999999996</v>
      </c>
      <c r="B10" s="107" t="str">
        <f>"PSM ("&amp;$J$1*100&amp;"%)"</f>
        <v>PSM (20%)</v>
      </c>
      <c r="C10" s="107"/>
      <c r="D10" s="112"/>
      <c r="E10" s="107"/>
      <c r="F10" s="108"/>
      <c r="G10" s="108"/>
      <c r="H10" s="108"/>
      <c r="I10" s="108"/>
      <c r="J10" s="113">
        <f>$J$1</f>
        <v>0.2</v>
      </c>
      <c r="K10" s="110">
        <f t="shared" ref="K10:M10" si="6">K9*$J10</f>
        <v>0</v>
      </c>
      <c r="L10" s="110">
        <f t="shared" si="6"/>
        <v>4320</v>
      </c>
      <c r="M10" s="110">
        <f t="shared" si="6"/>
        <v>4320</v>
      </c>
      <c r="N10" s="110">
        <f t="shared" si="1"/>
        <v>8640</v>
      </c>
      <c r="O10" s="107"/>
      <c r="P10" s="111"/>
    </row>
    <row r="11" spans="1:16" ht="13.5" customHeight="1">
      <c r="A11" s="114" t="s">
        <v>165</v>
      </c>
      <c r="B11" s="115"/>
      <c r="C11" s="115"/>
      <c r="D11" s="116"/>
      <c r="E11" s="115"/>
      <c r="F11" s="117"/>
      <c r="G11" s="117"/>
      <c r="H11" s="117"/>
      <c r="I11" s="117"/>
      <c r="J11" s="118"/>
      <c r="K11" s="119"/>
      <c r="L11" s="119"/>
      <c r="M11" s="119"/>
      <c r="N11" s="119"/>
      <c r="O11" s="115"/>
      <c r="P11" s="120"/>
    </row>
    <row r="12" spans="1:16" ht="27.6">
      <c r="A12" s="121"/>
      <c r="B12" s="122" t="s">
        <v>166</v>
      </c>
      <c r="C12" s="123"/>
      <c r="D12" s="123"/>
      <c r="E12" s="123"/>
      <c r="F12" s="123"/>
      <c r="G12" s="123"/>
      <c r="H12" s="123"/>
      <c r="I12" s="123"/>
      <c r="J12" s="123"/>
      <c r="K12" s="124">
        <f>SUM(K4:K5,K7,K9)</f>
        <v>371930</v>
      </c>
      <c r="L12" s="124">
        <f t="shared" ref="L12:N12" si="7">SUM(L4:L5,L7,L9)</f>
        <v>21600</v>
      </c>
      <c r="M12" s="124">
        <f t="shared" si="7"/>
        <v>21600</v>
      </c>
      <c r="N12" s="124">
        <f t="shared" si="7"/>
        <v>415130</v>
      </c>
    </row>
    <row r="13" spans="1:16" ht="13.5" customHeight="1">
      <c r="A13" s="123"/>
      <c r="B13" s="122" t="str">
        <f>"PSM ("&amp;$J$1*100&amp;"%)"</f>
        <v>PSM (20%)</v>
      </c>
      <c r="C13" s="123"/>
      <c r="D13" s="123"/>
      <c r="E13" s="123"/>
      <c r="F13" s="123"/>
      <c r="G13" s="123"/>
      <c r="H13" s="123"/>
      <c r="I13" s="123"/>
      <c r="J13" s="123"/>
      <c r="K13" s="124">
        <f>K6+K8+K10</f>
        <v>74386</v>
      </c>
      <c r="L13" s="124">
        <f t="shared" ref="L13:N13" si="8">L6+L8+L10</f>
        <v>4320</v>
      </c>
      <c r="M13" s="124">
        <f t="shared" si="8"/>
        <v>4320</v>
      </c>
      <c r="N13" s="124">
        <f t="shared" si="8"/>
        <v>83026</v>
      </c>
    </row>
    <row r="14" spans="1:16" ht="13.5" customHeight="1"/>
    <row r="15" spans="1:16" ht="13.5" customHeight="1">
      <c r="A15" s="98" t="s">
        <v>167</v>
      </c>
      <c r="B15" s="100"/>
      <c r="C15" s="100"/>
      <c r="D15" s="100"/>
      <c r="E15" s="100"/>
      <c r="F15" s="101" t="s">
        <v>139</v>
      </c>
      <c r="G15" s="102"/>
      <c r="H15" s="102"/>
      <c r="I15" s="102"/>
      <c r="J15" s="100"/>
      <c r="K15" s="99" t="s">
        <v>140</v>
      </c>
      <c r="L15" s="102"/>
      <c r="M15" s="102"/>
      <c r="N15" s="100"/>
      <c r="O15" s="100"/>
      <c r="P15" s="100"/>
    </row>
    <row r="16" spans="1:16" ht="13.5" customHeight="1">
      <c r="A16" s="125" t="s">
        <v>141</v>
      </c>
      <c r="B16" s="126" t="s">
        <v>168</v>
      </c>
      <c r="C16" s="126" t="s">
        <v>143</v>
      </c>
      <c r="D16" s="126" t="s">
        <v>144</v>
      </c>
      <c r="E16" s="126" t="s">
        <v>145</v>
      </c>
      <c r="F16" s="127">
        <v>2024</v>
      </c>
      <c r="G16" s="127">
        <v>2025</v>
      </c>
      <c r="H16" s="127">
        <v>2026</v>
      </c>
      <c r="I16" s="105" t="s">
        <v>146</v>
      </c>
      <c r="J16" s="105" t="s">
        <v>147</v>
      </c>
      <c r="K16" s="105">
        <v>2024</v>
      </c>
      <c r="L16" s="105">
        <v>2025</v>
      </c>
      <c r="M16" s="105">
        <v>2026</v>
      </c>
      <c r="N16" s="105" t="s">
        <v>148</v>
      </c>
      <c r="O16" s="104" t="s">
        <v>149</v>
      </c>
      <c r="P16" s="106" t="s">
        <v>150</v>
      </c>
    </row>
    <row r="17" spans="1:25" ht="13.5" customHeight="1">
      <c r="A17" s="128">
        <v>1</v>
      </c>
      <c r="B17" s="129" t="s">
        <v>169</v>
      </c>
      <c r="C17" s="129" t="s">
        <v>170</v>
      </c>
      <c r="D17" s="129" t="s">
        <v>171</v>
      </c>
      <c r="E17" s="130"/>
      <c r="F17" s="131">
        <v>8</v>
      </c>
      <c r="G17" s="131"/>
      <c r="H17" s="131"/>
      <c r="I17" s="131">
        <f t="shared" ref="I17:I18" si="9">SUM(F17:H17)</f>
        <v>8</v>
      </c>
      <c r="J17" s="132">
        <v>5184</v>
      </c>
      <c r="K17" s="110">
        <f t="shared" ref="K17:M18" si="10">F17*$J17</f>
        <v>41472</v>
      </c>
      <c r="L17" s="110">
        <f t="shared" si="10"/>
        <v>0</v>
      </c>
      <c r="M17" s="110">
        <f t="shared" si="10"/>
        <v>0</v>
      </c>
      <c r="N17" s="110">
        <f t="shared" ref="N17:N18" si="11">SUM(K17:M17)</f>
        <v>41472</v>
      </c>
      <c r="O17" s="133" t="s">
        <v>172</v>
      </c>
      <c r="P17" s="134"/>
    </row>
    <row r="18" spans="1:25" ht="13.5" customHeight="1">
      <c r="A18" s="128">
        <v>2</v>
      </c>
      <c r="B18" s="129" t="s">
        <v>169</v>
      </c>
      <c r="C18" s="129" t="s">
        <v>173</v>
      </c>
      <c r="D18" s="129" t="s">
        <v>174</v>
      </c>
      <c r="E18" s="130"/>
      <c r="F18" s="131">
        <v>17</v>
      </c>
      <c r="G18" s="131"/>
      <c r="H18" s="131"/>
      <c r="I18" s="131">
        <f t="shared" si="9"/>
        <v>17</v>
      </c>
      <c r="J18" s="132">
        <v>7902</v>
      </c>
      <c r="K18" s="110">
        <f t="shared" si="10"/>
        <v>134334</v>
      </c>
      <c r="L18" s="110">
        <f t="shared" si="10"/>
        <v>0</v>
      </c>
      <c r="M18" s="110">
        <f t="shared" si="10"/>
        <v>0</v>
      </c>
      <c r="N18" s="110">
        <f t="shared" si="11"/>
        <v>134334</v>
      </c>
      <c r="O18" s="134" t="s">
        <v>172</v>
      </c>
      <c r="P18" s="134"/>
    </row>
    <row r="19" spans="1:25" ht="13.5" customHeight="1">
      <c r="A19" s="135"/>
      <c r="B19" s="136" t="s">
        <v>148</v>
      </c>
      <c r="C19" s="136"/>
      <c r="D19" s="136"/>
      <c r="E19" s="136"/>
      <c r="F19" s="137"/>
      <c r="G19" s="137"/>
      <c r="H19" s="137"/>
      <c r="I19" s="136"/>
      <c r="J19" s="136"/>
      <c r="K19" s="138">
        <f>SUM(K17:K18)</f>
        <v>175806</v>
      </c>
      <c r="L19" s="138">
        <f>SUM(L17:L18)</f>
        <v>0</v>
      </c>
      <c r="M19" s="138">
        <f>SUM(M17:M18)</f>
        <v>0</v>
      </c>
      <c r="N19" s="139">
        <f>SUM(N17:N18)</f>
        <v>175806</v>
      </c>
      <c r="O19" s="140"/>
      <c r="P19" s="140"/>
      <c r="Q19" s="141"/>
      <c r="R19" s="141"/>
      <c r="S19" s="141"/>
      <c r="T19" s="141"/>
      <c r="U19" s="141"/>
      <c r="V19" s="141"/>
      <c r="W19" s="141"/>
      <c r="X19" s="141"/>
      <c r="Y19" s="14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J28" sqref="J28"/>
    </sheetView>
  </sheetViews>
  <sheetFormatPr defaultColWidth="8.6640625" defaultRowHeight="14.4"/>
  <cols>
    <col min="1" max="1" width="29.109375" customWidth="1"/>
    <col min="2" max="2" width="13.44140625" customWidth="1"/>
    <col min="3" max="3" width="14" customWidth="1"/>
    <col min="4" max="4" width="13.5546875" customWidth="1"/>
  </cols>
  <sheetData>
    <row r="1" spans="1:4">
      <c r="A1" s="320" t="s">
        <v>84</v>
      </c>
      <c r="B1" s="320"/>
      <c r="C1" s="320"/>
      <c r="D1" s="320"/>
    </row>
    <row r="2" spans="1:4">
      <c r="B2">
        <v>2024</v>
      </c>
      <c r="C2">
        <v>2025</v>
      </c>
      <c r="D2">
        <v>2026</v>
      </c>
    </row>
    <row r="3" spans="1:4">
      <c r="A3" t="s">
        <v>85</v>
      </c>
      <c r="B3" s="60">
        <v>4020</v>
      </c>
      <c r="C3" s="60">
        <v>4020</v>
      </c>
      <c r="D3" s="60">
        <v>4020</v>
      </c>
    </row>
    <row r="4" spans="1:4">
      <c r="A4" t="s">
        <v>86</v>
      </c>
      <c r="B4" s="60">
        <v>4020</v>
      </c>
      <c r="C4" s="60">
        <v>4020</v>
      </c>
      <c r="D4" s="60">
        <v>4020</v>
      </c>
    </row>
    <row r="5" spans="1:4">
      <c r="A5" s="62" t="s">
        <v>87</v>
      </c>
      <c r="B5" s="63">
        <f>SUM(B3:B4)</f>
        <v>8040</v>
      </c>
      <c r="C5" s="63">
        <f>SUM(C3:C4)</f>
        <v>8040</v>
      </c>
      <c r="D5" s="63">
        <f>SUM(D3:D4)</f>
        <v>8040</v>
      </c>
    </row>
  </sheetData>
  <mergeCells count="1"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5" sqref="C5:C8"/>
    </sheetView>
  </sheetViews>
  <sheetFormatPr defaultColWidth="11.5546875" defaultRowHeight="14.4"/>
  <cols>
    <col min="1" max="1" width="4.109375" customWidth="1"/>
    <col min="2" max="2" width="39.109375" customWidth="1"/>
    <col min="3" max="3" width="13.6640625" customWidth="1"/>
    <col min="4" max="4" width="14.44140625" customWidth="1"/>
  </cols>
  <sheetData>
    <row r="1" spans="1:5">
      <c r="A1" s="56"/>
      <c r="B1" s="57" t="s">
        <v>74</v>
      </c>
      <c r="C1" s="58" t="s">
        <v>75</v>
      </c>
    </row>
    <row r="2" spans="1:5">
      <c r="A2" s="56">
        <v>1</v>
      </c>
      <c r="B2" s="57" t="s">
        <v>76</v>
      </c>
      <c r="C2" s="95">
        <v>600000</v>
      </c>
    </row>
    <row r="3" spans="1:5" ht="41.4">
      <c r="A3" s="56">
        <v>2</v>
      </c>
      <c r="B3" s="57" t="s">
        <v>73</v>
      </c>
      <c r="C3" s="95">
        <v>70000</v>
      </c>
    </row>
    <row r="4" spans="1:5" ht="27.6">
      <c r="A4" s="56">
        <v>3</v>
      </c>
      <c r="B4" s="57" t="s">
        <v>77</v>
      </c>
      <c r="C4" s="95">
        <v>967975.22400000005</v>
      </c>
    </row>
    <row r="5" spans="1:5">
      <c r="A5" s="56">
        <v>4</v>
      </c>
      <c r="B5" s="57" t="s">
        <v>78</v>
      </c>
      <c r="C5" s="95">
        <v>13426</v>
      </c>
    </row>
    <row r="6" spans="1:5">
      <c r="A6" s="56">
        <v>5</v>
      </c>
      <c r="B6" s="57" t="s">
        <v>79</v>
      </c>
      <c r="C6" s="95">
        <v>143851</v>
      </c>
    </row>
    <row r="7" spans="1:5">
      <c r="A7" s="56">
        <v>6</v>
      </c>
      <c r="B7" s="57" t="s">
        <v>80</v>
      </c>
      <c r="C7" s="95">
        <v>37018</v>
      </c>
      <c r="E7" t="s">
        <v>81</v>
      </c>
    </row>
    <row r="8" spans="1:5">
      <c r="A8" s="56">
        <v>7</v>
      </c>
      <c r="B8" s="57" t="s">
        <v>82</v>
      </c>
      <c r="C8" s="95">
        <v>3434</v>
      </c>
    </row>
    <row r="9" spans="1:5">
      <c r="A9" s="59">
        <v>8</v>
      </c>
      <c r="B9" s="57" t="s">
        <v>83</v>
      </c>
      <c r="C9" s="95">
        <v>5600</v>
      </c>
      <c r="D9" s="6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1e50f6-fa26-46ed-8bd6-fc2b4837b6bc" xsi:nil="true"/>
    <lcf76f155ced4ddcb4097134ff3c332f xmlns="5e778171-010b-46a9-9793-56f57a2ad9d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A25A6F71035948B515E381823E7259" ma:contentTypeVersion="16" ma:contentTypeDescription="Create a new document." ma:contentTypeScope="" ma:versionID="d6b83a29c8b0b326fc7c7183332e7349">
  <xsd:schema xmlns:xsd="http://www.w3.org/2001/XMLSchema" xmlns:xs="http://www.w3.org/2001/XMLSchema" xmlns:p="http://schemas.microsoft.com/office/2006/metadata/properties" xmlns:ns2="5e778171-010b-46a9-9793-56f57a2ad9d8" xmlns:ns3="371e50f6-fa26-46ed-8bd6-fc2b4837b6bc" targetNamespace="http://schemas.microsoft.com/office/2006/metadata/properties" ma:root="true" ma:fieldsID="65512da26eca0478be375d6a5068726e" ns2:_="" ns3:_="">
    <xsd:import namespace="5e778171-010b-46a9-9793-56f57a2ad9d8"/>
    <xsd:import namespace="371e50f6-fa26-46ed-8bd6-fc2b4837b6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78171-010b-46a9-9793-56f57a2ad9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1e50f6-fa26-46ed-8bd6-fc2b4837b6b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08a4056-c86a-4be0-b1f7-9ee7a6280a05}" ma:internalName="TaxCatchAll" ma:showField="CatchAllData" ma:web="371e50f6-fa26-46ed-8bd6-fc2b4837b6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B97BE7-217F-4711-9A68-004DD875DD7D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371e50f6-fa26-46ed-8bd6-fc2b4837b6bc"/>
    <ds:schemaRef ds:uri="5e778171-010b-46a9-9793-56f57a2ad9d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3F859FC-A171-401D-8D4C-B998BF2C52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EFAE15-C473-43A4-BE86-61DC439C67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78171-010b-46a9-9793-56f57a2ad9d8"/>
    <ds:schemaRef ds:uri="371e50f6-fa26-46ed-8bd6-fc2b4837b6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общий бюджет ТБ</vt:lpstr>
      <vt:lpstr>шелтер</vt:lpstr>
      <vt:lpstr>соц-сопровождение, КП и пробаци</vt:lpstr>
      <vt:lpstr>активное выявление</vt:lpstr>
      <vt:lpstr>надбавки мед работникам</vt:lpstr>
      <vt:lpstr>расчет тренингов</vt:lpstr>
      <vt:lpstr>Xpert upgrade</vt:lpstr>
      <vt:lpstr>ВОК лабораторий</vt:lpstr>
      <vt:lpstr>лаб.PAAR</vt:lpstr>
      <vt:lpstr>секвенирование</vt:lpstr>
      <vt:lpstr>медикаменты 2024-2027(9 мес)</vt:lpstr>
      <vt:lpstr>хим.профилактика</vt:lpstr>
      <vt:lpstr>Детские+В6</vt:lpstr>
      <vt:lpstr>2025</vt:lpstr>
      <vt:lpstr>2026</vt:lpstr>
      <vt:lpstr>2027</vt:lpstr>
      <vt:lpstr>шелтер!Область_печати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Tolkun Mambetova</dc:creator>
  <cp:keywords/>
  <dc:description/>
  <cp:lastModifiedBy>USER</cp:lastModifiedBy>
  <cp:revision/>
  <cp:lastPrinted>2023-02-17T03:31:27Z</cp:lastPrinted>
  <dcterms:created xsi:type="dcterms:W3CDTF">2021-01-13T11:22:34Z</dcterms:created>
  <dcterms:modified xsi:type="dcterms:W3CDTF">2023-03-03T02:43:57Z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0x0101009DA25A6F71035948B515E381823E7259</vt:lpwstr>
  </property>
  <property fmtid="{D5CDD505-2E9C-101B-9397-08002B2CF9AE}" pid="3" name="MediaServiceImageTags">
    <vt:lpwstr/>
  </property>
</Properties>
</file>